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drawings/drawing15.xml" ContentType="application/vnd.openxmlformats-officedocument.drawingml.chartshapes+xml"/>
  <Override PartName="/xl/charts/chart1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drawings/drawing21.xml" ContentType="application/vnd.openxmlformats-officedocument.drawingml.chartshapes+xml"/>
  <Override PartName="/xl/charts/chart20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2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7.xml" ContentType="application/vnd.openxmlformats-officedocument.drawing+xml"/>
  <Override PartName="/xl/charts/chart2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Departamento\Gestión de la Información\Publicaciones e Informes\Mensual\Boletín&amp;Consejo\BOLETIN ELECTRONICO\2026\JUL\INF_ELABORADA\"/>
    </mc:Choice>
  </mc:AlternateContent>
  <xr:revisionPtr revIDLastSave="0" documentId="13_ncr:1_{8FF3E95A-53BC-41E6-BAB6-21AA80D79DB1}" xr6:coauthVersionLast="47" xr6:coauthVersionMax="47" xr10:uidLastSave="{00000000-0000-0000-0000-000000000000}"/>
  <bookViews>
    <workbookView xWindow="-110" yWindow="-110" windowWidth="19420" windowHeight="11500" tabRatio="581" xr2:uid="{00000000-000D-0000-FFFF-FFFF00000000}"/>
  </bookViews>
  <sheets>
    <sheet name="Indice" sheetId="16" r:id="rId1"/>
    <sheet name="SN1" sheetId="8" r:id="rId2"/>
    <sheet name="SN2" sheetId="10" r:id="rId3"/>
    <sheet name="SN3" sheetId="22" r:id="rId4"/>
    <sheet name="SN4" sheetId="2" r:id="rId5"/>
    <sheet name="SN5" sheetId="25" r:id="rId6"/>
    <sheet name="SN5 FUEL GAS" sheetId="13" state="hidden" r:id="rId7"/>
    <sheet name="SN6" sheetId="5" r:id="rId8"/>
    <sheet name="SN7" sheetId="7" r:id="rId9"/>
    <sheet name="SN7 FUEL GAS" sheetId="26" state="hidden" r:id="rId10"/>
    <sheet name="SN8" sheetId="27" r:id="rId11"/>
    <sheet name="SN9" sheetId="28" r:id="rId12"/>
    <sheet name="SN10" sheetId="29" r:id="rId13"/>
    <sheet name="SN11" sheetId="30" r:id="rId14"/>
    <sheet name="SN12" sheetId="32" r:id="rId15"/>
    <sheet name="SN13" sheetId="31" r:id="rId16"/>
    <sheet name="SN14" sheetId="33" r:id="rId17"/>
    <sheet name="SN15" sheetId="34" r:id="rId18"/>
    <sheet name="SN16" sheetId="35" r:id="rId19"/>
    <sheet name="SN17" sheetId="36" r:id="rId20"/>
    <sheet name="Dat_01" sheetId="18" r:id="rId21"/>
    <sheet name="Dat_02" sheetId="37" r:id="rId22"/>
    <sheet name="Mozart Reports" sheetId="19" state="veryHidden" r:id="rId23"/>
  </sheets>
  <definedNames>
    <definedName name="_xlnm.Print_Area" localSheetId="3">#REF!</definedName>
    <definedName name="_xlnm.Print_Area">#REF!</definedName>
    <definedName name="_xlnm.Database" localSheetId="3">#REF!</definedName>
    <definedName name="_xlnm.Database">#REF!</definedName>
    <definedName name="cc" localSheetId="2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c" localSheetId="12">#REF!</definedName>
    <definedName name="ccc" localSheetId="13">#REF!</definedName>
    <definedName name="ccc" localSheetId="14">#N/A</definedName>
    <definedName name="ccc" localSheetId="15">#REF!</definedName>
    <definedName name="ccc" localSheetId="10">#REF!</definedName>
    <definedName name="ccc" localSheetId="11">#N/A</definedName>
    <definedName name="ccc">#N/A</definedName>
    <definedName name="CCCCV" localSheetId="3">#REF!</definedName>
    <definedName name="CCCCV">#REF!</definedName>
    <definedName name="CUADRO_ANTERIOR" localSheetId="12">#REF!</definedName>
    <definedName name="CUADRO_ANTERIOR" localSheetId="13">#REF!</definedName>
    <definedName name="CUADRO_ANTERIOR" localSheetId="14">#N/A</definedName>
    <definedName name="CUADRO_ANTERIOR" localSheetId="15">#REF!</definedName>
    <definedName name="CUADRO_ANTERIOR" localSheetId="10">#REF!</definedName>
    <definedName name="CUADRO_ANTERIOR" localSheetId="11">#N/A</definedName>
    <definedName name="CUADRO_ANTERIOR">#N/A</definedName>
    <definedName name="cuadro_anterior_jcol">#N/A</definedName>
    <definedName name="CUADRO_PROXIMO" localSheetId="12">#REF!</definedName>
    <definedName name="CUADRO_PROXIMO" localSheetId="13">#REF!</definedName>
    <definedName name="CUADRO_PROXIMO" localSheetId="14">#N/A</definedName>
    <definedName name="CUADRO_PROXIMO" localSheetId="15">#REF!</definedName>
    <definedName name="CUADRO_PROXIMO" localSheetId="10">#REF!</definedName>
    <definedName name="CUADRO_PROXIMO" localSheetId="11">#N/A</definedName>
    <definedName name="CUADRO_PROXIMO">#N/A</definedName>
    <definedName name="cuadro_proximo_jcol">#N/A</definedName>
    <definedName name="DATOS" localSheetId="3">#REF!</definedName>
    <definedName name="DATOS">#REF!</definedName>
    <definedName name="DD" localSheetId="2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emanda" localSheetId="21">#REF!</definedName>
    <definedName name="Demanda" localSheetId="14">#REF!</definedName>
    <definedName name="Demanda" localSheetId="11">#REF!</definedName>
    <definedName name="Demanda">#REF!</definedName>
    <definedName name="Eol_Dia" localSheetId="21">OFFSET(#REF!,0,0,COUNT(#REF!),1)</definedName>
    <definedName name="Eol_Dia" localSheetId="16">OFFSET(#REF!,0,0,COUNT(#REF!),1)</definedName>
    <definedName name="Eol_Dia" localSheetId="17">OFFSET(#REF!,0,0,COUNT(#REF!),1)</definedName>
    <definedName name="Eol_Dia" localSheetId="18">OFFSET(#REF!,0,0,COUNT(#REF!),1)</definedName>
    <definedName name="Eol_Dia" localSheetId="19">OFFSET(#REF!,0,0,COUNT(#REF!),1)</definedName>
    <definedName name="Eol_Dia">OFFSET(#REF!,0,0,COUNT(#REF!),1)</definedName>
    <definedName name="Eol_Fechas" localSheetId="21">OFFSET(#REF!,0,0,COUNT(#REF!),1)</definedName>
    <definedName name="Eol_Fechas" localSheetId="16">OFFSET(#REF!,0,0,COUNT(#REF!),1)</definedName>
    <definedName name="Eol_Fechas" localSheetId="17">OFFSET(#REF!,0,0,COUNT(#REF!),1)</definedName>
    <definedName name="Eol_Fechas" localSheetId="18">OFFSET(#REF!,0,0,COUNT(#REF!),1)</definedName>
    <definedName name="Eol_Fechas" localSheetId="19">OFFSET(#REF!,0,0,COUNT(#REF!),1)</definedName>
    <definedName name="Eol_Fechas">OFFSET(#REF!,0,0,COUNT(#REF!),1)</definedName>
    <definedName name="Eol_Porcentaje" localSheetId="21">OFFSET(#REF!,0,0,COUNT(#REF!),1)</definedName>
    <definedName name="Eol_Porcentaje" localSheetId="16">OFFSET(#REF!,0,0,COUNT(#REF!),1)</definedName>
    <definedName name="Eol_Porcentaje" localSheetId="17">OFFSET(#REF!,0,0,COUNT(#REF!),1)</definedName>
    <definedName name="Eol_Porcentaje" localSheetId="18">OFFSET(#REF!,0,0,COUNT(#REF!),1)</definedName>
    <definedName name="Eol_Porcentaje" localSheetId="19">OFFSET(#REF!,0,0,COUNT(#REF!),1)</definedName>
    <definedName name="Eol_Porcentaje">OFFSET(#REF!,0,0,COUNT(#REF!),1)</definedName>
    <definedName name="Fecha" localSheetId="21">#REF!</definedName>
    <definedName name="Fecha" localSheetId="14">#REF!</definedName>
    <definedName name="Fecha" localSheetId="11">#REF!</definedName>
    <definedName name="Fecha">#REF!</definedName>
    <definedName name="FINALIZAR" localSheetId="12">#REF!</definedName>
    <definedName name="FINALIZAR" localSheetId="13">#REF!</definedName>
    <definedName name="FINALIZAR" localSheetId="14">#N/A</definedName>
    <definedName name="FINALIZAR" localSheetId="15">#REF!</definedName>
    <definedName name="FINALIZAR" localSheetId="10">#REF!</definedName>
    <definedName name="FINALIZAR" localSheetId="11">#N/A</definedName>
    <definedName name="FINALIZAR">#N/A</definedName>
    <definedName name="finalizar_jcol">#N/A</definedName>
    <definedName name="fl">#N/A</definedName>
    <definedName name="H_Eol" localSheetId="21">OFFSET(#REF!,0,0,COUNT(#REF!),1)</definedName>
    <definedName name="H_Eol" localSheetId="16">OFFSET(#REF!,0,0,COUNT(#REF!),1)</definedName>
    <definedName name="H_Eol" localSheetId="17">OFFSET(#REF!,0,0,COUNT(#REF!),1)</definedName>
    <definedName name="H_Eol" localSheetId="18">OFFSET(#REF!,0,0,COUNT(#REF!),1)</definedName>
    <definedName name="H_Eol" localSheetId="19">OFFSET(#REF!,0,0,COUNT(#REF!),1)</definedName>
    <definedName name="H_Eol">OFFSET(#REF!,0,0,COUNT(#REF!),1)</definedName>
    <definedName name="H_Gen" localSheetId="21">OFFSET(#REF!,0,0,COUNT(#REF!),1)</definedName>
    <definedName name="H_Gen" localSheetId="16">OFFSET(#REF!,0,0,COUNT(#REF!),1)</definedName>
    <definedName name="H_Gen" localSheetId="17">OFFSET(#REF!,0,0,COUNT(#REF!),1)</definedName>
    <definedName name="H_Gen" localSheetId="18">OFFSET(#REF!,0,0,COUNT(#REF!),1)</definedName>
    <definedName name="H_Gen" localSheetId="19">OFFSET(#REF!,0,0,COUNT(#REF!),1)</definedName>
    <definedName name="H_Gen">OFFSET(#REF!,0,0,COUNT(#REF!),1)</definedName>
    <definedName name="H_Porcentaje" localSheetId="21">OFFSET(#REF!,0,0,COUNT(#REF!),1)</definedName>
    <definedName name="H_Porcentaje" localSheetId="16">OFFSET(#REF!,0,0,COUNT(#REF!),1)</definedName>
    <definedName name="H_Porcentaje" localSheetId="17">OFFSET(#REF!,0,0,COUNT(#REF!),1)</definedName>
    <definedName name="H_Porcentaje" localSheetId="18">OFFSET(#REF!,0,0,COUNT(#REF!),1)</definedName>
    <definedName name="H_Porcentaje" localSheetId="19">OFFSET(#REF!,0,0,COUNT(#REF!),1)</definedName>
    <definedName name="H_Porcentaje">OFFSET(#REF!,0,0,COUNT(#REF!),1)</definedName>
    <definedName name="hola">#N/A</definedName>
    <definedName name="Horas">#REF!</definedName>
    <definedName name="HTML1_1" hidden="1">"[energianosuministrada]Hoja1!$A$13:$J$46"</definedName>
    <definedName name="HTML1_10" hidden="1">""</definedName>
    <definedName name="HTML1_11" hidden="1">1</definedName>
    <definedName name="HTML1_12" hidden="1">"Macintosh HD:CASADO:INTRANET:calidaddeservicio:CS"</definedName>
    <definedName name="HTML1_2" hidden="1">1</definedName>
    <definedName name="HTML1_3" hidden="1">"energianosuministrada"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"11/11/97"</definedName>
    <definedName name="HTML1_9" hidden="1">"SOPORTE DE USUARIOS"</definedName>
    <definedName name="HTMLCount" hidden="1">1</definedName>
    <definedName name="IMPRESION" localSheetId="12">#REF!</definedName>
    <definedName name="IMPRESION" localSheetId="13">#REF!</definedName>
    <definedName name="IMPRESION" localSheetId="14">#N/A</definedName>
    <definedName name="IMPRESION" localSheetId="15">#REF!</definedName>
    <definedName name="IMPRESION" localSheetId="10">#REF!</definedName>
    <definedName name="IMPRESION" localSheetId="11">#N/A</definedName>
    <definedName name="IMPRESION">#N/A</definedName>
    <definedName name="impresion_jcol">#N/A</definedName>
    <definedName name="Índice" localSheetId="21">[0]!INDICE</definedName>
    <definedName name="Índice" localSheetId="12">[0]!INDICE</definedName>
    <definedName name="Índice" localSheetId="13">[0]!INDICE</definedName>
    <definedName name="Índice" localSheetId="14">[0]!INDICE</definedName>
    <definedName name="Índice" localSheetId="15">[0]!INDICE</definedName>
    <definedName name="Índice" localSheetId="16">[0]!INDICE</definedName>
    <definedName name="Índice" localSheetId="17">[0]!INDICE</definedName>
    <definedName name="Índice" localSheetId="18">[0]!INDICE</definedName>
    <definedName name="Índice" localSheetId="19">[0]!INDICE</definedName>
    <definedName name="Índice" localSheetId="11">[0]!INDICE</definedName>
    <definedName name="Índice">[0]!INDICE</definedName>
    <definedName name="indice_jcol" localSheetId="21">[0]!INDICE</definedName>
    <definedName name="indice_jcol" localSheetId="12">[0]!INDICE</definedName>
    <definedName name="indice_jcol" localSheetId="13">[0]!INDICE</definedName>
    <definedName name="indice_jcol" localSheetId="14">[0]!INDICE</definedName>
    <definedName name="indice_jcol" localSheetId="15">[0]!INDICE</definedName>
    <definedName name="indice_jcol" localSheetId="16">[0]!INDICE</definedName>
    <definedName name="indice_jcol" localSheetId="17">[0]!INDICE</definedName>
    <definedName name="indice_jcol" localSheetId="18">[0]!INDICE</definedName>
    <definedName name="indice_jcol" localSheetId="19">[0]!INDICE</definedName>
    <definedName name="indice_jcol" localSheetId="11">[0]!INDICE</definedName>
    <definedName name="indice_jcol">[0]!INDICE</definedName>
    <definedName name="Int_CFraExp" localSheetId="21">OFFSET(#REF!,0,0,COUNT(#REF!),1)</definedName>
    <definedName name="Int_CFraExp">OFFSET(#REF!,0,0,COUNT(#REF!),1)</definedName>
    <definedName name="Int_CFraImp" localSheetId="21">OFFSET(#REF!,0,0,COUNT(#REF!),1)</definedName>
    <definedName name="Int_CFraImp">OFFSET(#REF!,0,0,COUNT(#REF!),1)</definedName>
    <definedName name="Int_CPorExp" localSheetId="21">OFFSET(#REF!,0,0,COUNT(#REF!),1)</definedName>
    <definedName name="Int_CPorExp">OFFSET(#REF!,0,0,COUNT(#REF!),1)</definedName>
    <definedName name="Int_CPorImp" localSheetId="21">OFFSET(#REF!,0,0,COUNT(#REF!),1)</definedName>
    <definedName name="Int_CPorImp">OFFSET(#REF!,0,0,COUNT(#REF!),1)</definedName>
    <definedName name="Int_Meses" localSheetId="21">OFFSET(#REF!,0,0,COUNT(#REF!),1)</definedName>
    <definedName name="Int_Meses">OFFSET(#REF!,0,0,COUNT(#REF!),1)</definedName>
    <definedName name="Int_SFra" localSheetId="21">OFFSET(#REF!,0,0,COUNT(#REF!),1)</definedName>
    <definedName name="Int_SFra">OFFSET(#REF!,0,0,COUNT(#REF!),1)</definedName>
    <definedName name="Int_SPor" localSheetId="21">OFFSET(#REF!,0,0,COUNT(#REF!),1)</definedName>
    <definedName name="Int_SPor">OFFSET(#REF!,0,0,COUNT(#REF!),1)</definedName>
    <definedName name="jkhjklhjkhjkl">#N/A</definedName>
    <definedName name="MSTR.Balance._Día_máx_generación_renovable._Histórico" localSheetId="21">#REF!</definedName>
    <definedName name="MSTR.Balance._Día_máx_generación_renovable._Histórico" localSheetId="16">#REF!</definedName>
    <definedName name="MSTR.Balance._Día_máx_generación_renovable._Histórico" localSheetId="17">#REF!</definedName>
    <definedName name="MSTR.Balance._Día_máx_generación_renovable._Histórico" localSheetId="18">#REF!</definedName>
    <definedName name="MSTR.Balance._Día_máx_generación_renovable._Histórico" localSheetId="19">#REF!</definedName>
    <definedName name="MSTR.Balance._Día_máx_generación_renovable._Histórico">#REF!</definedName>
    <definedName name="MSTR.Balance._Día_máx_generación_renovable._Mes" localSheetId="21">#REF!</definedName>
    <definedName name="MSTR.Balance._Día_máx_generación_renovable._Mes" localSheetId="16">#REF!</definedName>
    <definedName name="MSTR.Balance._Día_máx_generación_renovable._Mes" localSheetId="17">#REF!</definedName>
    <definedName name="MSTR.Balance._Día_máx_generación_renovable._Mes" localSheetId="18">#REF!</definedName>
    <definedName name="MSTR.Balance._Día_máx_generación_renovable._Mes" localSheetId="19">#REF!</definedName>
    <definedName name="MSTR.Balance._Día_máx_generación_renovable._Mes">#REF!</definedName>
    <definedName name="MSTR.Balance_B.C._Diario_Peninsular" localSheetId="21">#REF!</definedName>
    <definedName name="MSTR.Balance_B.C._Diario_Peninsular">#REF!</definedName>
    <definedName name="MSTR.Balance_B.C._Horario_Eólico" localSheetId="21">#REF!</definedName>
    <definedName name="MSTR.Balance_B.C._Horario_Eólico">#REF!</definedName>
    <definedName name="MSTR.Balance_B.C._Mensual_Nacional" localSheetId="16">#REF!</definedName>
    <definedName name="MSTR.Balance_B.C._Mensual_Nacional" localSheetId="17">#REF!</definedName>
    <definedName name="MSTR.Balance_B.C._Mensual_Nacional" localSheetId="18">#REF!</definedName>
    <definedName name="MSTR.Balance_B.C._Mensual_Nacional" localSheetId="19">#REF!</definedName>
    <definedName name="MSTR.Balance_B.C._Mensual_Nacional">#REF!</definedName>
    <definedName name="MSTR.Balance_B.C._Mensual_Sistema_eléctrico" localSheetId="21">#REF!</definedName>
    <definedName name="MSTR.Balance_B.C._Mensual_Sistema_eléctrico" localSheetId="16">#REF!</definedName>
    <definedName name="MSTR.Balance_B.C._Mensual_Sistema_eléctrico" localSheetId="17">#REF!</definedName>
    <definedName name="MSTR.Balance_B.C._Mensual_Sistema_eléctrico" localSheetId="18">#REF!</definedName>
    <definedName name="MSTR.Balance_B.C._Mensual_Sistema_eléctrico" localSheetId="19">#REF!</definedName>
    <definedName name="MSTR.Balance_B.C._Mensual_Sistema_eléctrico">#REF!</definedName>
    <definedName name="MSTR.BANDA_PARA_CONSEJO_PROCESOS" localSheetId="3">#REF!</definedName>
    <definedName name="MSTR.BANDA_PARA_CONSEJO_PROCESOS">#REF!</definedName>
    <definedName name="MSTR.BANDA_PARA_CONSEJO_PROCESOS1" localSheetId="3">#REF!</definedName>
    <definedName name="MSTR.BANDA_PARA_CONSEJO_PROCESOS1">#REF!</definedName>
    <definedName name="MSTR.BANDA_PARA_CONSEJO_PROCESOS10" localSheetId="3">#REF!</definedName>
    <definedName name="MSTR.BANDA_PARA_CONSEJO_PROCESOS10">#REF!</definedName>
    <definedName name="MSTR.BANDA_PARA_CONSEJO_PROCESOS2" localSheetId="3">#REF!</definedName>
    <definedName name="MSTR.BANDA_PARA_CONSEJO_PROCESOS2">#REF!</definedName>
    <definedName name="MSTR.BANDA_PARA_CONSEJO_PROCESOS3" localSheetId="3">#REF!</definedName>
    <definedName name="MSTR.BANDA_PARA_CONSEJO_PROCESOS3">#REF!</definedName>
    <definedName name="MSTR.BANDA_PARA_CONSEJO_PROCESOS4" localSheetId="3">#REF!</definedName>
    <definedName name="MSTR.BANDA_PARA_CONSEJO_PROCESOS4">#REF!</definedName>
    <definedName name="MSTR.BANDA_PARA_CONSEJO_PROCESOS5" localSheetId="3">#REF!</definedName>
    <definedName name="MSTR.BANDA_PARA_CONSEJO_PROCESOS5">#REF!</definedName>
    <definedName name="MSTR.BANDA_PARA_CONSEJO_PROCESOS6" localSheetId="3">#REF!</definedName>
    <definedName name="MSTR.BANDA_PARA_CONSEJO_PROCESOS6">#REF!</definedName>
    <definedName name="MSTR.BANDA_PARA_CONSEJO_PROCESOS7" localSheetId="3">#REF!</definedName>
    <definedName name="MSTR.BANDA_PARA_CONSEJO_PROCESOS7">#REF!</definedName>
    <definedName name="MSTR.BANDA_PARA_CONSEJO_PROCESOS8" localSheetId="3">#REF!</definedName>
    <definedName name="MSTR.BANDA_PARA_CONSEJO_PROCESOS8">#REF!</definedName>
    <definedName name="MSTR.BANDA_PARA_CONSEJO_PROCESOS9" localSheetId="3">#REF!</definedName>
    <definedName name="MSTR.BANDA_PARA_CONSEJO_PROCESOS9">#REF!</definedName>
    <definedName name="MSTR.Emisiones_CO2" localSheetId="21">#REF!</definedName>
    <definedName name="MSTR.Emisiones_CO2" localSheetId="16">#REF!</definedName>
    <definedName name="MSTR.Emisiones_CO2" localSheetId="17">#REF!</definedName>
    <definedName name="MSTR.Emisiones_CO2" localSheetId="18">#REF!</definedName>
    <definedName name="MSTR.Emisiones_CO2" localSheetId="19">#REF!</definedName>
    <definedName name="MSTR.Emisiones_CO2">#REF!</definedName>
    <definedName name="MSTR.Emisiones_CO2.1" localSheetId="21">#REF!</definedName>
    <definedName name="MSTR.Emisiones_CO2.1" localSheetId="16">#REF!</definedName>
    <definedName name="MSTR.Emisiones_CO2.1" localSheetId="17">#REF!</definedName>
    <definedName name="MSTR.Emisiones_CO2.1" localSheetId="18">#REF!</definedName>
    <definedName name="MSTR.Emisiones_CO2.1" localSheetId="19">#REF!</definedName>
    <definedName name="MSTR.Emisiones_CO2.1">#REF!</definedName>
    <definedName name="MSTR.Energía_generada_y_autoconsumida" xml:space="preserve">                     Dat_02!$A$71:$C$80</definedName>
    <definedName name="MSTR.Energía_generada_y_autoconsumida.1" xml:space="preserve">                     Dat_02!$A$71:$C$80</definedName>
    <definedName name="MSTR.Energía_generada_y_autoconsumida.2" xml:space="preserve">                     Dat_02!$A$117:$C$125</definedName>
    <definedName name="MSTR.Energía_generada_y_autoconsumida.3" xml:space="preserve">                     Dat_02!$A$117:$C$124</definedName>
    <definedName name="MSTR.Eolica_diaria_Balance">#REF!</definedName>
    <definedName name="MSTR.Liquidación_por_Segmentos" localSheetId="3">#REF!</definedName>
    <definedName name="MSTR.Liquidación_por_Segmentos">#REF!</definedName>
    <definedName name="MSTR.Liquidación_por_Segmentos1" localSheetId="3">#REF!</definedName>
    <definedName name="MSTR.Liquidación_por_Segmentos1">#REF!</definedName>
    <definedName name="MSTR.Liquidación_por_Segmentos10" localSheetId="3">#REF!</definedName>
    <definedName name="MSTR.Liquidación_por_Segmentos10">#REF!</definedName>
    <definedName name="MSTR.Liquidación_por_Segmentos11" localSheetId="3">#REF!</definedName>
    <definedName name="MSTR.Liquidación_por_Segmentos11">#REF!</definedName>
    <definedName name="MSTR.Liquidación_por_Segmentos2" localSheetId="3">#REF!</definedName>
    <definedName name="MSTR.Liquidación_por_Segmentos2">#REF!</definedName>
    <definedName name="MSTR.Liquidación_por_Segmentos3" localSheetId="3">#REF!</definedName>
    <definedName name="MSTR.Liquidación_por_Segmentos3">#REF!</definedName>
    <definedName name="MSTR.Liquidación_por_Segmentos4" localSheetId="3">#REF!</definedName>
    <definedName name="MSTR.Liquidación_por_Segmentos4">#REF!</definedName>
    <definedName name="MSTR.Liquidación_por_Segmentos5" localSheetId="3">#REF!</definedName>
    <definedName name="MSTR.Liquidación_por_Segmentos5">#REF!</definedName>
    <definedName name="MSTR.Liquidación_por_Segmentos6" localSheetId="3">#REF!</definedName>
    <definedName name="MSTR.Liquidación_por_Segmentos6">#REF!</definedName>
    <definedName name="MSTR.Liquidación_por_Segmentos7" localSheetId="3">#REF!</definedName>
    <definedName name="MSTR.Liquidación_por_Segmentos7">#REF!</definedName>
    <definedName name="MSTR.Liquidación_por_Segmentos8" localSheetId="3">#REF!</definedName>
    <definedName name="MSTR.Liquidación_por_Segmentos8">#REF!</definedName>
    <definedName name="MSTR.Liquidación_por_Segmentos9" localSheetId="3">#REF!</definedName>
    <definedName name="MSTR.Liquidación_por_Segmentos9">#REF!</definedName>
    <definedName name="MSTR.Mes_del_informe" xml:space="preserve">                                 Dat_02!$A$1:$B$2</definedName>
    <definedName name="MSTR.Mes_del_informe.1" xml:space="preserve">                                 Dat_02!$A$1:$B$2</definedName>
    <definedName name="MSTR.Potencia_instalada">#REF!</definedName>
    <definedName name="MSTR.Potencia_instalada_Autoconsumo" xml:space="preserve">                                 Dat_02!$A$4:$N$13</definedName>
    <definedName name="MSTR.Potencia_instalada_Autoconsumo.1" xml:space="preserve">                                 Dat_02!$A$37:$N$46</definedName>
    <definedName name="MSTR.Potencia_instalada_Autoconsumo.2" xml:space="preserve">                                 Dat_02!$A$4:$N$13</definedName>
    <definedName name="MSTR.Potencia_instalada_Autoconsumo.3" xml:space="preserve">                                 Dat_02!$A$37:$N$46</definedName>
    <definedName name="MSTR.Potencia_instalada_Total" xml:space="preserve">                                 Dat_02!$A$15:$N$31</definedName>
    <definedName name="MSTR.Potencia_instalada_Total.1" xml:space="preserve">                                 Dat_02!$A$48:$N$64</definedName>
    <definedName name="MSTR.Potencia_instalada_Total.2" xml:space="preserve">                                 Dat_02!$A$15:$N$31</definedName>
    <definedName name="MSTR.Potencia_instalada_Total.3" xml:space="preserve">                                 Dat_02!$A$48:$N$64</definedName>
    <definedName name="MSTR.Serie_Balance_B.C._Mensual_Peninsular" localSheetId="21">#REF!</definedName>
    <definedName name="MSTR.Serie_Balance_B.C._Mensual_Peninsular" localSheetId="16">#REF!</definedName>
    <definedName name="MSTR.Serie_Balance_B.C._Mensual_Peninsular" localSheetId="17">#REF!</definedName>
    <definedName name="MSTR.Serie_Balance_B.C._Mensual_Peninsular" localSheetId="18">#REF!</definedName>
    <definedName name="MSTR.Serie_Balance_B.C._Mensual_Peninsular" localSheetId="19">#REF!</definedName>
    <definedName name="MSTR.Serie_Balance_B.C._Mensual_Peninsular">#REF!</definedName>
    <definedName name="MSTR.Serie_Balance_Nuevo_Energía_Eléctrica_Mensual.1" localSheetId="3">#REF!</definedName>
    <definedName name="MSTR.Serie_Balance_Nuevo_Energía_Eléctrica_Mensual.1">#REF!</definedName>
    <definedName name="MSTR.Serie_Balance_Nuevo_Energía_Eléctrica_Mes_Baleares" localSheetId="3">#REF!</definedName>
    <definedName name="MSTR.Serie_Balance_Nuevo_Energía_Eléctrica_Mes_Baleares">#REF!</definedName>
    <definedName name="MSTR.Variación_y_componentes_mensual_de_la_demanda" localSheetId="21">#REF!</definedName>
    <definedName name="MSTR.Variación_y_componentes_mensual_de_la_demanda" xml:space="preserve">                                   Dat_01!$A$158:$N$161</definedName>
    <definedName name="MSTR.Variación_y_componentes_mensual_de_la_demanda.1" localSheetId="21">#REF!</definedName>
    <definedName name="MSTR.Variación_y_componentes_mensual_de_la_demanda.1" xml:space="preserve">                                   Dat_01!$A$164:$N$167</definedName>
    <definedName name="n" localSheetId="2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2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n" localSheetId="12">#REF!</definedName>
    <definedName name="nnn" localSheetId="13">#REF!</definedName>
    <definedName name="nnn" localSheetId="14">#N/A</definedName>
    <definedName name="nnn" localSheetId="15">#REF!</definedName>
    <definedName name="nnn" localSheetId="10">#REF!</definedName>
    <definedName name="nnn" localSheetId="11">#N/A</definedName>
    <definedName name="nnn">#N/A</definedName>
    <definedName name="nnnn" localSheetId="12">#REF!</definedName>
    <definedName name="nnnn" localSheetId="13">#REF!</definedName>
    <definedName name="nnnn" localSheetId="14">#N/A</definedName>
    <definedName name="nnnn" localSheetId="15">#REF!</definedName>
    <definedName name="nnnn" localSheetId="10">#REF!</definedName>
    <definedName name="nnnn" localSheetId="11">#N/A</definedName>
    <definedName name="nnnn">#N/A</definedName>
    <definedName name="nu" localSheetId="12">#REF!</definedName>
    <definedName name="nu" localSheetId="13">#REF!</definedName>
    <definedName name="nu" localSheetId="14">#N/A</definedName>
    <definedName name="nu" localSheetId="15">#REF!</definedName>
    <definedName name="nu" localSheetId="10">#REF!</definedName>
    <definedName name="nu" localSheetId="11">#N/A</definedName>
    <definedName name="nu">#N/A</definedName>
    <definedName name="nuevo">#N/A</definedName>
    <definedName name="PRINCIPAL" localSheetId="12">#REF!</definedName>
    <definedName name="PRINCIPAL" localSheetId="13">#REF!</definedName>
    <definedName name="PRINCIPAL" localSheetId="14">#N/A</definedName>
    <definedName name="PRINCIPAL" localSheetId="15">#REF!</definedName>
    <definedName name="PRINCIPAL" localSheetId="10">#REF!</definedName>
    <definedName name="PRINCIPAL" localSheetId="11">#N/A</definedName>
    <definedName name="PRINCIPAL">#N/A</definedName>
    <definedName name="principal_jcol">#N/A</definedName>
    <definedName name="Prod" localSheetId="21">OFFSET(#REF!,0,0,COUNT(#REF!),1)</definedName>
    <definedName name="Prod" localSheetId="16">OFFSET(#REF!,0,0,COUNT(#REF!),1)</definedName>
    <definedName name="Prod" localSheetId="17">OFFSET(#REF!,0,0,COUNT(#REF!),1)</definedName>
    <definedName name="Prod" localSheetId="18">OFFSET(#REF!,0,0,COUNT(#REF!),1)</definedName>
    <definedName name="Prod" localSheetId="19">OFFSET(#REF!,0,0,COUNT(#REF!),1)</definedName>
    <definedName name="Prod">OFFSET(#REF!,0,0,COUNT(#REF!),1)</definedName>
    <definedName name="Prod_Dia" localSheetId="21">OFFSET(#REF!,0,0,COUNT(#REF!),1)</definedName>
    <definedName name="Prod_Dia" localSheetId="16">OFFSET(#REF!,0,0,COUNT(#REF!),1)</definedName>
    <definedName name="Prod_Dia" localSheetId="17">OFFSET(#REF!,0,0,COUNT(#REF!),1)</definedName>
    <definedName name="Prod_Dia" localSheetId="18">OFFSET(#REF!,0,0,COUNT(#REF!),1)</definedName>
    <definedName name="Prod_Dia" localSheetId="19">OFFSET(#REF!,0,0,COUNT(#REF!),1)</definedName>
    <definedName name="Prod_Dia">OFFSET(#REF!,0,0,COUNT(#REF!),1)</definedName>
    <definedName name="Prod_Inter" localSheetId="21">OFFSET(#REF!,0,0,COUNT(#REF!),1)</definedName>
    <definedName name="Prod_Inter">OFFSET(#REF!,0,0,COUNT(#REF!),1)</definedName>
    <definedName name="Prod_Med" localSheetId="21">OFFSET(#REF!,0,0,COUNT(#REF!),1)</definedName>
    <definedName name="Prod_Med" localSheetId="16">OFFSET(#REF!,0,0,COUNT(#REF!),1)</definedName>
    <definedName name="Prod_Med" localSheetId="17">OFFSET(#REF!,0,0,COUNT(#REF!),1)</definedName>
    <definedName name="Prod_Med" localSheetId="18">OFFSET(#REF!,0,0,COUNT(#REF!),1)</definedName>
    <definedName name="Prod_Med" localSheetId="19">OFFSET(#REF!,0,0,COUNT(#REF!),1)</definedName>
    <definedName name="Prod_Med">OFFSET(#REF!,0,0,COUNT(#REF!),1)</definedName>
    <definedName name="Rango">#REF!</definedName>
    <definedName name="rosa" localSheetId="12">#REF!</definedName>
    <definedName name="rosa" localSheetId="13">#REF!</definedName>
    <definedName name="rosa" localSheetId="14">#N/A</definedName>
    <definedName name="rosa" localSheetId="15">#REF!</definedName>
    <definedName name="rosa" localSheetId="10">#REF!</definedName>
    <definedName name="rosa" localSheetId="11">#N/A</definedName>
    <definedName name="rosa">#N/A</definedName>
    <definedName name="rosa2" localSheetId="12">#REF!</definedName>
    <definedName name="rosa2" localSheetId="13">#REF!</definedName>
    <definedName name="rosa2" localSheetId="14">#N/A</definedName>
    <definedName name="rosa2" localSheetId="15">#REF!</definedName>
    <definedName name="rosa2" localSheetId="10">#REF!</definedName>
    <definedName name="rosa2" localSheetId="11">#N/A</definedName>
    <definedName name="rosa2">#N/A</definedName>
    <definedName name="sfasfasf" localSheetId="21">[0]!INDICE</definedName>
    <definedName name="sfasfasf" localSheetId="12">[0]!INDICE</definedName>
    <definedName name="sfasfasf" localSheetId="13">[0]!INDICE</definedName>
    <definedName name="sfasfasf" localSheetId="14">[0]!INDICE</definedName>
    <definedName name="sfasfasf" localSheetId="15">[0]!INDICE</definedName>
    <definedName name="sfasfasf" localSheetId="16">[0]!INDICE</definedName>
    <definedName name="sfasfasf" localSheetId="17">[0]!INDICE</definedName>
    <definedName name="sfasfasf" localSheetId="18">[0]!INDICE</definedName>
    <definedName name="sfasfasf" localSheetId="19">[0]!INDICE</definedName>
    <definedName name="sfasfasf" localSheetId="11">[0]!INDICE</definedName>
    <definedName name="sfasfasf">[0]!INDICE</definedName>
    <definedName name="v">#N/A</definedName>
    <definedName name="VV" localSheetId="12">#REF!</definedName>
    <definedName name="VV" localSheetId="13">#REF!</definedName>
    <definedName name="VV" localSheetId="14">#N/A</definedName>
    <definedName name="VV" localSheetId="15">#REF!</definedName>
    <definedName name="VV" localSheetId="10">#REF!</definedName>
    <definedName name="VV" localSheetId="11">#N/A</definedName>
    <definedName name="VV">#N/A</definedName>
    <definedName name="wrn.Completo." localSheetId="2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2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6" hidden="1">#REF!</definedName>
    <definedName name="WW" localSheetId="17" hidden="1">#REF!</definedName>
    <definedName name="WW" localSheetId="18" hidden="1">#REF!</definedName>
    <definedName name="WW" localSheetId="19" hidden="1">#REF!</definedName>
    <definedName name="WW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3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4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6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x">#N/A</definedName>
    <definedName name="XX">#N/A</definedName>
    <definedName name="xxx">#N/A</definedName>
    <definedName name="XXXX">#N/A</definedName>
    <definedName name="xxxxx" localSheetId="21">#REF!</definedName>
    <definedName name="xxxxx" localSheetId="12">#N/A</definedName>
    <definedName name="xxxxx" localSheetId="13">#N/A</definedName>
    <definedName name="xxxxx" localSheetId="14">#N/A</definedName>
    <definedName name="xxxxx" localSheetId="15">#N/A</definedName>
    <definedName name="xxxxx" localSheetId="10">#N/A</definedName>
    <definedName name="xxxxx" localSheetId="11">#N/A</definedName>
    <definedName name="xxxxx" xml:space="preserve">                                               Dat_01!$A$85:$V$117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9" i="37" l="1"/>
  <c r="B159" i="37"/>
  <c r="C114" i="37"/>
  <c r="B114" i="37"/>
  <c r="C48" i="18"/>
  <c r="B48" i="18"/>
  <c r="F94" i="37" l="1"/>
  <c r="G94" i="37"/>
  <c r="N35" i="37"/>
  <c r="H77" i="18" l="1"/>
  <c r="H76" i="18"/>
  <c r="H75" i="18"/>
  <c r="H74" i="18"/>
  <c r="H73" i="18"/>
  <c r="H72" i="18"/>
  <c r="H71" i="18"/>
  <c r="H70" i="18"/>
  <c r="H69" i="18"/>
  <c r="H68" i="18"/>
  <c r="G68" i="18"/>
  <c r="D68" i="18"/>
  <c r="H78" i="18" l="1"/>
  <c r="I27" i="22"/>
  <c r="G142" i="37" l="1"/>
  <c r="G139" i="37"/>
  <c r="F139" i="37"/>
  <c r="G138" i="37"/>
  <c r="F138" i="37"/>
  <c r="G137" i="37"/>
  <c r="F137" i="37"/>
  <c r="D130" i="37"/>
  <c r="B130" i="37"/>
  <c r="D129" i="37"/>
  <c r="B129" i="37"/>
  <c r="D128" i="37"/>
  <c r="B128" i="37"/>
  <c r="G97" i="37"/>
  <c r="G93" i="37"/>
  <c r="F93" i="37"/>
  <c r="G92" i="37"/>
  <c r="F92" i="37"/>
  <c r="D85" i="37"/>
  <c r="B85" i="37"/>
  <c r="D84" i="37"/>
  <c r="B84" i="37"/>
  <c r="D83" i="37"/>
  <c r="B83" i="37"/>
  <c r="N68" i="37"/>
  <c r="M68" i="37"/>
  <c r="L68" i="37"/>
  <c r="K68" i="37"/>
  <c r="J68" i="37"/>
  <c r="I68" i="37"/>
  <c r="H68" i="37"/>
  <c r="G68" i="37"/>
  <c r="F68" i="37"/>
  <c r="E68" i="37"/>
  <c r="D68" i="37"/>
  <c r="C68" i="37"/>
  <c r="B68" i="37"/>
  <c r="N67" i="37"/>
  <c r="M67" i="37"/>
  <c r="L67" i="37"/>
  <c r="K67" i="37"/>
  <c r="J67" i="37"/>
  <c r="I67" i="37"/>
  <c r="H67" i="37"/>
  <c r="G67" i="37"/>
  <c r="F67" i="37"/>
  <c r="E67" i="37"/>
  <c r="D67" i="37"/>
  <c r="C67" i="37"/>
  <c r="B67" i="37"/>
  <c r="O46" i="37"/>
  <c r="M35" i="37"/>
  <c r="L35" i="37"/>
  <c r="K35" i="37"/>
  <c r="J35" i="37"/>
  <c r="I35" i="37"/>
  <c r="H35" i="37"/>
  <c r="G35" i="37"/>
  <c r="F35" i="37"/>
  <c r="E35" i="37"/>
  <c r="D35" i="37"/>
  <c r="C35" i="37"/>
  <c r="B35" i="37"/>
  <c r="N34" i="37"/>
  <c r="M34" i="37"/>
  <c r="L34" i="37"/>
  <c r="K34" i="37"/>
  <c r="J34" i="37"/>
  <c r="I34" i="37"/>
  <c r="H34" i="37"/>
  <c r="G34" i="37"/>
  <c r="F34" i="37"/>
  <c r="E34" i="37"/>
  <c r="D34" i="37"/>
  <c r="C34" i="37"/>
  <c r="B34" i="37"/>
  <c r="O13" i="37"/>
  <c r="C128" i="37" l="1"/>
  <c r="C130" i="37"/>
  <c r="C83" i="37"/>
  <c r="D133" i="37"/>
  <c r="C85" i="37"/>
  <c r="B88" i="37"/>
  <c r="C84" i="37"/>
  <c r="C88" i="37" s="1"/>
  <c r="B133" i="37"/>
  <c r="E129" i="37" s="1"/>
  <c r="D88" i="37"/>
  <c r="C129" i="37"/>
  <c r="C133" i="37" l="1"/>
  <c r="E130" i="37"/>
  <c r="E128" i="37"/>
  <c r="E133" i="37" s="1"/>
  <c r="E83" i="37"/>
  <c r="E85" i="37"/>
  <c r="E84" i="37"/>
  <c r="E88" i="37" l="1"/>
  <c r="L73" i="18"/>
  <c r="F23" i="31" l="1"/>
  <c r="F23" i="29"/>
  <c r="F10" i="31"/>
  <c r="E8" i="31"/>
  <c r="C10" i="30"/>
  <c r="I26" i="22" a="1"/>
  <c r="I26" i="22" s="1"/>
  <c r="I25" i="22" a="1"/>
  <c r="I25" i="22" s="1"/>
  <c r="H26" i="22"/>
  <c r="H25" i="22"/>
  <c r="F29" i="22"/>
  <c r="G26" i="22"/>
  <c r="H27" i="22" l="1"/>
  <c r="L80" i="18"/>
  <c r="L79" i="18"/>
  <c r="K79" i="18" s="1"/>
  <c r="N79" i="18" s="1"/>
  <c r="O79" i="18" s="1"/>
  <c r="K73" i="18"/>
  <c r="E47" i="18"/>
  <c r="D47" i="18"/>
  <c r="F47" i="18" s="1"/>
  <c r="D48" i="18"/>
  <c r="F48" i="18" s="1"/>
  <c r="C10" i="5"/>
  <c r="C10" i="2"/>
  <c r="M80" i="18" l="1"/>
  <c r="K80" i="18"/>
  <c r="N80" i="18" s="1"/>
  <c r="O80" i="18" s="1"/>
  <c r="M79" i="18"/>
  <c r="O170" i="18" l="1"/>
  <c r="F10" i="29"/>
  <c r="E8" i="29"/>
  <c r="M73" i="18"/>
  <c r="L74" i="18"/>
  <c r="M74" i="18" s="1"/>
  <c r="O172" i="18" l="1"/>
  <c r="O176" i="18"/>
  <c r="O175" i="18"/>
  <c r="K74" i="18"/>
  <c r="N74" i="18" s="1"/>
  <c r="O74" i="18" s="1"/>
  <c r="N73" i="18"/>
  <c r="O73" i="18" s="1"/>
  <c r="O177" i="18" l="1"/>
  <c r="O122" i="18"/>
  <c r="O121" i="18"/>
  <c r="O173" i="18" s="1"/>
  <c r="E48" i="18"/>
  <c r="O153" i="18" l="1"/>
  <c r="O150" i="18"/>
  <c r="O152" i="18"/>
  <c r="O151" i="18"/>
  <c r="O174" i="18"/>
  <c r="N170" i="18"/>
  <c r="O171" i="18"/>
  <c r="O120" i="18" l="1"/>
  <c r="N172" i="18"/>
  <c r="N176" i="18"/>
  <c r="N175" i="18"/>
  <c r="C10" i="27"/>
  <c r="N177" i="18" l="1"/>
  <c r="K15" i="22"/>
  <c r="K12" i="22"/>
  <c r="G25" i="22" l="1" a="1"/>
  <c r="G25" i="22" s="1"/>
  <c r="G27" i="22" l="1"/>
  <c r="D79" i="18" l="1"/>
  <c r="D78" i="18"/>
  <c r="D69" i="18"/>
  <c r="G24" i="22" l="1"/>
  <c r="F26" i="22"/>
  <c r="F25" i="22"/>
  <c r="M29" i="22"/>
  <c r="L29" i="22"/>
  <c r="K29" i="22"/>
  <c r="J29" i="22"/>
  <c r="I29" i="22"/>
  <c r="H29" i="22"/>
  <c r="G29" i="22"/>
  <c r="G28" i="22"/>
  <c r="F28" i="22"/>
  <c r="F27" i="22" l="1"/>
  <c r="K9" i="10"/>
  <c r="J9" i="10"/>
  <c r="I9" i="10"/>
  <c r="H9" i="10"/>
  <c r="G9" i="10"/>
  <c r="F9" i="10"/>
  <c r="K9" i="8"/>
  <c r="J9" i="8"/>
  <c r="I9" i="8"/>
  <c r="H9" i="8"/>
  <c r="G9" i="8"/>
  <c r="F9" i="8"/>
  <c r="G77" i="18"/>
  <c r="G76" i="18"/>
  <c r="G75" i="18"/>
  <c r="G74" i="18"/>
  <c r="G73" i="18"/>
  <c r="G72" i="18"/>
  <c r="G71" i="18"/>
  <c r="G70" i="18"/>
  <c r="G69" i="18"/>
  <c r="L69" i="18" l="1"/>
  <c r="L68" i="18"/>
  <c r="M12" i="22"/>
  <c r="M15" i="22"/>
  <c r="J12" i="22"/>
  <c r="J15" i="22" s="1"/>
  <c r="F11" i="22"/>
  <c r="G13" i="22"/>
  <c r="G22" i="22"/>
  <c r="G11" i="22"/>
  <c r="I11" i="22"/>
  <c r="I17" i="22" l="1"/>
  <c r="G17" i="22"/>
  <c r="H17" i="22"/>
  <c r="I13" i="22"/>
  <c r="M20" i="22"/>
  <c r="K20" i="22"/>
  <c r="M18" i="22"/>
  <c r="I9" i="22"/>
  <c r="K18" i="22" l="1"/>
  <c r="B56" i="18" l="1"/>
  <c r="D72" i="18" l="1"/>
  <c r="G52" i="18" l="1"/>
  <c r="B52" i="18" l="1"/>
  <c r="D71" i="18" l="1"/>
  <c r="D77" i="18"/>
  <c r="D76" i="18"/>
  <c r="D75" i="18"/>
  <c r="D74" i="18"/>
  <c r="D73" i="18"/>
  <c r="D70" i="18"/>
  <c r="C68" i="18" l="1"/>
  <c r="C78" i="18"/>
  <c r="C76" i="18"/>
  <c r="C70" i="18"/>
  <c r="C69" i="18"/>
  <c r="C75" i="18"/>
  <c r="C71" i="18"/>
  <c r="C73" i="18"/>
  <c r="C77" i="18"/>
  <c r="C74" i="18"/>
  <c r="D80" i="18"/>
  <c r="B68" i="18" s="1"/>
  <c r="K68" i="18" l="1"/>
  <c r="K69" i="18"/>
  <c r="C80" i="18"/>
  <c r="B79" i="18"/>
  <c r="B73" i="18"/>
  <c r="B72" i="18"/>
  <c r="B78" i="18"/>
  <c r="B71" i="18"/>
  <c r="B74" i="18"/>
  <c r="B76" i="18"/>
  <c r="B75" i="18"/>
  <c r="B77" i="18"/>
  <c r="B70" i="18"/>
  <c r="B69" i="18"/>
  <c r="B62" i="18"/>
  <c r="B61" i="18"/>
  <c r="B60" i="18"/>
  <c r="B59" i="18"/>
  <c r="B58" i="18"/>
  <c r="B57" i="18"/>
  <c r="B55" i="18"/>
  <c r="B53" i="18"/>
  <c r="B54" i="18"/>
  <c r="G53" i="18"/>
  <c r="G54" i="18"/>
  <c r="G55" i="18"/>
  <c r="B63" i="18" l="1"/>
  <c r="B80" i="18"/>
  <c r="O135" i="18" l="1"/>
  <c r="O137" i="18"/>
  <c r="O142" i="18"/>
  <c r="O144" i="18"/>
  <c r="O146" i="18"/>
  <c r="O148" i="18"/>
  <c r="O136" i="18"/>
  <c r="O138" i="18"/>
  <c r="O141" i="18"/>
  <c r="O143" i="18"/>
  <c r="O145" i="18"/>
  <c r="O147" i="18"/>
  <c r="O149" i="18"/>
  <c r="O123" i="18"/>
  <c r="O155" i="18" l="1"/>
  <c r="O119" i="18"/>
  <c r="M24" i="22" l="1"/>
  <c r="B29" i="18" l="1"/>
  <c r="K14" i="10" l="1"/>
  <c r="K13" i="10"/>
  <c r="K12" i="10"/>
  <c r="I14" i="10"/>
  <c r="I13" i="10"/>
  <c r="I12" i="10"/>
  <c r="G14" i="10"/>
  <c r="G13" i="10"/>
  <c r="G12" i="10"/>
  <c r="K14" i="8"/>
  <c r="K13" i="8"/>
  <c r="K12" i="8"/>
  <c r="I14" i="8"/>
  <c r="I13" i="8"/>
  <c r="I12" i="8"/>
  <c r="G14" i="8"/>
  <c r="G13" i="8"/>
  <c r="G12" i="8"/>
  <c r="G61" i="18" l="1"/>
  <c r="G60" i="18"/>
  <c r="G59" i="18"/>
  <c r="G58" i="18"/>
  <c r="G57" i="18"/>
  <c r="G56" i="18"/>
  <c r="F17" i="22" l="1"/>
  <c r="K24" i="22" l="1"/>
  <c r="I24" i="22"/>
  <c r="M23" i="22"/>
  <c r="L23" i="22"/>
  <c r="G23" i="22"/>
  <c r="F23" i="22"/>
  <c r="H22" i="22"/>
  <c r="F22" i="22"/>
  <c r="I21" i="22"/>
  <c r="H21" i="22"/>
  <c r="G21" i="22"/>
  <c r="F21" i="22"/>
  <c r="G20" i="22"/>
  <c r="I19" i="22"/>
  <c r="H19" i="22"/>
  <c r="L18" i="22"/>
  <c r="J18" i="22"/>
  <c r="I18" i="22"/>
  <c r="H18" i="22"/>
  <c r="G18" i="22"/>
  <c r="F18" i="22"/>
  <c r="F20" i="22" s="1"/>
  <c r="M17" i="22"/>
  <c r="L17" i="22"/>
  <c r="K17" i="22"/>
  <c r="J17" i="22"/>
  <c r="F16" i="22"/>
  <c r="I15" i="22"/>
  <c r="G15" i="22"/>
  <c r="M14" i="22"/>
  <c r="L14" i="22"/>
  <c r="G14" i="22"/>
  <c r="F14" i="22"/>
  <c r="H13" i="22"/>
  <c r="F13" i="22"/>
  <c r="L12" i="22"/>
  <c r="I12" i="22"/>
  <c r="H12" i="22"/>
  <c r="G12" i="22"/>
  <c r="F12" i="22"/>
  <c r="H11" i="22"/>
  <c r="I10" i="22"/>
  <c r="H10" i="22"/>
  <c r="H9" i="22"/>
  <c r="F15" i="22" l="1"/>
  <c r="H15" i="22"/>
  <c r="J20" i="22"/>
  <c r="J24" i="22" s="1"/>
  <c r="L20" i="22"/>
  <c r="L24" i="22" s="1"/>
  <c r="L15" i="22"/>
  <c r="F24" i="22"/>
  <c r="H20" i="22"/>
  <c r="I20" i="22" l="1"/>
  <c r="H24" i="22"/>
  <c r="O140" i="18" l="1"/>
  <c r="N140" i="18"/>
  <c r="M140" i="18"/>
  <c r="L140" i="18"/>
  <c r="K140" i="18"/>
  <c r="J140" i="18"/>
  <c r="I140" i="18"/>
  <c r="H140" i="18"/>
  <c r="G140" i="18"/>
  <c r="F140" i="18"/>
  <c r="E140" i="18"/>
  <c r="D140" i="18"/>
  <c r="C140" i="18"/>
  <c r="N122" i="18"/>
  <c r="M122" i="18"/>
  <c r="L122" i="18"/>
  <c r="K122" i="18"/>
  <c r="J122" i="18"/>
  <c r="I122" i="18"/>
  <c r="H122" i="18"/>
  <c r="G122" i="18"/>
  <c r="F122" i="18"/>
  <c r="E122" i="18"/>
  <c r="D122" i="18"/>
  <c r="C122" i="18"/>
  <c r="O127" i="18" l="1"/>
  <c r="O124" i="18"/>
  <c r="N121" i="18"/>
  <c r="N173" i="18" s="1"/>
  <c r="O125" i="18"/>
  <c r="O126" i="18"/>
  <c r="O128" i="18"/>
  <c r="O129" i="18"/>
  <c r="O130" i="18"/>
  <c r="O131" i="18"/>
  <c r="O132" i="18"/>
  <c r="O133" i="18"/>
  <c r="O134" i="18"/>
  <c r="N153" i="18" l="1"/>
  <c r="N150" i="18"/>
  <c r="N152" i="18"/>
  <c r="N151" i="18"/>
  <c r="N174" i="18"/>
  <c r="M170" i="18"/>
  <c r="N171" i="18"/>
  <c r="N135" i="18"/>
  <c r="N137" i="18"/>
  <c r="N142" i="18"/>
  <c r="N144" i="18"/>
  <c r="N146" i="18"/>
  <c r="N148" i="18"/>
  <c r="N136" i="18"/>
  <c r="N141" i="18"/>
  <c r="N143" i="18"/>
  <c r="N145" i="18"/>
  <c r="N147" i="18"/>
  <c r="N149" i="18"/>
  <c r="N138" i="18"/>
  <c r="O139" i="18"/>
  <c r="N124" i="18"/>
  <c r="N127" i="18"/>
  <c r="M121" i="18"/>
  <c r="M173" i="18" s="1"/>
  <c r="N123" i="18"/>
  <c r="N125" i="18"/>
  <c r="N126" i="18"/>
  <c r="N128" i="18"/>
  <c r="N129" i="18"/>
  <c r="N130" i="18"/>
  <c r="N131" i="18"/>
  <c r="N132" i="18"/>
  <c r="N134" i="18"/>
  <c r="N133" i="18"/>
  <c r="M176" i="18" l="1"/>
  <c r="M175" i="18"/>
  <c r="M172" i="18"/>
  <c r="N155" i="18"/>
  <c r="N120" i="18"/>
  <c r="M153" i="18"/>
  <c r="M151" i="18"/>
  <c r="M150" i="18"/>
  <c r="M152" i="18"/>
  <c r="N119" i="18"/>
  <c r="L170" i="18"/>
  <c r="M171" i="18"/>
  <c r="M135" i="18"/>
  <c r="M137" i="18"/>
  <c r="M142" i="18"/>
  <c r="M144" i="18"/>
  <c r="M146" i="18"/>
  <c r="M148" i="18"/>
  <c r="M136" i="18"/>
  <c r="M138" i="18"/>
  <c r="M141" i="18"/>
  <c r="M143" i="18"/>
  <c r="M145" i="18"/>
  <c r="M147" i="18"/>
  <c r="M149" i="18"/>
  <c r="M124" i="18"/>
  <c r="M127" i="18"/>
  <c r="N139" i="18"/>
  <c r="L121" i="18"/>
  <c r="L173" i="18" s="1"/>
  <c r="M123" i="18"/>
  <c r="M125" i="18"/>
  <c r="M126" i="18"/>
  <c r="M128" i="18"/>
  <c r="M129" i="18"/>
  <c r="M130" i="18"/>
  <c r="M131" i="18"/>
  <c r="M132" i="18"/>
  <c r="M133" i="18"/>
  <c r="M134" i="18"/>
  <c r="L176" i="18" l="1"/>
  <c r="L175" i="18"/>
  <c r="L172" i="18"/>
  <c r="M155" i="18"/>
  <c r="M177" i="18"/>
  <c r="L153" i="18"/>
  <c r="L151" i="18"/>
  <c r="L150" i="18"/>
  <c r="L152" i="18"/>
  <c r="M174" i="18"/>
  <c r="M120" i="18"/>
  <c r="K170" i="18"/>
  <c r="L171" i="18"/>
  <c r="M119" i="18"/>
  <c r="L142" i="18"/>
  <c r="L149" i="18"/>
  <c r="L143" i="18"/>
  <c r="L144" i="18"/>
  <c r="L146" i="18"/>
  <c r="L148" i="18"/>
  <c r="L136" i="18"/>
  <c r="L138" i="18"/>
  <c r="L145" i="18"/>
  <c r="L141" i="18"/>
  <c r="L135" i="18"/>
  <c r="L137" i="18"/>
  <c r="L147" i="18"/>
  <c r="L127" i="18"/>
  <c r="L124" i="18"/>
  <c r="M139" i="18"/>
  <c r="K121" i="18"/>
  <c r="K173" i="18" s="1"/>
  <c r="L123" i="18"/>
  <c r="L126" i="18"/>
  <c r="L130" i="18"/>
  <c r="L125" i="18"/>
  <c r="L129" i="18"/>
  <c r="L133" i="18"/>
  <c r="L128" i="18"/>
  <c r="L132" i="18"/>
  <c r="L131" i="18"/>
  <c r="L134" i="18"/>
  <c r="E3" i="16"/>
  <c r="K172" i="18" l="1"/>
  <c r="K176" i="18"/>
  <c r="K175" i="18"/>
  <c r="L177" i="18"/>
  <c r="L155" i="18"/>
  <c r="L174" i="18"/>
  <c r="K153" i="18"/>
  <c r="K151" i="18"/>
  <c r="K150" i="18"/>
  <c r="K152" i="18"/>
  <c r="L120" i="18"/>
  <c r="E3" i="30"/>
  <c r="D2" i="28"/>
  <c r="G3" i="29"/>
  <c r="E3" i="27"/>
  <c r="G3" i="31"/>
  <c r="D2" i="32"/>
  <c r="J170" i="18"/>
  <c r="K171" i="18"/>
  <c r="L119" i="18"/>
  <c r="M3" i="22"/>
  <c r="G8" i="22" s="1"/>
  <c r="I8" i="22" s="1"/>
  <c r="K8" i="22" s="1"/>
  <c r="M8" i="22" s="1"/>
  <c r="E3" i="25"/>
  <c r="E3" i="26"/>
  <c r="K136" i="18"/>
  <c r="K138" i="18"/>
  <c r="K141" i="18"/>
  <c r="K143" i="18"/>
  <c r="K145" i="18"/>
  <c r="K147" i="18"/>
  <c r="K149" i="18"/>
  <c r="K135" i="18"/>
  <c r="K137" i="18"/>
  <c r="K142" i="18"/>
  <c r="K144" i="18"/>
  <c r="K146" i="18"/>
  <c r="K148" i="18"/>
  <c r="K124" i="18"/>
  <c r="K127" i="18"/>
  <c r="L139" i="18"/>
  <c r="E3" i="13"/>
  <c r="J121" i="18"/>
  <c r="J173" i="18" s="1"/>
  <c r="K123" i="18"/>
  <c r="K125" i="18"/>
  <c r="K126" i="18"/>
  <c r="K128" i="18"/>
  <c r="K129" i="18"/>
  <c r="K130" i="18"/>
  <c r="K131" i="18"/>
  <c r="K132" i="18"/>
  <c r="K133" i="18"/>
  <c r="K134" i="18"/>
  <c r="K3" i="10"/>
  <c r="F7" i="10" s="1"/>
  <c r="G8" i="10" s="1"/>
  <c r="E3" i="5"/>
  <c r="E3" i="7"/>
  <c r="E3" i="2"/>
  <c r="K3" i="8"/>
  <c r="F7" i="8" s="1"/>
  <c r="G8" i="8" s="1"/>
  <c r="G62" i="18"/>
  <c r="G78" i="18"/>
  <c r="J172" i="18" l="1"/>
  <c r="J176" i="18"/>
  <c r="J175" i="18"/>
  <c r="K155" i="18"/>
  <c r="K177" i="18"/>
  <c r="K120" i="18"/>
  <c r="K174" i="18"/>
  <c r="J153" i="18"/>
  <c r="J151" i="18"/>
  <c r="J150" i="18"/>
  <c r="J152" i="18"/>
  <c r="K119" i="18"/>
  <c r="I170" i="18"/>
  <c r="J171" i="18"/>
  <c r="C56" i="18"/>
  <c r="C62" i="18"/>
  <c r="C60" i="18"/>
  <c r="J138" i="18"/>
  <c r="J137" i="18"/>
  <c r="J143" i="18"/>
  <c r="J149" i="18"/>
  <c r="J141" i="18"/>
  <c r="J145" i="18"/>
  <c r="J147" i="18"/>
  <c r="J135" i="18"/>
  <c r="J142" i="18"/>
  <c r="J144" i="18"/>
  <c r="J146" i="18"/>
  <c r="J148" i="18"/>
  <c r="J136" i="18"/>
  <c r="H55" i="18"/>
  <c r="H59" i="18"/>
  <c r="H56" i="18"/>
  <c r="H54" i="18"/>
  <c r="H58" i="18"/>
  <c r="H52" i="18"/>
  <c r="H60" i="18"/>
  <c r="H53" i="18"/>
  <c r="H61" i="18"/>
  <c r="H57" i="18"/>
  <c r="C58" i="18"/>
  <c r="C59" i="18"/>
  <c r="C53" i="18"/>
  <c r="C55" i="18"/>
  <c r="C54" i="18"/>
  <c r="C52" i="18"/>
  <c r="C57" i="18"/>
  <c r="C61" i="18"/>
  <c r="J124" i="18"/>
  <c r="J127" i="18"/>
  <c r="K139" i="18"/>
  <c r="I121" i="18"/>
  <c r="I173" i="18" s="1"/>
  <c r="J123" i="18"/>
  <c r="J125" i="18"/>
  <c r="J126" i="18"/>
  <c r="J128" i="18"/>
  <c r="J129" i="18"/>
  <c r="J130" i="18"/>
  <c r="J131" i="18"/>
  <c r="J132" i="18"/>
  <c r="J133" i="18"/>
  <c r="J134" i="18"/>
  <c r="I176" i="18" l="1"/>
  <c r="I175" i="18"/>
  <c r="I172" i="18"/>
  <c r="J177" i="18"/>
  <c r="J155" i="18"/>
  <c r="J174" i="18"/>
  <c r="J120" i="18"/>
  <c r="I153" i="18"/>
  <c r="I150" i="18"/>
  <c r="I152" i="18"/>
  <c r="I151" i="18"/>
  <c r="H170" i="18"/>
  <c r="I171" i="18"/>
  <c r="J119" i="18"/>
  <c r="K52" i="18"/>
  <c r="K53" i="18"/>
  <c r="L53" i="18"/>
  <c r="L52" i="18"/>
  <c r="I141" i="18"/>
  <c r="I143" i="18"/>
  <c r="I145" i="18"/>
  <c r="I147" i="18"/>
  <c r="I149" i="18"/>
  <c r="I135" i="18"/>
  <c r="I137" i="18"/>
  <c r="I142" i="18"/>
  <c r="I144" i="18"/>
  <c r="I146" i="18"/>
  <c r="I148" i="18"/>
  <c r="I136" i="18"/>
  <c r="I138" i="18"/>
  <c r="I124" i="18"/>
  <c r="I127" i="18"/>
  <c r="J139" i="18"/>
  <c r="H121" i="18"/>
  <c r="H173" i="18" s="1"/>
  <c r="I123" i="18"/>
  <c r="I125" i="18"/>
  <c r="I126" i="18"/>
  <c r="I128" i="18"/>
  <c r="I129" i="18"/>
  <c r="I130" i="18"/>
  <c r="I131" i="18"/>
  <c r="I132" i="18"/>
  <c r="I133" i="18"/>
  <c r="I134" i="18"/>
  <c r="H62" i="18"/>
  <c r="C63" i="18"/>
  <c r="H175" i="18" l="1"/>
  <c r="H172" i="18"/>
  <c r="H174" i="18" s="1"/>
  <c r="H176" i="18"/>
  <c r="H177" i="18" s="1"/>
  <c r="I177" i="18"/>
  <c r="I155" i="18"/>
  <c r="I120" i="18"/>
  <c r="H153" i="18"/>
  <c r="H150" i="18"/>
  <c r="H152" i="18"/>
  <c r="H151" i="18"/>
  <c r="I174" i="18"/>
  <c r="I119" i="18"/>
  <c r="H171" i="18"/>
  <c r="G170" i="18"/>
  <c r="H147" i="18"/>
  <c r="H149" i="18"/>
  <c r="H141" i="18"/>
  <c r="H143" i="18"/>
  <c r="H145" i="18"/>
  <c r="H144" i="18"/>
  <c r="H135" i="18"/>
  <c r="H137" i="18"/>
  <c r="H148" i="18"/>
  <c r="H136" i="18"/>
  <c r="H138" i="18"/>
  <c r="H142" i="18"/>
  <c r="H146" i="18"/>
  <c r="H127" i="18"/>
  <c r="H124" i="18"/>
  <c r="I139" i="18"/>
  <c r="G121" i="18"/>
  <c r="G173" i="18" s="1"/>
  <c r="H123" i="18"/>
  <c r="H125" i="18"/>
  <c r="H129" i="18"/>
  <c r="H133" i="18"/>
  <c r="H130" i="18"/>
  <c r="H128" i="18"/>
  <c r="H132" i="18"/>
  <c r="H134" i="18"/>
  <c r="H131" i="18"/>
  <c r="H126" i="18"/>
  <c r="K8" i="10"/>
  <c r="I8" i="10"/>
  <c r="G175" i="18" l="1"/>
  <c r="G172" i="18"/>
  <c r="G176" i="18"/>
  <c r="H155" i="18"/>
  <c r="H120" i="18"/>
  <c r="G153" i="18"/>
  <c r="G150" i="18"/>
  <c r="G152" i="18"/>
  <c r="G151" i="18"/>
  <c r="H119" i="18"/>
  <c r="G171" i="18"/>
  <c r="F170" i="18"/>
  <c r="G141" i="18"/>
  <c r="G135" i="18"/>
  <c r="G137" i="18"/>
  <c r="G142" i="18"/>
  <c r="G144" i="18"/>
  <c r="G146" i="18"/>
  <c r="G148" i="18"/>
  <c r="G136" i="18"/>
  <c r="G138" i="18"/>
  <c r="G143" i="18"/>
  <c r="G145" i="18"/>
  <c r="G147" i="18"/>
  <c r="G149" i="18"/>
  <c r="G127" i="18"/>
  <c r="G124" i="18"/>
  <c r="H139" i="18"/>
  <c r="F121" i="18"/>
  <c r="F173" i="18" s="1"/>
  <c r="G123" i="18"/>
  <c r="G125" i="18"/>
  <c r="G126" i="18"/>
  <c r="G128" i="18"/>
  <c r="G129" i="18"/>
  <c r="G130" i="18"/>
  <c r="G131" i="18"/>
  <c r="G132" i="18"/>
  <c r="G133" i="18"/>
  <c r="G134" i="18"/>
  <c r="K8" i="8"/>
  <c r="I8" i="8"/>
  <c r="F175" i="18" l="1"/>
  <c r="F172" i="18"/>
  <c r="F176" i="18"/>
  <c r="G155" i="18"/>
  <c r="G177" i="18"/>
  <c r="G120" i="18"/>
  <c r="F153" i="18"/>
  <c r="F150" i="18"/>
  <c r="F152" i="18"/>
  <c r="F151" i="18"/>
  <c r="G174" i="18"/>
  <c r="G119" i="18"/>
  <c r="F171" i="18"/>
  <c r="E170" i="18"/>
  <c r="F141" i="18"/>
  <c r="F137" i="18"/>
  <c r="F138" i="18"/>
  <c r="F135" i="18"/>
  <c r="F142" i="18"/>
  <c r="F144" i="18"/>
  <c r="F146" i="18"/>
  <c r="F148" i="18"/>
  <c r="F143" i="18"/>
  <c r="F145" i="18"/>
  <c r="F147" i="18"/>
  <c r="F149" i="18"/>
  <c r="F136" i="18"/>
  <c r="F124" i="18"/>
  <c r="F127" i="18"/>
  <c r="G139" i="18"/>
  <c r="E121" i="18"/>
  <c r="E173" i="18" s="1"/>
  <c r="F123" i="18"/>
  <c r="F125" i="18"/>
  <c r="F126" i="18"/>
  <c r="F128" i="18"/>
  <c r="F129" i="18"/>
  <c r="F130" i="18"/>
  <c r="F131" i="18"/>
  <c r="F132" i="18"/>
  <c r="F133" i="18"/>
  <c r="F134" i="18"/>
  <c r="E12" i="16"/>
  <c r="E16" i="16"/>
  <c r="E15" i="16"/>
  <c r="E14" i="16"/>
  <c r="E13" i="16"/>
  <c r="E11" i="16"/>
  <c r="E9" i="16"/>
  <c r="E8" i="16"/>
  <c r="E175" i="18" l="1"/>
  <c r="E176" i="18"/>
  <c r="E172" i="18"/>
  <c r="F177" i="18"/>
  <c r="F120" i="18"/>
  <c r="F155" i="18"/>
  <c r="E153" i="18"/>
  <c r="E151" i="18"/>
  <c r="E152" i="18"/>
  <c r="E150" i="18"/>
  <c r="F174" i="18"/>
  <c r="F119" i="18"/>
  <c r="D170" i="18"/>
  <c r="E171" i="18"/>
  <c r="E142" i="18"/>
  <c r="E144" i="18"/>
  <c r="E146" i="18"/>
  <c r="E148" i="18"/>
  <c r="E136" i="18"/>
  <c r="E138" i="18"/>
  <c r="E141" i="18"/>
  <c r="E143" i="18"/>
  <c r="E145" i="18"/>
  <c r="E147" i="18"/>
  <c r="E149" i="18"/>
  <c r="E135" i="18"/>
  <c r="E137" i="18"/>
  <c r="E124" i="18"/>
  <c r="E127" i="18"/>
  <c r="F139" i="18"/>
  <c r="D121" i="18"/>
  <c r="D173" i="18" s="1"/>
  <c r="E123" i="18"/>
  <c r="E125" i="18"/>
  <c r="E126" i="18"/>
  <c r="E128" i="18"/>
  <c r="E129" i="18"/>
  <c r="E130" i="18"/>
  <c r="E131" i="18"/>
  <c r="E132" i="18"/>
  <c r="E133" i="18"/>
  <c r="E134" i="18"/>
  <c r="E177" i="18" l="1"/>
  <c r="D175" i="18"/>
  <c r="D176" i="18"/>
  <c r="D172" i="18"/>
  <c r="E155" i="18"/>
  <c r="D153" i="18"/>
  <c r="D151" i="18"/>
  <c r="D152" i="18"/>
  <c r="D150" i="18"/>
  <c r="E174" i="18"/>
  <c r="E120" i="18"/>
  <c r="D171" i="18"/>
  <c r="C170" i="18"/>
  <c r="C121" i="18"/>
  <c r="C173" i="18" s="1"/>
  <c r="E119" i="18"/>
  <c r="D146" i="18"/>
  <c r="D143" i="18"/>
  <c r="D142" i="18"/>
  <c r="D136" i="18"/>
  <c r="D138" i="18"/>
  <c r="D141" i="18"/>
  <c r="D147" i="18"/>
  <c r="D135" i="18"/>
  <c r="D137" i="18"/>
  <c r="D144" i="18"/>
  <c r="D148" i="18"/>
  <c r="D145" i="18"/>
  <c r="D149" i="18"/>
  <c r="D127" i="18"/>
  <c r="D124" i="18"/>
  <c r="E139" i="18"/>
  <c r="D123" i="18"/>
  <c r="D125" i="18"/>
  <c r="D128" i="18"/>
  <c r="D132" i="18"/>
  <c r="D133" i="18"/>
  <c r="D131" i="18"/>
  <c r="D126" i="18"/>
  <c r="D130" i="18"/>
  <c r="D129" i="18"/>
  <c r="D134" i="18"/>
  <c r="C172" i="18" l="1"/>
  <c r="C176" i="18"/>
  <c r="C175" i="18"/>
  <c r="D155" i="18"/>
  <c r="D177" i="18"/>
  <c r="C135" i="18"/>
  <c r="C153" i="18"/>
  <c r="C152" i="18"/>
  <c r="C151" i="18"/>
  <c r="C150" i="18"/>
  <c r="C149" i="18"/>
  <c r="C134" i="18"/>
  <c r="D174" i="18"/>
  <c r="D120" i="18"/>
  <c r="C136" i="18"/>
  <c r="C171" i="18"/>
  <c r="D119" i="18"/>
  <c r="C146" i="18"/>
  <c r="C123" i="18"/>
  <c r="C145" i="18"/>
  <c r="C133" i="18"/>
  <c r="C144" i="18"/>
  <c r="C142" i="18"/>
  <c r="C143" i="18"/>
  <c r="C141" i="18"/>
  <c r="C148" i="18"/>
  <c r="C138" i="18"/>
  <c r="C147" i="18"/>
  <c r="C137" i="18"/>
  <c r="C124" i="18"/>
  <c r="C126" i="18"/>
  <c r="D139" i="18"/>
  <c r="C127" i="18"/>
  <c r="C129" i="18"/>
  <c r="C125" i="18"/>
  <c r="C131" i="18"/>
  <c r="C130" i="18"/>
  <c r="C128" i="18"/>
  <c r="C132" i="18"/>
  <c r="C177" i="18" l="1"/>
  <c r="C174" i="18"/>
  <c r="C120" i="18"/>
  <c r="C155" i="18"/>
  <c r="C119" i="18"/>
  <c r="C139" i="1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<sst xmlns="http://schemas.openxmlformats.org/spreadsheetml/2006/main" count="778" uniqueCount="224">
  <si>
    <r>
      <rPr>
        <vertAlign val="superscript"/>
        <sz val="8"/>
        <color rgb="FF004563"/>
        <rFont val="Arial"/>
        <family val="2"/>
      </rPr>
      <t>(1)</t>
    </r>
    <r>
      <rPr>
        <sz val="8"/>
        <color rgb="FF004563"/>
        <rFont val="Arial"/>
        <family val="2"/>
      </rPr>
      <t xml:space="preserve"> Asignación de unidades de producción según combustible principal.</t>
    </r>
  </si>
  <si>
    <t>Demanda (b.c.)</t>
  </si>
  <si>
    <t>Generación</t>
  </si>
  <si>
    <t>-</t>
  </si>
  <si>
    <t>Solar fotovoltaica</t>
  </si>
  <si>
    <t>Eólica</t>
  </si>
  <si>
    <t>Hidroeólica</t>
  </si>
  <si>
    <t xml:space="preserve">Fuel/gas </t>
  </si>
  <si>
    <t>Turbina de vapor</t>
  </si>
  <si>
    <t>Turbina de gas</t>
  </si>
  <si>
    <t>Motores diésel</t>
  </si>
  <si>
    <t>Carbón</t>
  </si>
  <si>
    <t>Hidráulica</t>
  </si>
  <si>
    <t>GWh</t>
  </si>
  <si>
    <t>Melilla</t>
  </si>
  <si>
    <t>Ceuta</t>
  </si>
  <si>
    <t>Islas Canarias</t>
  </si>
  <si>
    <t>Islas Baleares</t>
  </si>
  <si>
    <r>
      <t xml:space="preserve">Balance de energía eléctrica sistemas no peninsulares </t>
    </r>
    <r>
      <rPr>
        <b/>
        <vertAlign val="superscript"/>
        <sz val="8"/>
        <color rgb="FF004563"/>
        <rFont val="Arial"/>
        <family val="2"/>
      </rPr>
      <t>(1)</t>
    </r>
  </si>
  <si>
    <t>Boletín mensual</t>
  </si>
  <si>
    <t>Total</t>
  </si>
  <si>
    <t>Enlace Península-Baleares</t>
  </si>
  <si>
    <t>Otras renovables</t>
  </si>
  <si>
    <t>Cogeneración</t>
  </si>
  <si>
    <t>Generación auxiliar</t>
  </si>
  <si>
    <t>Ciclo combinado</t>
  </si>
  <si>
    <t>%</t>
  </si>
  <si>
    <t>MW</t>
  </si>
  <si>
    <t>Estructura de potencia instalada mensual. Islas Baleares</t>
  </si>
  <si>
    <t>Estructura de potencia instalada mensual. Islas Canarias</t>
  </si>
  <si>
    <t>Acumulado anual</t>
  </si>
  <si>
    <t>Año móvil</t>
  </si>
  <si>
    <t>Variación mensual</t>
  </si>
  <si>
    <r>
      <t xml:space="preserve">Componentes </t>
    </r>
    <r>
      <rPr>
        <vertAlign val="superscript"/>
        <sz val="8"/>
        <color rgb="FF004563"/>
        <rFont val="Arial"/>
        <family val="2"/>
      </rPr>
      <t>(1)</t>
    </r>
  </si>
  <si>
    <t>Laboralidad</t>
  </si>
  <si>
    <r>
      <t xml:space="preserve">Temperatura </t>
    </r>
    <r>
      <rPr>
        <vertAlign val="superscript"/>
        <sz val="8"/>
        <color rgb="FF004563"/>
        <rFont val="Arial"/>
        <family val="2"/>
      </rPr>
      <t>(2)</t>
    </r>
  </si>
  <si>
    <t>Demanda corregida</t>
  </si>
  <si>
    <r>
      <rPr>
        <vertAlign val="superscript"/>
        <sz val="8"/>
        <color rgb="FF004563"/>
        <rFont val="Arial"/>
        <family val="2"/>
      </rPr>
      <t>(1)</t>
    </r>
    <r>
      <rPr>
        <sz val="8"/>
        <color rgb="FF004563"/>
        <rFont val="Arial"/>
        <family val="2"/>
      </rPr>
      <t xml:space="preserve"> La suma de los componentes es igual al tanto por ciento de variación de la demanda total.</t>
    </r>
  </si>
  <si>
    <r>
      <rPr>
        <vertAlign val="superscript"/>
        <sz val="8"/>
        <color rgb="FF004563"/>
        <rFont val="Arial"/>
        <family val="2"/>
      </rPr>
      <t>(2)</t>
    </r>
    <r>
      <rPr>
        <sz val="8"/>
        <color rgb="FF004563"/>
        <rFont val="Arial"/>
        <family val="2"/>
      </rPr>
      <t xml:space="preserve"> Una media de las temperaturas máximas diarias por debajo o por encima de los umbrales de invierno y verano respectivamente, produce aumento de la demanda.</t>
    </r>
  </si>
  <si>
    <t>Sistemas no peninsulares</t>
  </si>
  <si>
    <t>Componentes de la variación de la demanda Islas Baleares</t>
  </si>
  <si>
    <t>Componentes de la variación de la demanda Islas Canarias</t>
  </si>
  <si>
    <t xml:space="preserve"> </t>
  </si>
  <si>
    <t xml:space="preserve">• </t>
  </si>
  <si>
    <r>
      <rPr>
        <vertAlign val="superscript"/>
        <sz val="8"/>
        <color rgb="FF004563"/>
        <rFont val="Arial"/>
        <family val="2"/>
      </rPr>
      <t>(2)</t>
    </r>
    <r>
      <rPr>
        <sz val="8"/>
        <color rgb="FF004563"/>
        <rFont val="Arial"/>
        <family val="2"/>
      </rPr>
      <t xml:space="preserve"> Incluye funcionamiento en ciclo abierto.</t>
    </r>
  </si>
  <si>
    <t>Balance de energía eléctrica sistemas no peninsulares</t>
  </si>
  <si>
    <t>Residuos renovables</t>
  </si>
  <si>
    <t>Residuos no renovables</t>
  </si>
  <si>
    <t>Nota: Todos los porcentajes de variación están refereridos al mismo período del año anterior.</t>
  </si>
  <si>
    <t>Baleares</t>
  </si>
  <si>
    <t>Canarias</t>
  </si>
  <si>
    <t>Mes (MWh)</t>
  </si>
  <si>
    <t>Mes año anterior (MWh)</t>
  </si>
  <si>
    <t>% Incr. Mes</t>
  </si>
  <si>
    <t>Año (MWh)</t>
  </si>
  <si>
    <t>Año anterior (MWh)</t>
  </si>
  <si>
    <t>% Incr. Año</t>
  </si>
  <si>
    <t>Año móvil (MWh)</t>
  </si>
  <si>
    <t>% Incr. Año móvil</t>
  </si>
  <si>
    <t>Mes</t>
  </si>
  <si>
    <t>Sistema Eléctrico</t>
  </si>
  <si>
    <t>Indicadores</t>
  </si>
  <si>
    <t>Balance</t>
  </si>
  <si>
    <t>Último día mes</t>
  </si>
  <si>
    <t>Potencia Instalada UFI (MW)</t>
  </si>
  <si>
    <t>Últimos 13 meses</t>
  </si>
  <si>
    <r>
      <t xml:space="preserve">Fuel/gas </t>
    </r>
    <r>
      <rPr>
        <vertAlign val="superscript"/>
        <sz val="9"/>
        <color rgb="FF004563"/>
        <rFont val="Segoe UI"/>
        <family val="2"/>
      </rPr>
      <t>(1)</t>
    </r>
  </si>
  <si>
    <r>
      <t xml:space="preserve">Evolución de la cobertura de la demanda de las </t>
    </r>
    <r>
      <rPr>
        <b/>
        <sz val="10"/>
        <color theme="1"/>
        <rFont val="Segoe UI"/>
        <family val="2"/>
      </rPr>
      <t>Islas Baleares</t>
    </r>
  </si>
  <si>
    <r>
      <t xml:space="preserve">Evolución de la cobertura de la demanda de las </t>
    </r>
    <r>
      <rPr>
        <b/>
        <sz val="10"/>
        <color theme="1"/>
        <rFont val="Segoe UI"/>
        <family val="2"/>
      </rPr>
      <t>Islas Canarias</t>
    </r>
  </si>
  <si>
    <t>Motores diesel</t>
  </si>
  <si>
    <t>Demanda transporte (b.c.)</t>
  </si>
  <si>
    <t>Generación renovable</t>
  </si>
  <si>
    <t>Generación no renovable</t>
  </si>
  <si>
    <r>
      <t xml:space="preserve">Otras renovables </t>
    </r>
    <r>
      <rPr>
        <vertAlign val="superscript"/>
        <sz val="8"/>
        <color rgb="FF004563"/>
        <rFont val="Arial"/>
        <family val="2"/>
      </rPr>
      <t>(2)</t>
    </r>
  </si>
  <si>
    <r>
      <t xml:space="preserve">Ciclo combinado </t>
    </r>
    <r>
      <rPr>
        <vertAlign val="superscript"/>
        <sz val="8"/>
        <color rgb="FF004563"/>
        <rFont val="Arial"/>
        <family val="2"/>
      </rPr>
      <t>(3)</t>
    </r>
  </si>
  <si>
    <r>
      <rPr>
        <vertAlign val="superscript"/>
        <sz val="8"/>
        <color rgb="FF004563"/>
        <rFont val="Arial"/>
        <family val="2"/>
      </rPr>
      <t>(3)</t>
    </r>
    <r>
      <rPr>
        <sz val="8"/>
        <color rgb="FF004563"/>
        <rFont val="Arial"/>
        <family val="2"/>
      </rPr>
      <t xml:space="preserve"> Incluye funcionamiento en ciclo abierto. En el sistema eléctrico de Canarias utiliza gasoil como combustible principal.</t>
    </r>
  </si>
  <si>
    <r>
      <rPr>
        <vertAlign val="superscript"/>
        <sz val="8"/>
        <color rgb="FF004563"/>
        <rFont val="Arial"/>
        <family val="2"/>
      </rPr>
      <t>(4)</t>
    </r>
    <r>
      <rPr>
        <sz val="8"/>
        <color rgb="FF004563"/>
        <rFont val="Arial"/>
        <family val="2"/>
      </rPr>
      <t xml:space="preserve"> Valor positivo: entrada de energía en el sistema; valor negativo: salida de energía del sistema.</t>
    </r>
  </si>
  <si>
    <r>
      <t xml:space="preserve">Enlace Península-Baleares </t>
    </r>
    <r>
      <rPr>
        <vertAlign val="superscript"/>
        <sz val="8"/>
        <color rgb="FF004563"/>
        <rFont val="Arial"/>
        <family val="2"/>
      </rPr>
      <t>(4)</t>
    </r>
  </si>
  <si>
    <r>
      <rPr>
        <vertAlign val="superscript"/>
        <sz val="8"/>
        <color rgb="FF004563"/>
        <rFont val="Arial"/>
        <family val="2"/>
      </rPr>
      <t>(1)</t>
    </r>
    <r>
      <rPr>
        <sz val="8"/>
        <color rgb="FF004563"/>
        <rFont val="Arial"/>
        <family val="2"/>
      </rPr>
      <t xml:space="preserve"> Incluye motores diésel y turbina de gas</t>
    </r>
  </si>
  <si>
    <r>
      <rPr>
        <vertAlign val="superscript"/>
        <sz val="8"/>
        <color rgb="FF004563"/>
        <rFont val="Arial"/>
        <family val="2"/>
      </rPr>
      <t>(1)</t>
    </r>
    <r>
      <rPr>
        <sz val="8"/>
        <color rgb="FF004563"/>
        <rFont val="Arial"/>
        <family val="2"/>
      </rPr>
      <t xml:space="preserve"> Incluye motores diésel, turbina de gas y vapor.</t>
    </r>
  </si>
  <si>
    <t>Variación Demanda B.C. Mes (%)</t>
  </si>
  <si>
    <t>Efecto Laboralidad Mes (%)</t>
  </si>
  <si>
    <t>Efecto Temperatura Mes (%)</t>
  </si>
  <si>
    <t>Variación Demanda Corregida Mes Móvil (%)</t>
  </si>
  <si>
    <t>Variación Demanda B.C. Año (%)</t>
  </si>
  <si>
    <t>Efecto Laboralidad Año (%)</t>
  </si>
  <si>
    <t>Efecto Temperatura Año (%)</t>
  </si>
  <si>
    <t>Variación Demanda Corregida Año (%)</t>
  </si>
  <si>
    <t>Variación Demanda B.C. Año Móvil (%)</t>
  </si>
  <si>
    <t>Efecto Laboralidad Año Movil (%)</t>
  </si>
  <si>
    <t>Efecto Temperatura Año Movil (%)</t>
  </si>
  <si>
    <t>Variación Demanda Corregida Año Móvil (%)</t>
  </si>
  <si>
    <t>Día</t>
  </si>
  <si>
    <t>MWh</t>
  </si>
  <si>
    <t>Enero 2025</t>
  </si>
  <si>
    <t>Entrega batería</t>
  </si>
  <si>
    <t>Carga batería</t>
  </si>
  <si>
    <t>Febrero 2025</t>
  </si>
  <si>
    <t>Saldo almacenamiento</t>
  </si>
  <si>
    <t>Estructura de potencia instalada de generación Islas Baleares</t>
  </si>
  <si>
    <t>Estructura de potencia instalada de generación Islas Canarias</t>
  </si>
  <si>
    <t xml:space="preserve">Evolución de la estructura de generación de las Islas Baleares
</t>
  </si>
  <si>
    <t xml:space="preserve">Evolución de la estructura de generación de las Islas Canarias
</t>
  </si>
  <si>
    <t>Cobertura de la demanda y estructura de generación mensual. Islas Baleares</t>
  </si>
  <si>
    <t>Estructura de generación mensual. Islas Canarias</t>
  </si>
  <si>
    <t>Estructura generación (%)</t>
  </si>
  <si>
    <t>Cobertura demanda (%)</t>
  </si>
  <si>
    <t>Estructura de generación mensual Islas Baleares</t>
  </si>
  <si>
    <t>Estructura de generación mensual Islas Canarias</t>
  </si>
  <si>
    <r>
      <rPr>
        <vertAlign val="superscript"/>
        <sz val="8"/>
        <color rgb="FF004563"/>
        <rFont val="Arial"/>
        <family val="2"/>
      </rPr>
      <t>(2)</t>
    </r>
    <r>
      <rPr>
        <sz val="8"/>
        <color rgb="FF004563"/>
        <rFont val="Arial"/>
        <family val="2"/>
      </rPr>
      <t xml:space="preserve"> Incluye biogás.</t>
    </r>
  </si>
  <si>
    <t>Marzo 2025</t>
  </si>
  <si>
    <t>No renovables</t>
  </si>
  <si>
    <t>Renovables</t>
  </si>
  <si>
    <t>Baleares (%)</t>
  </si>
  <si>
    <t>Canarias (%)</t>
  </si>
  <si>
    <r>
      <rPr>
        <vertAlign val="superscript"/>
        <sz val="8"/>
        <color rgb="FF004563"/>
        <rFont val="Arial"/>
        <family val="2"/>
      </rPr>
      <t>(1)</t>
    </r>
    <r>
      <rPr>
        <sz val="8"/>
        <color rgb="FF004563"/>
        <rFont val="Arial"/>
        <family val="2"/>
      </rPr>
      <t xml:space="preserve"> Incluye funcionamiento en ciclo abierto.</t>
    </r>
  </si>
  <si>
    <r>
      <t xml:space="preserve">Ciclo combinado </t>
    </r>
    <r>
      <rPr>
        <vertAlign val="superscript"/>
        <sz val="9"/>
        <color rgb="FF004563"/>
        <rFont val="Segoe UI"/>
        <family val="2"/>
      </rPr>
      <t>(1)</t>
    </r>
  </si>
  <si>
    <t>Abril 2025</t>
  </si>
  <si>
    <t>Mayo 2025</t>
  </si>
  <si>
    <t>Producción</t>
  </si>
  <si>
    <t>Estructura de potencia instalada de almacenamiento 
Islas Baleares</t>
  </si>
  <si>
    <t>Baterías</t>
  </si>
  <si>
    <t>Saldo</t>
  </si>
  <si>
    <t>Entregas a la red</t>
  </si>
  <si>
    <t>Tomas de la red</t>
  </si>
  <si>
    <t>Evolución de la energía de almacenamiento 
Islas Baleares</t>
  </si>
  <si>
    <t>Balance de energía de almacenamiento 
Islas Baleares</t>
  </si>
  <si>
    <t>Saldo total Islas Baleares</t>
  </si>
  <si>
    <t>Entrega baterías</t>
  </si>
  <si>
    <t>Estructura de energía de almacenamiento Islas Baleares</t>
  </si>
  <si>
    <t>Junio 2025</t>
  </si>
  <si>
    <t>Julio 2025</t>
  </si>
  <si>
    <t>Carga baterías</t>
  </si>
  <si>
    <t>Agosto 2025</t>
  </si>
  <si>
    <t>Septiembre 2025</t>
  </si>
  <si>
    <t>Octubre 2025</t>
  </si>
  <si>
    <t>Estructura de energía de almacenamiento Islas Canarias</t>
  </si>
  <si>
    <t>Saldo almacenamiento Baleares</t>
  </si>
  <si>
    <t>Saldo almacenamiento Canarias</t>
  </si>
  <si>
    <t>Evolución de la energía de almacenamiento (MWh)</t>
  </si>
  <si>
    <t>Estructura de potencia instalada de almacenamiento 
Islas Canarias</t>
  </si>
  <si>
    <t>Evolución de la energía de almacenamiento 
Islas Canarias</t>
  </si>
  <si>
    <t>Balance de energía de almacenamiento 
Islas Canarias</t>
  </si>
  <si>
    <t>Saldo total Islas Canarias</t>
  </si>
  <si>
    <t>Abril 2026</t>
  </si>
  <si>
    <t>Noviembre 2025</t>
  </si>
  <si>
    <t>Diciembre 2025</t>
  </si>
  <si>
    <t>Enero 2026</t>
  </si>
  <si>
    <t>Febrero 2026</t>
  </si>
  <si>
    <t>Marzo 2026</t>
  </si>
  <si>
    <t>Mayo 2026</t>
  </si>
  <si>
    <t>Autoconsumo</t>
  </si>
  <si>
    <t xml:space="preserve">Evolución de la potencia instalada autoconsumo 
Islas Baleares </t>
  </si>
  <si>
    <t xml:space="preserve">Generación autoconsumo 
Islas Baleares </t>
  </si>
  <si>
    <t xml:space="preserve">Evolución de la potencia instalada autoconsumo 
Islas Canarias </t>
  </si>
  <si>
    <t xml:space="preserve">Generación autoconsumo 
Islas Canarias </t>
  </si>
  <si>
    <t>Sistema Extrapeninsular</t>
  </si>
  <si>
    <t>Potencia instalada</t>
  </si>
  <si>
    <t>2025 Julio</t>
  </si>
  <si>
    <t>2025 Agosto</t>
  </si>
  <si>
    <t>2025 Septiembre</t>
  </si>
  <si>
    <t>2025 Octubre</t>
  </si>
  <si>
    <t>2025 Noviembre</t>
  </si>
  <si>
    <t>2025 Diciembre</t>
  </si>
  <si>
    <t>2026 Enero</t>
  </si>
  <si>
    <t>2026 Febrero</t>
  </si>
  <si>
    <t>2026 Marzo</t>
  </si>
  <si>
    <t>Combustible</t>
  </si>
  <si>
    <t>Otras Renovables</t>
  </si>
  <si>
    <t>Solar Fotovoltaica</t>
  </si>
  <si>
    <t>Solar Térmica</t>
  </si>
  <si>
    <t>Ciclo Combinado</t>
  </si>
  <si>
    <t>Motor diésel</t>
  </si>
  <si>
    <t>Residuos no Renovables</t>
  </si>
  <si>
    <t>Residuos Renovables</t>
  </si>
  <si>
    <t>Turbina de Gas</t>
  </si>
  <si>
    <t>Potencia instalada autoconsumo Islas Baleares porcentaje sobre total</t>
  </si>
  <si>
    <t>Potencia autoconsumo/Potencia total</t>
  </si>
  <si>
    <t>Turbina de Vapor</t>
  </si>
  <si>
    <t>Potencia instalada autoconsumo Islas Canarias porcentaje sobre total</t>
  </si>
  <si>
    <t>Generación autoconsumo Islas Baleares (MWh)</t>
  </si>
  <si>
    <t>Energia Generada MWh</t>
  </si>
  <si>
    <t>Energía autoconsumida</t>
  </si>
  <si>
    <t>Combustible Desglose Autoconsumo</t>
  </si>
  <si>
    <t>BIG</t>
  </si>
  <si>
    <t>EOT</t>
  </si>
  <si>
    <t>GFP</t>
  </si>
  <si>
    <t>GSN</t>
  </si>
  <si>
    <t>SOF</t>
  </si>
  <si>
    <t>SOT</t>
  </si>
  <si>
    <t>Total MWh</t>
  </si>
  <si>
    <t>Vertida MWh</t>
  </si>
  <si>
    <t>Autoconsumida MWh</t>
  </si>
  <si>
    <t>Total %</t>
  </si>
  <si>
    <t>Generación total autoconsumo</t>
  </si>
  <si>
    <t>Solar térmica</t>
  </si>
  <si>
    <t>Generación total Islas Baleares (MWh)</t>
  </si>
  <si>
    <t>Generación total</t>
  </si>
  <si>
    <t>Renovables con autoconsumo</t>
  </si>
  <si>
    <t>Generación autoconsumo Islas Canarias (GWh)</t>
  </si>
  <si>
    <t>Generación total Islas Canarias (MWh)</t>
  </si>
  <si>
    <t>2026 Abril</t>
  </si>
  <si>
    <t>Desconocido</t>
  </si>
  <si>
    <t>Junio 2026</t>
  </si>
  <si>
    <t>2026 Mayo</t>
  </si>
  <si>
    <t>Julio 2026</t>
  </si>
  <si>
    <t>2026 Junio</t>
  </si>
  <si>
    <t>31/07/2026</t>
  </si>
  <si>
    <t>&lt;mi app="e" ver="22"&gt;&lt;rptloc guid="1cd74fe626db4be0a2fcb96304e1ba6d" rank="0" ds="1"&gt;&lt;ri hasPG="0" name="Mes del informe" id="6B81E4A345D0B50062DA74B86812DB5B" path="Objetos públicos\Informes\Informes macros\Boletín\Mes del informe"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ut="08/14/2026 12:58:02" si="2.00000001ceef34901a821afc5a818500ce3964ee5d25fa0b8f3cae2223fb4850af83dba34db59f2712c7b325101e5c3daf56365110f3b207079f46947b7f91f37949ffd43caeeb9910fb454128f4b60b54ddbd0584bfc27dc02a8d46f6ecca474b6539bb5599dae3324e634e5885fe2b173f9fcaea66f3dea9f8bcf15ccf904bd3fb94553ca35e1c7e4ca334e77a1881c8fd053b440031f6fbd979cc347bc5b7c7d9e20e242a1c28af4972fa6443b121e9fe959c8ac3146aedea6a4d3eb68433c8f829d504f57a93d3e21fedff2b9ec0a9e46c5f4807e5fcc4e9f2d1f8253854c09250ecd2dbdaab271f3c03a79851d6e6302f47c10e950917964507755b41f9a1cb6eb7c2a960b8b82cabd6625e14503ddc2be465b4d1d424a758927a245f002f0b.p-3082.0.1_-3082.0.1_0.1.Europe/Madrid.upriv*_1*_pidn2*_20*_session*-lat*_1.00000001e8cc9031c3fefdbbd11aa84662cc9a60bc6025e0ceb1f60b3bdf6b158b4b9d1827681c0982a7fc7be59bde8b2df35808dd4d3fde.000000013d5280546127980439dc3d2844ae5c7dbc6025e0d507da8cbbb5fc288224e50ffbcbf72461f4dbe2910f10357c500f94234cadc2.0.1.1.BDEbi.A2E2948BC74B9CF051A963A6CEDDABFA.0-3082.1.1_-0.1.0_-3082.1.1_5.5.0.*0.00000001404c1b38d80a456a125a3b10985ec726c911585a6a555168ea8c5f212b3e6c53ad48d911.0.23.11*.4*.1200*.00787J.e.00000001676816281cd61ade71b588200ab7ff20c911585ae7231671f6e2df546d6bc471307640d5.0.10*.131*.138*.19.*0.0.0.0" msgID="84A49D165F4F679CDDCD0B93248CF059"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ece="A1" enr="MSTR.Último_día_del_mes" ptn="" qtn="" rows="2" cols="2" /&gt;&lt;esdo ews="" ece="" ptn="" /&gt;&lt;/excel&gt;&lt;pgs&gt;&lt;pg rows="1" cols="0" nrr="116" nrc="0"&gt;&lt;pg /&gt;&lt;bls&gt;&lt;bl sr="1" sc="1" rfetch="1" cfetch="0" posid="1" darows="0" dacols="1"&gt;&lt;excel&gt;&lt;epo ews="Dat_01" ece="A1" enr="MSTR.Último_día_del_mes" ptn="" qtn="" rows="2" cols="2" /&gt;&lt;esdo ews="" ece="" ptn="" /&gt;&lt;/excel&gt;&lt;gridRng&gt;&lt;sect id="TITLE_AREA" rngprop="1:1:1:2" /&gt;&lt;sect id="ROWHEADERS_AREA" rngprop="2:1:1:2" /&gt;&lt;sect id="COLUMNHEADERS_AREA" rngprop="0:0:0:0" /&gt;&lt;sect id="DATA_AREA" rngprop="2:3:1:0" /&gt;&lt;/gridRng&gt;&lt;shapes /&gt;&lt;/bl&gt;&lt;/bls&gt;&lt;/pg&gt;&lt;/pgs&gt;&lt;/rptloc&gt;&lt;/mi&gt;</t>
  </si>
  <si>
    <t>&lt;mi app="e" ver="22"&gt;&lt;rptloc guid="51b9243dd4a64af3bc085fad164b8a9f" rank="0" ds="1"&gt;&lt;ri hasPG="0" name="Balance B.C. Mensual Sistemas Eléctricos no Peninsulares" id="0CD2FE5A4DC94A40A112BF8B59A83511" path="Objetos públicos\Informes\Informes macros\Boletín\Balance B.C. Mensual Sistemas Eléctricos no Peninsulares" cf="0" prompt="1" ve="0" vm="0" flashpth="d:\Usuarios\ARACABIV\AppData\Local\Temp\" fimagepth="d:\Usuarios\ARACABIV\AppData\Local\Temp\" swfn="DashboardViewer.swf" fvars="" dvis=""&gt;&lt;ans&gt;&lt;pan pk="B7C3BF0D4428274429E8B8B9E552B212@0@10" aid="" /&gt;&lt;/ans&gt;&lt;ci ps="BI" srv="apbi5a" prj="BDEbi" prjid="A2E2948BC74B9CF051A963A6CEDDABFA" li="SEVPENMA" am="s" /&gt;&lt;lu ut="08/14/2026 13:01:44" si="2.00000001ceef34901a821afc5a818500ce3964ee5d25fa0b8f3cae2223fb4850af83dba34db59f2712c7b325101e5c3daf56365110f3b207079f46947b7f91f37949ffd43caeeb9910fb454128f4b60b54ddbd0584bfc27dc02a8d46f6ecca474b6539bb5599dae3324e634e5885fe2b173f9fcaea66f3dea9f8bcf15ccf904bd3fb94553ca35e1c7e4ca334e77a1881c8fd053b440031f6fbd979cc347bc5b7c7d9e20e242a1c28af4972fa6443b121e9fe959c8ac3146aedea6a4d3eb68433c8f829d504f57a93d3e21fedff2b9ec0a9e46c5f4807e5fcc4e9f2d1f8253854c09250ecd2dbdaab271f3c03a79851d6e6302f47c10e950917964507755b41f9a1cb6eb7c2a960b8b82cabd6625e14503ddc2be465b4d1d424a758927a245f002f0b.p-3082.0.1_-3082.0.1_0.1.Europe/Madrid.upriv*_1*_pidn2*_20*_session*-lat*_1.00000001e8cc9031c3fefdbbd11aa84662cc9a60bc6025e0ceb1f60b3bdf6b158b4b9d1827681c0982a7fc7be59bde8b2df35808dd4d3fde.000000013d5280546127980439dc3d2844ae5c7dbc6025e0d507da8cbbb5fc288224e50ffbcbf72461f4dbe2910f10357c500f94234cadc2.0.1.1.BDEbi.A2E2948BC74B9CF051A963A6CEDDABFA.0-3082.1.1_-0.1.0_-3082.1.1_5.5.0.*0.00000001404c1b38d80a456a125a3b10985ec726c911585a6a555168ea8c5f212b3e6c53ad48d911.0.23.11*.4*.1200*.00787J.e.00000001676816281cd61ade71b588200ab7ff20c911585ae7231671f6e2df546d6bc471307640d5.0.10*.131*.138*.19.*0.0.0.0" msgID="1EBC71543F463B8BDA134594EB9E0D4D"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ece="A4" enr="MSTR.Balance_B.C._Mensual_Sistemas_Eléctricos_no_Peninsulares" ptn="" qtn="" rows="24" cols="33" /&gt;&lt;esdo ews="" ece="" ptn="" /&gt;&lt;/excel&gt;&lt;pgs&gt;&lt;pg rows="20" cols="32" nrr="2102" nrc="3872"&gt;&lt;pg /&gt;&lt;bls&gt;&lt;bl sr="1" sc="1" rfetch="20" cfetch="32" posid="1" darows="0" dacols="1"&gt;&lt;excel&gt;&lt;epo ews="Dat_01" ece="A4" enr="MSTR.Balance_B.C._Mensual_Sistemas_Eléctricos_no_Peninsulares" ptn="" qtn="" rows="24" cols="33" /&gt;&lt;esdo ews="" ece="" ptn="" /&gt;&lt;/excel&gt;&lt;gridRng&gt;&lt;sect id="TITLE_AREA" rngprop="1:1:4:1" /&gt;&lt;sect id="ROWHEADERS_AREA" rngprop="5:1:20:1" /&gt;&lt;sect id="COLUMNHEADERS_AREA" rngprop="1:2:4:32" /&gt;&lt;sect id="DATA_AREA" rngprop="5:2:20:32" /&gt;&lt;/gridRng&gt;&lt;shapes /&gt;&lt;/bl&gt;&lt;/bls&gt;&lt;/pg&gt;&lt;/pgs&gt;&lt;/rptloc&gt;&lt;/mi&gt;</t>
  </si>
  <si>
    <t>Agosto 2026</t>
  </si>
  <si>
    <t>&lt;mi app="e" ver="22"&gt;&lt;rptloc guid="69137ec50e134071a0874318e64c6117" rank="0" ds="1"&gt;&lt;ri hasPG="0" name="Serie Balance B.C. Mensual Baleares y Canarias" id="DC9C734C4A624A40A9D87789D6F66867" path="Objetos públicos\Informes\Informes macros\Boletín\Serie Balance B.C. Mensual Baleares y Canarias" cf="0" prompt="0" ve="0" vm="0" flashpth="d:\Usuarios\ARACABIV\AppData\Local\Temp\" fimagepth="d:\Usuarios\ARACABIV\AppData\Local\Temp\" swfn="DashboardViewer.swf" fvars="" dvis=""&gt;&lt;ci ps="BI" srv="apbi5a" prj="BDEbi" prjid="A2E2948BC74B9CF051A963A6CEDDABFA" li="SEVPENMA" am="s" /&gt;&lt;lu ut="08/17/2026 07:23:42" si="2.000000018739ed58831ef43a526855d1babd71633bd364fadbe0b6cb3d234732ce7204460edd3b12741ee401263f60fa849a5a0acd25dc07460c26c1b204518399f89b5a703823a44f25b433c8c6e720cd2d00fd9c76b95f29aa19ce047b1e05b4d394d83143abaee8f06ae943d0386693c978ba3ca2813c47fe4ccc61fe41d0abd2741ced6d2394925f5c4670b5fe99d0a26a307a6af89b1f82e89b21332359d2637609d1c5edb99adf3fee0e734a09dd53340517a800be1466bea9e4b753ae80811b76bdcbad9c761616befd7e34cd47f479e227ea4c4b91dc6414f084428d23f52df41daebd5ef25ec9ca2fc3b4492b31d1e873a72a9000bed9bc81e0ece6867ac2cad3454657b18f2ac19d106a6c5eea5e7155eaf578310462313ec0b80daaf8.p-3082.0.1_-3082.0.1_0.1.Europe/Madrid.upriv*_1*_pidn2*_22*_session*-lat*_1.00000001c6f138953768e3b38335a011be6aa148bc6025e06d9102c30d91c95fb305bf7e6781bcae3d00c159201ca5482e166f050fcd66eb.0000000170864ed8c49405fe4ef9c34915c006bdbc6025e0a8b28dd4a01759a763ce6e9d6e8c0afd35aceb9e37bb5d01d72dbaf3c86a4acc.0.1.1.BDEbi.A2E2948BC74B9CF051A963A6CEDDABFA.0-3082.1.1_-0.1.0_-3082.1.1_5.5.0.*0.00000001fc552f6515fdfba550b0f2cc93a85599c911585af35250d7cac2007a3b5347bdfd2f0bfc.0.23.11*.4*.1200*.00787J.e.000000015f705d93dac4556a5835cbcca37eb98dc911585a42c8cae535ce5fb06016379ed58880d6.0.10*.131*.138*.19.*0.0.0.0" msgID="4B228DA983462F65E018A98EFCBD61E8"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ece="A85" enr="MSTR.Serie_Balance_B.C._Mensual_Baleares_y_Canarias" ptn="" qtn="" rows="33" cols="22" /&gt;&lt;esdo ews="" ece="" ptn="" /&gt;&lt;/excel&gt;&lt;pgs&gt;&lt;pg rows="30" cols="20" nrr="2985" nrc="2241"&gt;&lt;pg /&gt;&lt;bls&gt;&lt;bl sr="1" sc="1" rfetch="30" cfetch="20" posid="1" darows="0" dacols="1"&gt;&lt;excel&gt;&lt;epo ews="Dat_01" ece="A85" enr="MSTR.Serie_Balance_B.C._Mensual_Baleares_y_Canarias" ptn="" qtn="" rows="33" cols="22" /&gt;&lt;esdo ews="" ece="" ptn="" /&gt;&lt;/excel&gt;&lt;gridRng&gt;&lt;sect id="TITLE_AREA" rngprop="1:1:3:2" /&gt;&lt;sect id="ROWHEADERS_AREA" rngprop="4:1:30:2" /&gt;&lt;sect id="COLUMNHEADERS_AREA" rngprop="1:3:3:20" /&gt;&lt;sect id="DATA_AREA" rngprop="4:3:30:20" /&gt;&lt;/gridRng&gt;&lt;shapes /&gt;&lt;/bl&gt;&lt;/bls&gt;&lt;/pg&gt;&lt;/pgs&gt;&lt;/rptloc&gt;&lt;/mi&gt;</t>
  </si>
  <si>
    <t>&lt;mi app="e" ver="22"&gt;&lt;rptloc guid="2eac5bc28b7e4820873260efe39a6a01" rank="0" ds="1"&gt;&lt;ri hasPG="0" name="Variación y componentes mensual de la demanda" id="004850134E7745A2BD365FB53E00C967" path="Objetos públicos\Informes\Demanda B.C.\Variación y componentes mensual de la demanda" cf="0" prompt="1" ve="0" vm="0" flashpth="C:\Users\SEVPENMA\AppData\Local\Temp\" fimagepth="C:\Users\SEVPENMA\AppData\Local\Temp\" swfn="DashboardViewer.swf" fvars="" dvis=""&gt;&lt;ans&gt;&lt;pan pk="195DDDD54E4256F86F7235A6C4D4ABE4@0@10" aid="" /&gt;&lt;pan pk="86BA8826468B4BC44041DF8DC3E31322@0@10" aid="" /&gt;&lt;pan pk="6383F02949E1244BCE94A09C4486F039@0@10" aid="" /&gt;&lt;/ans&gt;&lt;ci ps="BI" srv="apbi6a" prj="BDEbi" prjid="A2E2948BC74B9CF051A963A6CEDDABFA" li="SEVPENMA" am="s" /&gt;&lt;lu ut="08/17/2026 07:24:50" si="2.000000012b40b2f45ffbd07dcbec3bc5c898d95d76effde934acb42b2d22a61be23792ddd472bcffc6f7cb270788470c060963f7c7182eed510bd9648d8e496d3aa5a2bb73a9b379cc52685f142885b4ca02559001c32533440c226770faac6658669200559b7fcad2b0f1676095bdf4555a9dfb537348c1ab79aa7fb0764e42ca95eb89ed18c6fac1c946ee77f2f0ad4f6e4fcc5f19bd4e588563280da5d01e9c2a245618ba34a96fbf7422fa5df03ea99f4196abfe81170ac756c6247c90565a75595029f569783d068fabd655a6a93a196f467756756742525909f14712dd40dcad08c94a4054d3249c438eeafb4615cb93780711b69f920bb43eca899da6171cf7a53b1f8c69d569f14b80d6adc64ec5ed4be1d1a4cc8797104a5ddf3da042a9.p-3082.0.1_-3082.0.1_0.1.Europe/Madrid.upriv*_1*_pidn2*_25*_session*-lat*_1.0000000126a3c54eba3da2934bcb1792d1eeda10bc6025e0fe86315ba5e946a99e7b0b54a36a52154669eb785aa1ad0aa9b6ba02491f749a.00000001cfce34c01be466bde1ddc9ce7244ba76bc6025e0135a60d60f0bb6815f702a4e8d63adb7c314b19ff42b8da8dce8f1f5365e694d.0.1.1.BDEbi.A2E2948BC74B9CF051A963A6CEDDABFA.0-3082.1.1_-0.1.0_-3082.1.1_5.5.0.*0.00000001fbfe6b00acc43c4abebd506c1d923a62c911585a6cb75f4e33b0510d3d37bd037a85b12c.0.23.11*.4*.1200*.00787J.e.0000000130437427b9a43b6b2fd1c17ed8c62b00c911585ac6de84176ad0b557474e1c8b20db86e2.0.10*.131*.138*.19.*0.0.0.0" msgID="5A3B9B215E4184A1BA7C7D9CDC019124"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ece="A158" enr="MSTR.Variación_y_componentes_mensual_de_la_demanda" ptn="" qtn="" rows="4" cols="14" /&gt;&lt;esdo ews="" ece="" ptn="" /&gt;&lt;/excel&gt;&lt;pgs&gt;&lt;pg rows="1" cols="12" nrr="5" nrc="60"&gt;&lt;pg /&gt;&lt;bls&gt;&lt;bl sr="1" sc="1" rfetch="1" cfetch="12" posid="1" darows="0" dacols="1"&gt;&lt;excel&gt;&lt;epo ews="Dat_01" ece="A158" enr="MSTR.Variación_y_componentes_mensual_de_la_demanda" ptn="" qtn="" rows="4" cols="14" /&gt;&lt;esdo ews="" ece="" ptn="" /&gt;&lt;/excel&gt;&lt;gridRng&gt;&lt;sect id="TITLE_AREA" rngprop="1:1:3:2" /&gt;&lt;sect id="ROWHEADERS_AREA" rngprop="4:1:1:2" /&gt;&lt;sect id="COLUMNHEADERS_AREA" rngprop="1:3:3:12" /&gt;&lt;sect id="DATA_AREA" rngprop="4:3:1:12" /&gt;&lt;/gridRng&gt;&lt;shapes /&gt;&lt;/bl&gt;&lt;/bls&gt;&lt;/pg&gt;&lt;/pgs&gt;&lt;/rptloc&gt;&lt;/mi&gt;</t>
  </si>
  <si>
    <t>&lt;mi app="e" ver="22"&gt;&lt;rptloc guid="0eff69de833b422c8e8b7dee026eaa25" rank="0" ds="1"&gt;&lt;ri hasPG="0" name="Variación y componentes mensual de la demanda" id="004850134E7745A2BD365FB53E00C967" path="Objetos públicos\Informes\Demanda B.C.\Variación y componentes mensual de la demanda" cf="0" prompt="1" ve="0" vm="0" flashpth="C:\Users\SEVPENMA\AppData\Local\Temp\" fimagepth="C:\Users\SEVPENMA\AppData\Local\Temp\" swfn="DashboardViewer.swf" fvars="" dvis=""&gt;&lt;ans&gt;&lt;pan pk="195DDDD54E4256F86F7235A6C4D4ABE4@0@10" aid="" /&gt;&lt;pan pk="86BA8826468B4BC44041DF8DC3E31322@0@10" aid="" /&gt;&lt;pan pk="6383F02949E1244BCE94A09C4486F039@0@10" aid="" /&gt;&lt;/ans&gt;&lt;ci ps="BI" srv="apbi6a" prj="BDEbi" prjid="A2E2948BC74B9CF051A963A6CEDDABFA" li="SEVPENMA" am="s" /&gt;&lt;lu ut="08/17/2026 07:25:30" si="2.000000012b40b2f45ffbd07dcbec3bc5c898d95d76effde934acb42b2d22a61be23792ddd472bcffc6f7cb270788470c060963f7c7182eed510bd9648d8e496d3aa5a2bb73a9b379cc52685f142885b4ca02559001c32533440c226770faac6658669200559b7fcad2b0f1676095bdf4555a9dfb537348c1ab79aa7fb0764e42ca95eb89ed18c6fac1c946ee77f2f0ad4f6e4fcc5f19bd4e588563280da5d01e9c2a245618ba34a96fbf7422fa5df03ea99f4196abfe81170ac756c6247c90565a75595029f569783d068fabd655a6a93a196f467756756742525909f14712dd40dcad08c94a4054d3249c438eeafb4615cb93780711b69f920bb43eca899da6171cf7a53b1f8c69d569f14b80d6adc64ec5ed4be1d1a4cc8797104a5ddf3da042a9.p-3082.0.1_-3082.0.1_0.1.Europe/Madrid.upriv*_1*_pidn2*_25*_session*-lat*_1.0000000126a3c54eba3da2934bcb1792d1eeda10bc6025e0fe86315ba5e946a99e7b0b54a36a52154669eb785aa1ad0aa9b6ba02491f749a.00000001cfce34c01be466bde1ddc9ce7244ba76bc6025e0135a60d60f0bb6815f702a4e8d63adb7c314b19ff42b8da8dce8f1f5365e694d.0.1.1.BDEbi.A2E2948BC74B9CF051A963A6CEDDABFA.0-3082.1.1_-0.1.0_-3082.1.1_5.5.0.*0.00000001fbfe6b00acc43c4abebd506c1d923a62c911585a6cb75f4e33b0510d3d37bd037a85b12c.0.23.11*.4*.1200*.00787J.e.0000000130437427b9a43b6b2fd1c17ed8c62b00c911585ac6de84176ad0b557474e1c8b20db86e2.0.10*.131*.138*.19.*0.0.0.0" msgID="F4E63288A748FB30CF15248A0D584539"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ece="A164" enr="MSTR.Variación_y_componentes_mensual_de_la_demanda.1" ptn="" qtn="" rows="4" cols="14" /&gt;&lt;esdo ews="" ece="" ptn="" /&gt;&lt;/excel&gt;&lt;pgs&gt;&lt;pg rows="1" cols="12" nrr="6" nrc="72"&gt;&lt;pg /&gt;&lt;bls&gt;&lt;bl sr="1" sc="1" rfetch="1" cfetch="12" posid="1" darows="0" dacols="1"&gt;&lt;excel&gt;&lt;epo ews="Dat_01" ece="A164" enr="MSTR.Variación_y_componentes_mensual_de_la_demanda.1" ptn="" qtn="" rows="4" cols="14" /&gt;&lt;esdo ews="" ece="" ptn="" /&gt;&lt;/excel&gt;&lt;gridRng&gt;&lt;sect id="TITLE_AREA" rngprop="1:1:3:2" /&gt;&lt;sect id="ROWHEADERS_AREA" rngprop="4:1:1:2" /&gt;&lt;sect id="COLUMNHEADERS_AREA" rngprop="1:3:3:12" /&gt;&lt;sect id="DATA_AREA" rngprop="4:3:1:12" /&gt;&lt;/gridRng&gt;&lt;shapes /&gt;&lt;/bl&gt;&lt;/bls&gt;&lt;/pg&gt;&lt;/pgs&gt;&lt;/rptloc&gt;&lt;/mi&gt;</t>
  </si>
  <si>
    <t>&lt;mi app="e" ver="22"&gt;&lt;rptloc guid="1efe8bfb7d4b46efaffdf77bc069c8db" rank="0" ds="1"&gt;&lt;ri hasPG="0" name="Mes del informe" id="6B81E4A345D0B50062DA74B86812DB5B" path="Objetos públicos\Informes\Informes macros\Boletín\Mes del informe" cf="0" prompt="1" ve="0" vm="0" flashpth="C:\Users\SEVPENMA\AppData\Local\Temp\" fimagepth="C:\Users\SEVPENMA\AppData\Local\Temp\" swfn="DashboardViewer.swf" fvars="" dvis=""&gt;&lt;ans&gt;&lt;pan pk="B7C3BF0D4428274429E8B8B9E552B212@0@10" aid="" /&gt;&lt;/ans&gt;&lt;ci ps="BI" srv="apbi6a" prj="BDEbi" prjid="A2E2948BC74B9CF051A963A6CEDDABFA" li="SEVPENMA" am="s" /&gt;&lt;lu ut="08/17/2026 08:08:00" si="2.000000012b40b2f45ffbd07dcbec3bc5c898d95d76effde934acb42b2d22a61be23792ddd472bcffc6f7cb270788470c060963f7c7182eed510bd9648d8e496d3aa5a2bb73a9b379cc52685f142885b4ca02559001c32533440c226770faac6658669200559b7fcad2b0f1676095bdf4555a9dfb537348c1ab79aa7fb0764e42ca95eb89ed18c6fac1c946ee77f2f0ad4f6e4fcc5f19bd4e588563280da5d01e9c2a245618ba34a96fbf7422fa5df03ea99f4196abfe81170ac756c6247c90565a75595029f569783d068fabd655a6a93a196f467756756742525909f14712dd40dcad08c94a4054d3249c438eeafb4615cb93780711b69f920bb43eca899da6171cf7a53b1f8c69d569f14b80d6adc64ec5ed4be1d1a4cc8797104a5ddf3da042a9.p-3082.0.1_-3082.0.1_0.1.Europe/Madrid.upriv*_1*_pidn2*_25*_session*-lat*_1.0000000126a3c54eba3da2934bcb1792d1eeda10bc6025e0fe86315ba5e946a99e7b0b54a36a52154669eb785aa1ad0aa9b6ba02491f749a.00000001cfce34c01be466bde1ddc9ce7244ba76bc6025e0135a60d60f0bb6815f702a4e8d63adb7c314b19ff42b8da8dce8f1f5365e694d.0.1.1.BDEbi.A2E2948BC74B9CF051A963A6CEDDABFA.0-3082.1.1_-0.1.0_-3082.1.1_5.5.0.*0.00000001fbfe6b00acc43c4abebd506c1d923a62c911585a6cb75f4e33b0510d3d37bd037a85b12c.0.23.11*.4*.1200*.00787J.e.0000000130437427b9a43b6b2fd1c17ed8c62b00c911585ac6de84176ad0b557474e1c8b20db86e2.0.10*.131*.138*.19.*0.0.0.0" msgID="A1486540BD4238665FD63FA874A825EE"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ews="Dat_02" ece="A1" enr="MSTR.Mes_del_informe.1" ptn="" qtn="" rows="2" cols="2" /&gt;&lt;esdo ews="" ece="" ptn="" /&gt;&lt;/excel&gt;&lt;pgs&gt;&lt;pg rows="1" cols="0" nrr="5" nrc="0"&gt;&lt;pg /&gt;&lt;bls&gt;&lt;bl sr="1" sc="1" rfetch="1" cfetch="0" posid="1" darows="0" dacols="1"&gt;&lt;excel&gt;&lt;epo ews="Dat_02" ece="A1" enr="MSTR.Mes_del_informe.1" ptn="" qtn="" rows="2" cols="2" /&gt;&lt;esdo ews="" ece="" ptn="" /&gt;&lt;/excel&gt;&lt;gridRng&gt;&lt;sect id="TITLE_AREA" rngprop="1:1:1:2" /&gt;&lt;sect id="ROWHEADERS_AREA" rngprop="2:1:1:2" /&gt;&lt;sect id="COLUMNHEADERS_AREA" rngprop="0:0:0:0" /&gt;&lt;sect id="DATA_AREA" rngprop="2:3:1:0" /&gt;&lt;/gridRng&gt;&lt;shapes /&gt;&lt;/bl&gt;&lt;/bls&gt;&lt;/pg&gt;&lt;/pgs&gt;&lt;/rptloc&gt;&lt;/mi&gt;</t>
  </si>
  <si>
    <t>2026 Julio</t>
  </si>
  <si>
    <t>&lt;mi app="e" ver="22"&gt;&lt;rptloc guid="aeb5069ee23142108d1fb9df0c221df6" rank="0" ds="1"&gt;&lt;ri hasPG="1" name="Potencia instalada Autoconsumo" id="D7FF4393754B34EF71983E9D03CDBEFD" path="Profiles\Marta Sevilla Penas (SEVPENMA)\Mis Informes\Potencia instalada Autoconsumo" cf="0" prompt="1" ve="0" vm="0" flashpth="C:\Users\SEVPENMA\AppData\Local\Temp\" fimagepth="C:\Users\SEVPENMA\AppData\Local\Temp\" swfn="DashboardViewer.swf" fvars="" dvis=""&gt;&lt;ans /&gt;&lt;ci ps="BI" srv="apbi6a" prj="SIOSbi" prjid="80652F57504C7F8E3D7CF2B0B09EA47F" li="SEVPENMA" am="s" /&gt;&lt;lu ut="08/17/2026 08:11:42" si="2.00000001bc2039347a8198b82a6aaaff773bf9933a08a0f49568839cd38082db9b458b0adf7bb035a362df6d8b9788b4a3b548b85528d65fe526556ad93bca8571a2696a4bcad7a87729b5518c3f88e452d976a5a33adb8bca6fb37e85e6ac60abe67b835cb89504f80dc2cf9ddbeea2d72c04728bc07f5697c371d8dbc3dd9bf9c6a6013e327172f03b4a653dd5c067078b0e40f42821cc5f6951687947aab3fe38bf9c40b27d72777f41f7411171441ffbceab6e1c48fb1f86e74ca2cddae32425dffece66b100b65ee58390b4f707ee7b3c75b2b73f08a9dac75efcb508d3d574b4ad32979573c4ee8cc76d0bba7ed14e92ddac88c3b682261ff6d14dd117d7daaaea19f21490864c482523aac57dd8dd1fcfac9ad695757c71d17607bb808a05.p-3082.0.1_-3082.0.1_0.1.Europe/Madrid.upriv*_1*_pidn2*_25*_session*-lat*_1.000000017d2f56862b6bf646f08681f4b9680652bc6025e02d92f991137ff15de7b43f0426e112792c5f36e05fe1a4ff9b970db0c0ea9bb3.00000001616ee748a997faf8cc0e394ad287c6fdbc6025e0e15617a6f624c4a19f8b5fcdbe93e811ddb59490605d1fa6f00ef8283d0a68cf.0.1.1.SIOSbi.80652F57504C7F8E3D7CF2B0B09EA47F.0-3082.1.1_-0.1.0_-3082.1.1_5.5.0.*0.00000001c614b1405d842246f0ae424a98d95a0cc911585a56b187257d32609bb7572df7b5f35b35.0.23.11*.4*.1200*.00787J.e.000000019e5391d5c102358c556135016050d89fc911585ae7184a18cd2eb01b290eec7a8ceeea0d.0.10*.131*.138*.19.*0.0.0.0" msgID="17F58BE99D455B3A7790D9B664D2FF70"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ews="Dat_02" ece="A4" enr="MSTR.Potencia_instalada_Autoconsumo.2" ptn="" qtn="" rows="10" cols="14" /&gt;&lt;esdo ews="" ece="" ptn="" /&gt;&lt;/excel&gt;&lt;pgs&gt;&lt;pg rows="6" cols="13" nrr="24" nrc="52"&gt;&lt;pg&gt;&lt;attEl aeid="BB:771DC27940DB47705168CFB03E3D5ADD:1:2:0:2:1:3:1:Baleares" aedn="Baleares" aen="Sistema Extrapeninsular" /&gt;&lt;/pg&gt;&lt;bls&gt;&lt;bl sr="1" sc="1" rfetch="6" cfetch="13" posid="1" darows="1" dacols="1"&gt;&lt;excel&gt;&lt;epo ews="Dat_02" ece="A4" enr="MSTR.Potencia_instalada_Autoconsumo.2" ptn="" qtn="" rows="10" cols="14" /&gt;&lt;esdo ews="" ece="" ptn="" /&gt;&lt;/excel&gt;&lt;gridRng&gt;&lt;sect id="TITLE_AREA" rngprop="1:1:3:1" /&gt;&lt;sect id="ROWHEADERS_AREA" rngprop="4:1:6:1" /&gt;&lt;sect id="COLUMNHEADERS_AREA" rngprop="1:2:3:13" /&gt;&lt;sect id="DATA_AREA" rngprop="4:2:6:13" /&gt;&lt;/gridRng&gt;&lt;shapes /&gt;&lt;/bl&gt;&lt;/bls&gt;&lt;/pg&gt;&lt;/pgs&gt;&lt;/rptloc&gt;&lt;/mi&gt;</t>
  </si>
  <si>
    <t>&lt;mi app="e" ver="22"&gt;&lt;rptloc guid="c240c808041e4cafa350b0d6b505cbfd" rank="0" ds="1"&gt;&lt;ri hasPG="1" name="Potencia instalada Total" id="E4AB39FA934BEBB6CD265FAA0846B1A6" path="Profiles\Marta Sevilla Penas (SEVPENMA)\Mis Informes\Potencia instalada Total" cf="0" prompt="1" ve="0" vm="0" flashpth="C:\Users\SEVPENMA\AppData\Local\Temp\" fimagepth="C:\Users\SEVPENMA\AppData\Local\Temp\" swfn="DashboardViewer.swf" fvars="" dvis=""&gt;&lt;ans /&gt;&lt;ci ps="BI" srv="apbi6a" prj="SIOSbi" prjid="80652F57504C7F8E3D7CF2B0B09EA47F" li="SEVPENMA" am="s" /&gt;&lt;lu ut="08/17/2026 08:12:05" si="2.00000001bc2039347a8198b82a6aaaff773bf9933a08a0f49568839cd38082db9b458b0adf7bb035a362df6d8b9788b4a3b548b85528d65fe526556ad93bca8571a2696a4bcad7a87729b5518c3f88e452d976a5a33adb8bca6fb37e85e6ac60abe67b835cb89504f80dc2cf9ddbeea2d72c04728bc07f5697c371d8dbc3dd9bf9c6a6013e327172f03b4a653dd5c067078b0e40f42821cc5f6951687947aab3fe38bf9c40b27d72777f41f7411171441ffbceab6e1c48fb1f86e74ca2cddae32425dffece66b100b65ee58390b4f707ee7b3c75b2b73f08a9dac75efcb508d3d574b4ad32979573c4ee8cc76d0bba7ed14e92ddac88c3b682261ff6d14dd117d7daaaea19f21490864c482523aac57dd8dd1fcfac9ad695757c71d17607bb808a05.p-3082.0.1_-3082.0.1_0.1.Europe/Madrid.upriv*_1*_pidn2*_25*_session*-lat*_1.000000017d2f56862b6bf646f08681f4b9680652bc6025e02d92f991137ff15de7b43f0426e112792c5f36e05fe1a4ff9b970db0c0ea9bb3.00000001616ee748a997faf8cc0e394ad287c6fdbc6025e0e15617a6f624c4a19f8b5fcdbe93e811ddb59490605d1fa6f00ef8283d0a68cf.0.1.1.SIOSbi.80652F57504C7F8E3D7CF2B0B09EA47F.0-3082.1.1_-0.1.0_-3082.1.1_5.5.0.*0.00000001c614b1405d842246f0ae424a98d95a0cc911585a56b187257d32609bb7572df7b5f35b35.0.23.11*.4*.1200*.00787J.e.000000019e5391d5c102358c556135016050d89fc911585ae7184a18cd2eb01b290eec7a8ceeea0d.0.10*.131*.138*.19.*0.0.0.0" msgID="DC20C0BD7448FF135E1CD5AEE29997D9"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ews="Dat_02" ece="A15" enr="MSTR.Potencia_instalada_Total.2" ptn="" qtn="" rows="17" cols="14" /&gt;&lt;esdo ews="" ece="" ptn="" /&gt;&lt;/excel&gt;&lt;pgs&gt;&lt;pg rows="13" cols="13" nrr="52" nrc="52"&gt;&lt;pg&gt;&lt;attEl aeid="BB:771DC27940DB47705168CFB03E3D5ADD:1:2:0:2:1:3:1:Baleares" aedn="Baleares" aen="Sistema Extrapeninsular" /&gt;&lt;/pg&gt;&lt;bls&gt;&lt;bl sr="1" sc="1" rfetch="13" cfetch="13" posid="1" darows="1" dacols="1"&gt;&lt;excel&gt;&lt;epo ews="Dat_02" ece="A15" enr="MSTR.Potencia_instalada_Total.2" ptn="" qtn="" rows="17" cols="14" /&gt;&lt;esdo ews="" ece="" ptn="" /&gt;&lt;/excel&gt;&lt;gridRng&gt;&lt;sect id="TITLE_AREA" rngprop="1:1:3:1" /&gt;&lt;sect id="ROWHEADERS_AREA" rngprop="4:1:13:1" /&gt;&lt;sect id="COLUMNHEADERS_AREA" rngprop="1:2:3:13" /&gt;&lt;sect id="DATA_AREA" rngprop="4:2:13:13" /&gt;&lt;/gridRng&gt;&lt;shapes /&gt;&lt;/bl&gt;&lt;/bls&gt;&lt;/pg&gt;&lt;/pgs&gt;&lt;/rptloc&gt;&lt;/mi&gt;</t>
  </si>
  <si>
    <t>&lt;mi app="e" ver="22"&gt;&lt;rptloc guid="e3c46d034ece4d3aa6b38f514f07435d" rank="0" ds="1"&gt;&lt;ri hasPG="1" name="Potencia instalada Autoconsumo" id="D7FF4393754B34EF71983E9D03CDBEFD" path="Profiles\Marta Sevilla Penas (SEVPENMA)\Mis Informes\Potencia instalada Autoconsumo" cf="0" prompt="1" ve="0" vm="0" flashpth="C:\Users\SEVPENMA\AppData\Local\Temp\" fimagepth="C:\Users\SEVPENMA\AppData\Local\Temp\" swfn="DashboardViewer.swf" fvars="" dvis=""&gt;&lt;ans /&gt;&lt;ci ps="BI" srv="apbi6a" prj="SIOSbi" prjid="80652F57504C7F8E3D7CF2B0B09EA47F" li="SEVPENMA" am="s" /&gt;&lt;lu ut="08/17/2026 08:12:32" si="2.00000001bc2039347a8198b82a6aaaff773bf9933a08a0f49568839cd38082db9b458b0adf7bb035a362df6d8b9788b4a3b548b85528d65fe526556ad93bca8571a2696a4bcad7a87729b5518c3f88e452d976a5a33adb8bca6fb37e85e6ac60abe67b835cb89504f80dc2cf9ddbeea2d72c04728bc07f5697c371d8dbc3dd9bf9c6a6013e327172f03b4a653dd5c067078b0e40f42821cc5f6951687947aab3fe38bf9c40b27d72777f41f7411171441ffbceab6e1c48fb1f86e74ca2cddae32425dffece66b100b65ee58390b4f707ee7b3c75b2b73f08a9dac75efcb508d3d574b4ad32979573c4ee8cc76d0bba7ed14e92ddac88c3b682261ff6d14dd117d7daaaea19f21490864c482523aac57dd8dd1fcfac9ad695757c71d17607bb808a05.p-3082.0.1_-3082.0.1_0.1.Europe/Madrid.upriv*_1*_pidn2*_25*_session*-lat*_1.000000017d2f56862b6bf646f08681f4b9680652bc6025e02d92f991137ff15de7b43f0426e112792c5f36e05fe1a4ff9b970db0c0ea9bb3.00000001616ee748a997faf8cc0e394ad287c6fdbc6025e0e15617a6f624c4a19f8b5fcdbe93e811ddb59490605d1fa6f00ef8283d0a68cf.0.1.1.SIOSbi.80652F57504C7F8E3D7CF2B0B09EA47F.0-3082.1.1_-0.1.0_-3082.1.1_5.5.0.*0.00000001c614b1405d842246f0ae424a98d95a0cc911585a56b187257d32609bb7572df7b5f35b35.0.23.11*.4*.1200*.00787J.e.000000019e5391d5c102358c556135016050d89fc911585ae7184a18cd2eb01b290eec7a8ceeea0d.0.10*.131*.138*.19.*0.0.0.0" msgID="C00E12DE8241FD72A01FD695F7FB9547"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ews="Dat_02" ece="A37" enr="MSTR.Potencia_instalada_Autoconsumo.3" ptn="" qtn="" rows="10" cols="14" /&gt;&lt;esdo ews="" ece="" ptn="" /&gt;&lt;/excel&gt;&lt;pgs&gt;&lt;pg rows="6" cols="13" nrr="24" nrc="52"&gt;&lt;pg&gt;&lt;attEl aeid="BB:771DC27940DB47705168CFB03E3D5ADD:1:2:0:2:1:3:2:Canarias" aedn="Canarias" aen="Sistema Extrapeninsular" /&gt;&lt;/pg&gt;&lt;bls&gt;&lt;bl sr="1" sc="1" rfetch="6" cfetch="13" posid="1" darows="1" dacols="1"&gt;&lt;excel&gt;&lt;epo ews="Dat_02" ece="A37" enr="MSTR.Potencia_instalada_Autoconsumo.3" ptn="" qtn="" rows="10" cols="14" /&gt;&lt;esdo ews="" ece="" ptn="" /&gt;&lt;/excel&gt;&lt;gridRng&gt;&lt;sect id="TITLE_AREA" rngprop="1:1:3:1" /&gt;&lt;sect id="ROWHEADERS_AREA" rngprop="4:1:6:1" /&gt;&lt;sect id="COLUMNHEADERS_AREA" rngprop="1:2:3:13" /&gt;&lt;sect id="DATA_AREA" rngprop="4:2:6:13" /&gt;&lt;/gridRng&gt;&lt;shapes /&gt;&lt;/bl&gt;&lt;/bls&gt;&lt;/pg&gt;&lt;/pgs&gt;&lt;/rptloc&gt;&lt;/mi&gt;</t>
  </si>
  <si>
    <t>&lt;mi app="e" ver="22"&gt;&lt;rptloc guid="d8f78188505f45348b473716edc2d322" rank="0" ds="1"&gt;&lt;ri hasPG="1" name="Potencia instalada Total" id="E4AB39FA934BEBB6CD265FAA0846B1A6" path="Profiles\Marta Sevilla Penas (SEVPENMA)\Mis Informes\Potencia instalada Total" cf="0" prompt="1" ve="0" vm="0" flashpth="C:\Users\SEVPENMA\AppData\Local\Temp\" fimagepth="C:\Users\SEVPENMA\AppData\Local\Temp\" swfn="DashboardViewer.swf" fvars="" dvis=""&gt;&lt;ans /&gt;&lt;ci ps="BI" srv="apbi6a" prj="SIOSbi" prjid="80652F57504C7F8E3D7CF2B0B09EA47F" li="SEVPENMA" am="s" /&gt;&lt;lu ut="08/17/2026 08:12:59" si="2.00000001bc2039347a8198b82a6aaaff773bf9933a08a0f49568839cd38082db9b458b0adf7bb035a362df6d8b9788b4a3b548b85528d65fe526556ad93bca8571a2696a4bcad7a87729b5518c3f88e452d976a5a33adb8bca6fb37e85e6ac60abe67b835cb89504f80dc2cf9ddbeea2d72c04728bc07f5697c371d8dbc3dd9bf9c6a6013e327172f03b4a653dd5c067078b0e40f42821cc5f6951687947aab3fe38bf9c40b27d72777f41f7411171441ffbceab6e1c48fb1f86e74ca2cddae32425dffece66b100b65ee58390b4f707ee7b3c75b2b73f08a9dac75efcb508d3d574b4ad32979573c4ee8cc76d0bba7ed14e92ddac88c3b682261ff6d14dd117d7daaaea19f21490864c482523aac57dd8dd1fcfac9ad695757c71d17607bb808a05.p-3082.0.1_-3082.0.1_0.1.Europe/Madrid.upriv*_1*_pidn2*_25*_session*-lat*_1.000000017d2f56862b6bf646f08681f4b9680652bc6025e02d92f991137ff15de7b43f0426e112792c5f36e05fe1a4ff9b970db0c0ea9bb3.00000001616ee748a997faf8cc0e394ad287c6fdbc6025e0e15617a6f624c4a19f8b5fcdbe93e811ddb59490605d1fa6f00ef8283d0a68cf.0.1.1.SIOSbi.80652F57504C7F8E3D7CF2B0B09EA47F.0-3082.1.1_-0.1.0_-3082.1.1_5.5.0.*0.00000001c614b1405d842246f0ae424a98d95a0cc911585a56b187257d32609bb7572df7b5f35b35.0.23.11*.4*.1200*.00787J.e.000000019e5391d5c102358c556135016050d89fc911585ae7184a18cd2eb01b290eec7a8ceeea0d.0.10*.131*.138*.19.*0.0.0.0" msgID="1FEF5173BE40E2AB89587A8E0CC0AE7E"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ews="Dat_02" ece="A48" enr="MSTR.Potencia_instalada_Total.3" ptn="" qtn="" rows="17" cols="14" /&gt;&lt;esdo ews="" ece="" ptn="" /&gt;&lt;/excel&gt;&lt;pgs&gt;&lt;pg rows="13" cols="13" nrr="52" nrc="52"&gt;&lt;pg&gt;&lt;attEl aeid="BB:771DC27940DB47705168CFB03E3D5ADD:1:2:0:2:1:3:2:Canarias" aedn="Canarias" aen="Sistema Extrapeninsular" /&gt;&lt;/pg&gt;&lt;bls&gt;&lt;bl sr="1" sc="1" rfetch="13" cfetch="13" posid="1" darows="1" dacols="1"&gt;&lt;excel&gt;&lt;epo ews="Dat_02" ece="A48" enr="MSTR.Potencia_instalada_Total.3" ptn="" qtn="" rows="17" cols="14" /&gt;&lt;esdo ews="" ece="" ptn="" /&gt;&lt;/excel&gt;&lt;gridRng&gt;&lt;sect id="TITLE_AREA" rngprop="1:1:3:1" /&gt;&lt;sect id="ROWHEADERS_AREA" rngprop="4:1:13:1" /&gt;&lt;sect id="COLUMNHEADERS_AREA" rngprop="1:2:3:13" /&gt;&lt;sect id="DATA_AREA" rngprop="4:2:13:13" /&gt;&lt;/gridRng&gt;&lt;shapes /&gt;&lt;/bl&gt;&lt;/bls&gt;&lt;/pg&gt;&lt;/pgs&gt;&lt;/rptloc&gt;&lt;/mi&gt;</t>
  </si>
  <si>
    <t>&lt;mi app="e" ver="22"&gt;&lt;rptloc guid="912ea243f1cf47de9bccf59cc7491ac3" rank="0" ds="1"&gt;&lt;ri hasPG="1" name="Energía generada y autoconsumida" id="5BF8326B01444ECA1923D6900FE0491F" path="Profiles\Marta Sevilla Penas (SEVPENMA)\Mis Informes\Energía generada y autoconsumida" cf="0" prompt="1" ve="0" vm="0" flashpth="C:\Users\SEVPENMA\AppData\Local\Temp\" fimagepth="C:\Users\SEVPENMA\AppData\Local\Temp\" swfn="DashboardViewer.swf" fvars="" dvis=""&gt;&lt;ans&gt;&lt;pan pk="B7C3BF0D4428274429E8B8B9E552B212@0@10" aid="" /&gt;&lt;/ans&gt;&lt;ci ps="BI" srv="apbi6a" prj="BDEbi" prjid="A2E2948BC74B9CF051A963A6CEDDABFA" li="SEVPENMA" am="s" /&gt;&lt;lu ut="08/17/2026 08:13:23" si="2.000000012b40b2f45ffbd07dcbec3bc5c898d95d76effde934acb42b2d22a61be23792ddd472bcffc6f7cb270788470c060963f7c7182eed510bd9648d8e496d3aa5a2bb73a9b379cc52685f142885b4ca02559001c32533440c226770faac6658669200559b7fcad2b0f1676095bdf4555a9dfb537348c1ab79aa7fb0764e42ca95eb89ed18c6fac1c946ee77f2f0ad4f6e4fcc5f19bd4e588563280da5d01e9c2a245618ba34a96fbf7422fa5df03ea99f4196abfe81170ac756c6247c90565a75595029f569783d068fabd655a6a93a196f467756756742525909f14712dd40dcad08c94a4054d3249c438eeafb4615cb93780711b69f920bb43eca899da6171cf7a53b1f8c69d569f14b80d6adc64ec5ed4be1d1a4cc8797104a5ddf3da042a9.p-3082.0.1_-3082.0.1_0.1.Europe/Madrid.upriv*_1*_pidn2*_25*_session*-lat*_1.0000000126a3c54eba3da2934bcb1792d1eeda10bc6025e0fe86315ba5e946a99e7b0b54a36a52154669eb785aa1ad0aa9b6ba02491f749a.00000001cfce34c01be466bde1ddc9ce7244ba76bc6025e0135a60d60f0bb6815f702a4e8d63adb7c314b19ff42b8da8dce8f1f5365e694d.0.1.1.BDEbi.A2E2948BC74B9CF051A963A6CEDDABFA.0-3082.1.1_-0.1.0_-3082.1.1_5.5.0.*0.00000001fbfe6b00acc43c4abebd506c1d923a62c911585a6cb75f4e33b0510d3d37bd037a85b12c.0.23.11*.4*.1200*.00787J.e.0000000130437427b9a43b6b2fd1c17ed8c62b00c911585ac6de84176ad0b557474e1c8b20db86e2.0.10*.131*.138*.19.*0.0.0.0" msgID="A831B6051E45A0B472DD4DAB68890DFC"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ews="Dat_02" ece="A71" enr="MSTR.Energía_generada_y_autoconsumida.1" ptn="" qtn="" rows="10" cols="3" /&gt;&lt;esdo ews="" ece="" ptn="" /&gt;&lt;/excel&gt;&lt;pgs&gt;&lt;pg rows="6" cols="2" nrr="24" nrc="8"&gt;&lt;pg&gt;&lt;attEl aeid="BB:5EAE1F1D48ED4011B00BAC90762C13F0:1:2:0:2:1:3:4:Baleares" aedn="Baleares" aen="Sistema Eléctrico" /&gt;&lt;/pg&gt;&lt;bls&gt;&lt;bl sr="1" sc="1" rfetch="6" cfetch="2" posid="1" darows="1" dacols="1"&gt;&lt;excel&gt;&lt;epo ews="Dat_02" ece="A71" enr="MSTR.Energía_generada_y_autoconsumida.1" ptn="" qtn="" rows="10" cols="3" /&gt;&lt;esdo ews="" ece="" ptn="" /&gt;&lt;/excel&gt;&lt;gridRng&gt;&lt;sect id="TITLE_AREA" rngprop="1:1:3:1" /&gt;&lt;sect id="ROWHEADERS_AREA" rngprop="4:1:6:1" /&gt;&lt;sect id="COLUMNHEADERS_AREA" rngprop="1:2:3:2" /&gt;&lt;sect id="DATA_AREA" rngprop="4:2:6:2" /&gt;&lt;/gridRng&gt;&lt;shapes /&gt;&lt;/bl&gt;&lt;/bls&gt;&lt;/pg&gt;&lt;/pgs&gt;&lt;/rptloc&gt;&lt;/mi&gt;</t>
  </si>
  <si>
    <t>07/2026</t>
  </si>
  <si>
    <t>0124d653043c4040ae2c5e9eddb97a1e</t>
  </si>
  <si>
    <t>&lt;mi app="e" ver="22"&gt;&lt;rptloc guid="4c4d5fce268044f6afd9f01443a2574b" rank="0" ds="1"&gt;&lt;ri hasPG="1" name="Energía generada y autoconsumida" id="5BF8326B01444ECA1923D6900FE0491F" path="Profiles\Marta Sevilla Penas (SEVPENMA)\Mis Informes\Energía generada y autoconsumida" cf="0" prompt="1" ve="0" vm="0" flashpth="C:\Users\SEVPENMA\AppData\Local\Temp\" fimagepth="C:\Users\SEVPENMA\AppData\Local\Temp\" swfn="DashboardViewer.swf" fvars="" dvis=""&gt;&lt;ans&gt;&lt;pan pk="B7C3BF0D4428274429E8B8B9E552B212@0@10" aid="" /&gt;&lt;/ans&gt;&lt;ci ps="BI" srv="apbi6a" prj="BDEbi" prjid="A2E2948BC74B9CF051A963A6CEDDABFA" li="SEVPENMA" am="s" /&gt;&lt;lu ut="08/17/2026 08:21:29" si="2.000000012b40b2f45ffbd07dcbec3bc5c898d95d76effde934acb42b2d22a61be23792ddd472bcffc6f7cb270788470c060963f7c7182eed510bd9648d8e496d3aa5a2bb73a9b379cc52685f142885b4ca02559001c32533440c226770faac6658669200559b7fcad2b0f1676095bdf4555a9dfb537348c1ab79aa7fb0764e42ca95eb89ed18c6fac1c946ee77f2f0ad4f6e4fcc5f19bd4e588563280da5d01e9c2a245618ba34a96fbf7422fa5df03ea99f4196abfe81170ac756c6247c90565a75595029f569783d068fabd655a6a93a196f467756756742525909f14712dd40dcad08c94a4054d3249c438eeafb4615cb93780711b69f920bb43eca899da6171cf7a53b1f8c69d569f14b80d6adc64ec5ed4be1d1a4cc8797104a5ddf3da042a9.p-3082.0.1_-3082.0.1_0.1.Europe/Madrid.upriv*_1*_pidn2*_25*_session*-lat*_1.0000000126a3c54eba3da2934bcb1792d1eeda10bc6025e0fe86315ba5e946a99e7b0b54a36a52154669eb785aa1ad0aa9b6ba02491f749a.00000001cfce34c01be466bde1ddc9ce7244ba76bc6025e0135a60d60f0bb6815f702a4e8d63adb7c314b19ff42b8da8dce8f1f5365e694d.0.1.1.BDEbi.A2E2948BC74B9CF051A963A6CEDDABFA.0-3082.1.1_-0.1.0_-3082.1.1_5.5.0.*0.00000001fbfe6b00acc43c4abebd506c1d923a62c911585a6cb75f4e33b0510d3d37bd037a85b12c.0.23.11*.4*.1200*.00787J.e.0000000130437427b9a43b6b2fd1c17ed8c62b00c911585ac6de84176ad0b557474e1c8b20db86e2.0.10*.131*.138*.19.*0.0.0.0" msgID="6940BDAF8B4DBBD3AFED7BB58F2BE10B"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ews="Dat_02" ece="A117" enr="MSTR.Energía_generada_y_autoconsumida.3" ptn="" qtn="" rows="8" cols="3" /&gt;&lt;esdo ews="" ece="" ptn="" /&gt;&lt;/excel&gt;&lt;pgs&gt;&lt;pg rows="4" cols="2" nrr="18" nrc="8"&gt;&lt;pg&gt;&lt;attEl aeid="BB:5EAE1F1D48ED4011B00BAC90762C13F0:1:2:0:2:1:3:5:Canarias" aedn="Canarias" aen="Sistema Eléctrico" /&gt;&lt;/pg&gt;&lt;bls&gt;&lt;bl sr="1" sc="1" rfetch="4" cfetch="2" posid="1" darows="1" dacols="1"&gt;&lt;excel&gt;&lt;epo ews="Dat_02" ece="A117" enr="MSTR.Energía_generada_y_autoconsumida.3" ptn="" qtn="" rows="8" cols="3" /&gt;&lt;esdo ews="" ece="" ptn="" /&gt;&lt;/excel&gt;&lt;gridRng&gt;&lt;sect id="TITLE_AREA" rngprop="1:1:3:1" /&gt;&lt;sect id="ROWHEADERS_AREA" rngprop="4:1:4:1" /&gt;&lt;sect id="COLUMNHEADERS_AREA" rngprop="1:2:3:2" /&gt;&lt;sect id="DATA_AREA" rngprop="4:2:4:2" /&gt;&lt;/gridRng&gt;&lt;shapes /&gt;&lt;/bl&gt;&lt;/bls&gt;&lt;/pg&gt;&lt;/pgs&gt;&lt;/rptloc&gt;&lt;/mi&gt;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</si>
</sst>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,##0.000"/>
    <numFmt numFmtId="165" formatCode="#,##0.0"/>
    <numFmt numFmtId="166" formatCode="0_)"/>
    <numFmt numFmtId="167" formatCode="0.0\ \ \ \ _)"/>
    <numFmt numFmtId="168" formatCode="0.0"/>
    <numFmt numFmtId="169" formatCode="0.0_)"/>
    <numFmt numFmtId="170" formatCode="0.000_)"/>
    <numFmt numFmtId="171" formatCode="#,##0.00000"/>
    <numFmt numFmtId="172" formatCode="0.000"/>
    <numFmt numFmtId="173" formatCode="0.0%"/>
    <numFmt numFmtId="174" formatCode="[$-C0A]mmm\-yy;@"/>
    <numFmt numFmtId="175" formatCode="[$-C0A]mmmmm;@"/>
    <numFmt numFmtId="176" formatCode="#,##0;\(#,##0\)"/>
  </numFmts>
  <fonts count="60">
    <font>
      <sz val="11"/>
      <color theme="1"/>
      <name val="Calibri"/>
      <family val="2"/>
      <scheme val="minor"/>
    </font>
    <font>
      <sz val="10"/>
      <name val="Geneva"/>
      <family val="2"/>
    </font>
    <font>
      <sz val="8"/>
      <color indexed="8"/>
      <name val="Arial"/>
      <family val="2"/>
    </font>
    <font>
      <sz val="10"/>
      <name val="Geneva"/>
    </font>
    <font>
      <sz val="8"/>
      <name val="Arial"/>
      <family val="2"/>
    </font>
    <font>
      <sz val="8"/>
      <color rgb="FF004563"/>
      <name val="Arial"/>
      <family val="2"/>
    </font>
    <font>
      <vertAlign val="superscript"/>
      <sz val="8"/>
      <color rgb="FF004563"/>
      <name val="Arial"/>
      <family val="2"/>
    </font>
    <font>
      <b/>
      <sz val="8"/>
      <color rgb="FF004563"/>
      <name val="Arial"/>
      <family val="2"/>
    </font>
    <font>
      <b/>
      <sz val="8"/>
      <color indexed="8"/>
      <name val="Arial"/>
      <family val="2"/>
    </font>
    <font>
      <sz val="8"/>
      <color theme="0" tint="-0.499984740745262"/>
      <name val="Arial"/>
      <family val="2"/>
    </font>
    <font>
      <sz val="8"/>
      <color indexed="56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vertAlign val="superscript"/>
      <sz val="8"/>
      <color rgb="FF004563"/>
      <name val="Arial"/>
      <family val="2"/>
    </font>
    <font>
      <b/>
      <sz val="10"/>
      <color rgb="FF004563"/>
      <name val="Arial"/>
      <family val="2"/>
    </font>
    <font>
      <sz val="10"/>
      <name val="Arial"/>
      <family val="2"/>
    </font>
    <font>
      <sz val="10"/>
      <color indexed="32"/>
      <name val="Avant Garde"/>
    </font>
    <font>
      <sz val="10"/>
      <color indexed="56"/>
      <name val="Geneva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indexed="8"/>
      <name val="Geneva"/>
    </font>
    <font>
      <b/>
      <sz val="10"/>
      <color indexed="8"/>
      <name val="Arial"/>
      <family val="2"/>
    </font>
    <font>
      <u/>
      <sz val="10"/>
      <color indexed="12"/>
      <name val="Geneva"/>
    </font>
    <font>
      <b/>
      <sz val="8"/>
      <color theme="0"/>
      <name val="Arial"/>
      <family val="2"/>
    </font>
    <font>
      <b/>
      <sz val="9"/>
      <color rgb="FF004563"/>
      <name val="Arial"/>
      <family val="2"/>
    </font>
    <font>
      <sz val="10"/>
      <color indexed="8"/>
      <name val="Geneva"/>
      <family val="2"/>
    </font>
    <font>
      <sz val="10"/>
      <color indexed="56"/>
      <name val="Geneva"/>
      <family val="2"/>
    </font>
    <font>
      <sz val="14"/>
      <color indexed="21"/>
      <name val="Arial"/>
      <family val="2"/>
    </font>
    <font>
      <u/>
      <sz val="10"/>
      <color indexed="12"/>
      <name val="Geneva"/>
      <family val="2"/>
    </font>
    <font>
      <sz val="10"/>
      <color indexed="21"/>
      <name val="Symbol"/>
      <family val="1"/>
      <charset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8"/>
      <color rgb="FF000000"/>
      <name val="Verdana"/>
      <family val="2"/>
    </font>
    <font>
      <sz val="8"/>
      <color rgb="FF4E5E78"/>
      <name val="Verdana"/>
      <family val="2"/>
    </font>
    <font>
      <i/>
      <sz val="8"/>
      <color rgb="FF4E5E78"/>
      <name val="Verdana"/>
      <family val="2"/>
    </font>
    <font>
      <b/>
      <sz val="8"/>
      <color rgb="FF4E5E78"/>
      <name val="Verdana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b/>
      <i/>
      <sz val="8"/>
      <color rgb="FF4E5E78"/>
      <name val="Verdana"/>
      <family val="2"/>
    </font>
    <font>
      <b/>
      <i/>
      <sz val="8"/>
      <color rgb="FF000000"/>
      <name val="Verdana"/>
      <family val="2"/>
    </font>
    <font>
      <b/>
      <sz val="9"/>
      <name val="Segoe UI"/>
      <family val="2"/>
    </font>
    <font>
      <b/>
      <sz val="9"/>
      <color rgb="FF004563"/>
      <name val="Segoe UI"/>
      <family val="2"/>
    </font>
    <font>
      <sz val="9"/>
      <color rgb="FF004563"/>
      <name val="Segoe UI"/>
      <family val="2"/>
    </font>
    <font>
      <sz val="9"/>
      <color theme="1"/>
      <name val="Segoe UI"/>
      <family val="2"/>
    </font>
    <font>
      <vertAlign val="superscript"/>
      <sz val="9"/>
      <color rgb="FF004563"/>
      <name val="Segoe UI"/>
      <family val="2"/>
    </font>
    <font>
      <b/>
      <sz val="8"/>
      <color rgb="FF0B428E"/>
      <name val="Arial"/>
      <family val="2"/>
    </font>
    <font>
      <sz val="8"/>
      <color rgb="FF25396E"/>
      <name val="Arial"/>
      <family val="2"/>
    </font>
    <font>
      <sz val="9"/>
      <color rgb="FFFF0000"/>
      <name val="Segoe UI"/>
      <family val="2"/>
    </font>
    <font>
      <sz val="11"/>
      <color theme="1"/>
      <name val="Calibri"/>
      <family val="2"/>
      <scheme val="minor"/>
    </font>
    <font>
      <b/>
      <sz val="8"/>
      <color rgb="FF003366"/>
      <name val="Arial"/>
      <family val="2"/>
    </font>
    <font>
      <sz val="10"/>
      <name val="Avant Garde"/>
    </font>
    <font>
      <sz val="10"/>
      <color indexed="9"/>
      <name val="Geneva"/>
    </font>
    <font>
      <sz val="10"/>
      <color indexed="9"/>
      <name val="Arial"/>
      <family val="2"/>
    </font>
    <font>
      <sz val="10"/>
      <color indexed="32"/>
      <name val="Arial"/>
      <family val="2"/>
    </font>
    <font>
      <sz val="9"/>
      <color indexed="32"/>
      <name val="Arial"/>
      <family val="2"/>
    </font>
    <font>
      <sz val="10"/>
      <color rgb="FFFF0000"/>
      <name val="Geneva"/>
    </font>
    <font>
      <b/>
      <sz val="11"/>
      <color theme="1"/>
      <name val="Calibri"/>
      <family val="2"/>
      <scheme val="minor"/>
    </font>
    <font>
      <sz val="9"/>
      <color rgb="FF4E5E78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005463"/>
        <bgColor indexed="64"/>
      </patternFill>
    </fill>
    <fill>
      <patternFill patternType="solid">
        <fgColor rgb="FF00456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8192AD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FDFD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rgb="FFFFFFFF"/>
      </patternFill>
    </fill>
  </fills>
  <borders count="42">
    <border>
      <left/>
      <right/>
      <top/>
      <bottom/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/>
      <top/>
      <bottom style="thin">
        <color rgb="FFA6A6A6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rgb="FFA6A6A6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 tint="-4.9989318521683403E-2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A6A6A6"/>
      </top>
      <bottom/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4.9989318521683403E-2"/>
      </top>
      <bottom/>
      <diagonal/>
    </border>
    <border>
      <left/>
      <right style="thin">
        <color indexed="64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/>
      <diagonal/>
    </border>
    <border>
      <left/>
      <right style="thin">
        <color rgb="FFA6A6A6"/>
      </right>
      <top/>
      <bottom/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/>
      <right style="thin">
        <color auto="1"/>
      </right>
      <top style="thin">
        <color rgb="FFA6A6A6"/>
      </top>
      <bottom style="thin">
        <color rgb="FFA6A6A6"/>
      </bottom>
      <diagonal/>
    </border>
    <border>
      <left/>
      <right style="thin">
        <color rgb="FFC0C0C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42">
    <xf numFmtId="0" fontId="0" fillId="0" borderId="0"/>
    <xf numFmtId="0" fontId="1" fillId="0" borderId="0"/>
    <xf numFmtId="0" fontId="3" fillId="0" borderId="0"/>
    <xf numFmtId="0" fontId="1" fillId="0" borderId="0"/>
    <xf numFmtId="166" fontId="3" fillId="0" borderId="0"/>
    <xf numFmtId="0" fontId="15" fillId="0" borderId="0"/>
    <xf numFmtId="0" fontId="15" fillId="0" borderId="0"/>
    <xf numFmtId="166" fontId="3" fillId="0" borderId="0"/>
    <xf numFmtId="0" fontId="15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3" fillId="0" borderId="0"/>
    <xf numFmtId="0" fontId="28" fillId="0" borderId="0" applyNumberFormat="0" applyFill="0" applyBorder="0" applyAlignment="0" applyProtection="0">
      <alignment vertical="top"/>
      <protection locked="0"/>
    </xf>
    <xf numFmtId="165" fontId="32" fillId="6" borderId="10">
      <alignment horizontal="right" vertical="center"/>
    </xf>
    <xf numFmtId="0" fontId="33" fillId="7" borderId="10">
      <alignment vertical="center" wrapText="1"/>
    </xf>
    <xf numFmtId="10" fontId="32" fillId="6" borderId="10">
      <alignment horizontal="right" vertical="center"/>
    </xf>
    <xf numFmtId="165" fontId="34" fillId="5" borderId="10">
      <alignment horizontal="right" vertical="center"/>
    </xf>
    <xf numFmtId="10" fontId="34" fillId="5" borderId="10">
      <alignment horizontal="right" vertical="center"/>
    </xf>
    <xf numFmtId="0" fontId="35" fillId="5" borderId="10">
      <alignment horizontal="left" vertical="center" wrapText="1"/>
    </xf>
    <xf numFmtId="0" fontId="33" fillId="7" borderId="10">
      <alignment horizontal="center" vertical="center" wrapText="1"/>
    </xf>
    <xf numFmtId="0" fontId="36" fillId="5" borderId="10">
      <alignment horizontal="left" vertical="center" wrapText="1"/>
    </xf>
    <xf numFmtId="0" fontId="37" fillId="6" borderId="10">
      <alignment horizontal="left" vertical="center" wrapText="1"/>
    </xf>
    <xf numFmtId="0" fontId="33" fillId="7" borderId="10">
      <alignment horizontal="center" wrapText="1"/>
    </xf>
    <xf numFmtId="0" fontId="33" fillId="7" borderId="14">
      <alignment vertical="center" wrapText="1"/>
    </xf>
    <xf numFmtId="0" fontId="39" fillId="0" borderId="0" applyNumberFormat="0" applyFont="0" applyBorder="0" applyAlignment="0" applyProtection="0">
      <alignment horizontal="centerContinuous"/>
    </xf>
    <xf numFmtId="0" fontId="40" fillId="5" borderId="10">
      <alignment horizontal="left" vertical="center" wrapText="1"/>
    </xf>
    <xf numFmtId="165" fontId="41" fillId="5" borderId="10">
      <alignment horizontal="right" vertical="center"/>
    </xf>
    <xf numFmtId="164" fontId="34" fillId="5" borderId="10">
      <alignment horizontal="right" vertical="center"/>
    </xf>
    <xf numFmtId="164" fontId="32" fillId="6" borderId="10">
      <alignment horizontal="right" vertical="center"/>
    </xf>
    <xf numFmtId="0" fontId="47" fillId="9" borderId="10">
      <alignment vertical="center" wrapText="1"/>
    </xf>
    <xf numFmtId="0" fontId="47" fillId="9" borderId="10">
      <alignment horizontal="center" wrapText="1"/>
    </xf>
    <xf numFmtId="0" fontId="48" fillId="5" borderId="10">
      <alignment horizontal="left" vertical="center" wrapText="1"/>
    </xf>
    <xf numFmtId="10" fontId="19" fillId="5" borderId="10">
      <alignment horizontal="right" vertical="center"/>
    </xf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0" borderId="0"/>
    <xf numFmtId="164" fontId="19" fillId="5" borderId="10">
      <alignment horizontal="right" vertical="center"/>
    </xf>
    <xf numFmtId="0" fontId="47" fillId="11" borderId="10">
      <alignment horizontal="left" vertical="center"/>
    </xf>
    <xf numFmtId="164" fontId="47" fillId="11" borderId="10">
      <alignment horizontal="right" vertical="center"/>
    </xf>
    <xf numFmtId="166" fontId="35" fillId="5" borderId="10">
      <alignment horizontal="left" vertical="center" wrapText="1"/>
    </xf>
    <xf numFmtId="176" fontId="19" fillId="5" borderId="10">
      <alignment horizontal="right" vertical="center"/>
    </xf>
    <xf numFmtId="0" fontId="38" fillId="5" borderId="0"/>
  </cellStyleXfs>
  <cellXfs count="292">
    <xf numFmtId="0" fontId="0" fillId="0" borderId="0" xfId="0"/>
    <xf numFmtId="0" fontId="2" fillId="0" borderId="0" xfId="1" applyFont="1"/>
    <xf numFmtId="0" fontId="4" fillId="0" borderId="0" xfId="2" applyFont="1"/>
    <xf numFmtId="0" fontId="3" fillId="0" borderId="0" xfId="2"/>
    <xf numFmtId="0" fontId="3" fillId="0" borderId="0" xfId="2" applyAlignment="1">
      <alignment wrapText="1"/>
    </xf>
    <xf numFmtId="0" fontId="5" fillId="0" borderId="0" xfId="2" applyFont="1" applyAlignment="1">
      <alignment vertical="center" wrapText="1"/>
    </xf>
    <xf numFmtId="3" fontId="2" fillId="0" borderId="0" xfId="1" applyNumberFormat="1" applyFont="1"/>
    <xf numFmtId="164" fontId="4" fillId="0" borderId="0" xfId="1" applyNumberFormat="1" applyFont="1"/>
    <xf numFmtId="165" fontId="7" fillId="2" borderId="1" xfId="3" applyNumberFormat="1" applyFont="1" applyFill="1" applyBorder="1" applyAlignment="1">
      <alignment horizontal="right" indent="1"/>
    </xf>
    <xf numFmtId="3" fontId="7" fillId="2" borderId="1" xfId="1" applyNumberFormat="1" applyFont="1" applyFill="1" applyBorder="1" applyAlignment="1">
      <alignment horizontal="left"/>
    </xf>
    <xf numFmtId="0" fontId="2" fillId="0" borderId="0" xfId="1" applyFont="1" applyAlignment="1">
      <alignment vertical="top"/>
    </xf>
    <xf numFmtId="0" fontId="2" fillId="0" borderId="0" xfId="1" applyFont="1" applyAlignment="1">
      <alignment vertical="center"/>
    </xf>
    <xf numFmtId="165" fontId="5" fillId="2" borderId="0" xfId="3" applyNumberFormat="1" applyFont="1" applyFill="1" applyAlignment="1">
      <alignment horizontal="right" indent="1"/>
    </xf>
    <xf numFmtId="166" fontId="5" fillId="2" borderId="0" xfId="4" applyFont="1" applyFill="1" applyAlignment="1">
      <alignment horizontal="left"/>
    </xf>
    <xf numFmtId="165" fontId="2" fillId="0" borderId="0" xfId="1" applyNumberFormat="1" applyFont="1"/>
    <xf numFmtId="165" fontId="5" fillId="2" borderId="0" xfId="2" applyNumberFormat="1" applyFont="1" applyFill="1" applyAlignment="1">
      <alignment horizontal="left"/>
    </xf>
    <xf numFmtId="3" fontId="4" fillId="0" borderId="0" xfId="1" applyNumberFormat="1" applyFont="1"/>
    <xf numFmtId="0" fontId="8" fillId="0" borderId="0" xfId="1" applyFont="1" applyAlignment="1">
      <alignment vertical="top" wrapText="1"/>
    </xf>
    <xf numFmtId="165" fontId="9" fillId="2" borderId="0" xfId="3" applyNumberFormat="1" applyFont="1" applyFill="1" applyAlignment="1">
      <alignment horizontal="right" indent="1"/>
    </xf>
    <xf numFmtId="0" fontId="9" fillId="2" borderId="0" xfId="2" applyFont="1" applyFill="1" applyAlignment="1">
      <alignment horizontal="left" indent="1"/>
    </xf>
    <xf numFmtId="0" fontId="10" fillId="0" borderId="0" xfId="1" applyFont="1"/>
    <xf numFmtId="0" fontId="4" fillId="0" borderId="0" xfId="1" applyFont="1"/>
    <xf numFmtId="3" fontId="11" fillId="3" borderId="2" xfId="1" applyNumberFormat="1" applyFont="1" applyFill="1" applyBorder="1" applyAlignment="1">
      <alignment horizontal="right" indent="1"/>
    </xf>
    <xf numFmtId="0" fontId="12" fillId="3" borderId="2" xfId="2" applyFont="1" applyFill="1" applyBorder="1" applyAlignment="1">
      <alignment horizontal="center"/>
    </xf>
    <xf numFmtId="0" fontId="12" fillId="3" borderId="0" xfId="2" applyFont="1" applyFill="1" applyAlignment="1">
      <alignment horizontal="center"/>
    </xf>
    <xf numFmtId="166" fontId="14" fillId="0" borderId="0" xfId="4" applyFont="1"/>
    <xf numFmtId="166" fontId="14" fillId="0" borderId="0" xfId="4" applyFont="1" applyAlignment="1">
      <alignment horizontal="right"/>
    </xf>
    <xf numFmtId="0" fontId="14" fillId="0" borderId="0" xfId="5" applyFont="1" applyAlignment="1">
      <alignment horizontal="right"/>
    </xf>
    <xf numFmtId="0" fontId="16" fillId="0" borderId="0" xfId="6" applyFont="1"/>
    <xf numFmtId="0" fontId="15" fillId="0" borderId="0" xfId="6"/>
    <xf numFmtId="166" fontId="10" fillId="0" borderId="0" xfId="4" applyFont="1"/>
    <xf numFmtId="0" fontId="17" fillId="0" borderId="0" xfId="6" applyFont="1"/>
    <xf numFmtId="0" fontId="8" fillId="0" borderId="0" xfId="2" applyFont="1" applyAlignment="1">
      <alignment vertical="center"/>
    </xf>
    <xf numFmtId="0" fontId="7" fillId="0" borderId="0" xfId="6" applyFont="1" applyAlignment="1">
      <alignment vertical="top" wrapText="1"/>
    </xf>
    <xf numFmtId="0" fontId="2" fillId="0" borderId="0" xfId="6" applyFont="1" applyAlignment="1">
      <alignment horizontal="justify" vertical="center" wrapText="1"/>
    </xf>
    <xf numFmtId="0" fontId="2" fillId="0" borderId="0" xfId="6" applyFont="1" applyAlignment="1">
      <alignment vertical="center" wrapText="1"/>
    </xf>
    <xf numFmtId="166" fontId="19" fillId="0" borderId="0" xfId="7" applyFont="1" applyAlignment="1">
      <alignment horizontal="left" readingOrder="1"/>
    </xf>
    <xf numFmtId="0" fontId="17" fillId="0" borderId="0" xfId="6" applyFont="1" applyAlignment="1">
      <alignment horizontal="left" indent="1"/>
    </xf>
    <xf numFmtId="0" fontId="8" fillId="0" borderId="0" xfId="6" applyFont="1" applyAlignment="1">
      <alignment horizontal="left" vertical="center" indent="1"/>
    </xf>
    <xf numFmtId="0" fontId="20" fillId="0" borderId="0" xfId="6" applyFont="1"/>
    <xf numFmtId="0" fontId="2" fillId="0" borderId="0" xfId="6" applyFont="1" applyAlignment="1">
      <alignment horizontal="left" vertical="top"/>
    </xf>
    <xf numFmtId="0" fontId="8" fillId="0" borderId="0" xfId="6" applyFont="1" applyAlignment="1">
      <alignment horizontal="left"/>
    </xf>
    <xf numFmtId="0" fontId="8" fillId="0" borderId="0" xfId="6" applyFont="1"/>
    <xf numFmtId="166" fontId="14" fillId="0" borderId="0" xfId="4" quotePrefix="1" applyFont="1" applyAlignment="1">
      <alignment horizontal="right"/>
    </xf>
    <xf numFmtId="0" fontId="2" fillId="0" borderId="0" xfId="6" applyFont="1"/>
    <xf numFmtId="166" fontId="8" fillId="0" borderId="0" xfId="4" applyFont="1"/>
    <xf numFmtId="0" fontId="21" fillId="0" borderId="0" xfId="5" applyFont="1" applyAlignment="1">
      <alignment horizontal="right"/>
    </xf>
    <xf numFmtId="166" fontId="0" fillId="0" borderId="0" xfId="4" applyFont="1"/>
    <xf numFmtId="0" fontId="5" fillId="0" borderId="0" xfId="8" applyFont="1" applyAlignment="1">
      <alignment wrapText="1"/>
    </xf>
    <xf numFmtId="0" fontId="5" fillId="0" borderId="0" xfId="8" applyFont="1" applyAlignment="1">
      <alignment horizontal="justify" wrapText="1"/>
    </xf>
    <xf numFmtId="0" fontId="2" fillId="0" borderId="0" xfId="4" applyNumberFormat="1" applyFont="1"/>
    <xf numFmtId="0" fontId="2" fillId="0" borderId="0" xfId="8" applyFont="1" applyAlignment="1">
      <alignment vertical="center" wrapText="1"/>
    </xf>
    <xf numFmtId="0" fontId="2" fillId="0" borderId="0" xfId="8" applyFont="1" applyAlignment="1">
      <alignment horizontal="justify" wrapText="1"/>
    </xf>
    <xf numFmtId="3" fontId="0" fillId="0" borderId="0" xfId="4" applyNumberFormat="1" applyFont="1"/>
    <xf numFmtId="166" fontId="3" fillId="0" borderId="0" xfId="4"/>
    <xf numFmtId="166" fontId="17" fillId="0" borderId="0" xfId="4" applyFont="1" applyAlignment="1">
      <alignment horizontal="left" indent="1"/>
    </xf>
    <xf numFmtId="166" fontId="8" fillId="0" borderId="0" xfId="4" applyFont="1" applyAlignment="1">
      <alignment horizontal="left" vertical="center" indent="1"/>
    </xf>
    <xf numFmtId="166" fontId="20" fillId="0" borderId="0" xfId="4" applyFont="1"/>
    <xf numFmtId="166" fontId="17" fillId="0" borderId="0" xfId="4" applyFont="1"/>
    <xf numFmtId="166" fontId="8" fillId="0" borderId="0" xfId="4" applyFont="1" applyAlignment="1">
      <alignment horizontal="left"/>
    </xf>
    <xf numFmtId="166" fontId="17" fillId="0" borderId="0" xfId="4" applyFont="1" applyAlignment="1">
      <alignment horizontal="right"/>
    </xf>
    <xf numFmtId="0" fontId="8" fillId="0" borderId="0" xfId="9" applyFont="1" applyFill="1" applyBorder="1" applyAlignment="1" applyProtection="1"/>
    <xf numFmtId="166" fontId="21" fillId="0" borderId="0" xfId="4" applyFont="1"/>
    <xf numFmtId="0" fontId="21" fillId="0" borderId="0" xfId="5" applyFont="1"/>
    <xf numFmtId="0" fontId="8" fillId="0" borderId="0" xfId="6" applyFont="1" applyAlignment="1">
      <alignment vertical="top" wrapText="1"/>
    </xf>
    <xf numFmtId="166" fontId="21" fillId="0" borderId="0" xfId="4" applyFont="1" applyAlignment="1">
      <alignment horizontal="right"/>
    </xf>
    <xf numFmtId="0" fontId="23" fillId="4" borderId="0" xfId="10" applyFont="1" applyFill="1" applyAlignment="1">
      <alignment horizontal="left"/>
    </xf>
    <xf numFmtId="166" fontId="23" fillId="4" borderId="5" xfId="4" applyFont="1" applyFill="1" applyBorder="1"/>
    <xf numFmtId="167" fontId="23" fillId="4" borderId="5" xfId="4" applyNumberFormat="1" applyFont="1" applyFill="1" applyBorder="1" applyAlignment="1">
      <alignment horizontal="right"/>
    </xf>
    <xf numFmtId="2" fontId="23" fillId="4" borderId="5" xfId="4" applyNumberFormat="1" applyFont="1" applyFill="1" applyBorder="1" applyAlignment="1">
      <alignment horizontal="right" indent="1"/>
    </xf>
    <xf numFmtId="0" fontId="7" fillId="0" borderId="0" xfId="10" applyFont="1" applyAlignment="1">
      <alignment vertical="top" wrapText="1"/>
    </xf>
    <xf numFmtId="166" fontId="24" fillId="2" borderId="0" xfId="4" applyFont="1" applyFill="1" applyAlignment="1">
      <alignment horizontal="left"/>
    </xf>
    <xf numFmtId="3" fontId="7" fillId="2" borderId="0" xfId="4" applyNumberFormat="1" applyFont="1" applyFill="1" applyAlignment="1">
      <alignment horizontal="right"/>
    </xf>
    <xf numFmtId="167" fontId="5" fillId="2" borderId="0" xfId="4" applyNumberFormat="1" applyFont="1" applyFill="1" applyAlignment="1">
      <alignment horizontal="right"/>
    </xf>
    <xf numFmtId="166" fontId="5" fillId="2" borderId="0" xfId="4" applyFont="1" applyFill="1" applyAlignment="1">
      <alignment horizontal="left" indent="1"/>
    </xf>
    <xf numFmtId="166" fontId="5" fillId="2" borderId="5" xfId="4" applyFont="1" applyFill="1" applyBorder="1" applyAlignment="1">
      <alignment horizontal="left" indent="1"/>
    </xf>
    <xf numFmtId="167" fontId="5" fillId="2" borderId="5" xfId="4" applyNumberFormat="1" applyFont="1" applyFill="1" applyBorder="1" applyAlignment="1">
      <alignment horizontal="right"/>
    </xf>
    <xf numFmtId="165" fontId="2" fillId="0" borderId="0" xfId="3" applyNumberFormat="1" applyFont="1" applyAlignment="1">
      <alignment horizontal="right" indent="1"/>
    </xf>
    <xf numFmtId="166" fontId="2" fillId="0" borderId="0" xfId="4" applyFont="1" applyAlignment="1">
      <alignment horizontal="left"/>
    </xf>
    <xf numFmtId="1" fontId="18" fillId="0" borderId="0" xfId="4" applyNumberFormat="1" applyFont="1" applyAlignment="1">
      <alignment horizontal="right" indent="1"/>
    </xf>
    <xf numFmtId="0" fontId="2" fillId="0" borderId="0" xfId="4" applyNumberFormat="1" applyFont="1" applyAlignment="1">
      <alignment horizontal="left"/>
    </xf>
    <xf numFmtId="0" fontId="3" fillId="0" borderId="0" xfId="11"/>
    <xf numFmtId="0" fontId="1" fillId="0" borderId="0" xfId="11" applyFont="1"/>
    <xf numFmtId="0" fontId="25" fillId="0" borderId="0" xfId="11" applyFont="1"/>
    <xf numFmtId="0" fontId="26" fillId="0" borderId="0" xfId="11" applyFont="1"/>
    <xf numFmtId="0" fontId="8" fillId="0" borderId="0" xfId="11" applyFont="1"/>
    <xf numFmtId="0" fontId="8" fillId="0" borderId="0" xfId="11" applyFont="1" applyAlignment="1">
      <alignment horizontal="right" vertical="center"/>
    </xf>
    <xf numFmtId="0" fontId="26" fillId="2" borderId="0" xfId="11" applyFont="1" applyFill="1" applyAlignment="1">
      <alignment horizontal="left" indent="1"/>
    </xf>
    <xf numFmtId="0" fontId="27" fillId="2" borderId="0" xfId="11" applyFont="1" applyFill="1" applyAlignment="1">
      <alignment horizontal="right" vertical="center"/>
    </xf>
    <xf numFmtId="0" fontId="7" fillId="2" borderId="0" xfId="12" applyFont="1" applyFill="1" applyBorder="1" applyAlignment="1" applyProtection="1">
      <alignment horizontal="left"/>
    </xf>
    <xf numFmtId="0" fontId="29" fillId="0" borderId="0" xfId="11" applyFont="1" applyAlignment="1">
      <alignment horizontal="right"/>
    </xf>
    <xf numFmtId="168" fontId="5" fillId="2" borderId="0" xfId="4" applyNumberFormat="1" applyFont="1" applyFill="1" applyAlignment="1">
      <alignment horizontal="right"/>
    </xf>
    <xf numFmtId="168" fontId="5" fillId="2" borderId="5" xfId="4" applyNumberFormat="1" applyFont="1" applyFill="1" applyBorder="1" applyAlignment="1">
      <alignment horizontal="right"/>
    </xf>
    <xf numFmtId="0" fontId="11" fillId="3" borderId="2" xfId="1" quotePrefix="1" applyFont="1" applyFill="1" applyBorder="1" applyAlignment="1">
      <alignment horizontal="right" indent="1"/>
    </xf>
    <xf numFmtId="0" fontId="23" fillId="4" borderId="5" xfId="4" quotePrefix="1" applyNumberFormat="1" applyFont="1" applyFill="1" applyBorder="1" applyAlignment="1">
      <alignment horizontal="right" indent="1"/>
    </xf>
    <xf numFmtId="0" fontId="23" fillId="4" borderId="5" xfId="4" applyNumberFormat="1" applyFont="1" applyFill="1" applyBorder="1" applyAlignment="1">
      <alignment horizontal="right" indent="1"/>
    </xf>
    <xf numFmtId="11" fontId="0" fillId="0" borderId="0" xfId="0" applyNumberFormat="1"/>
    <xf numFmtId="166" fontId="43" fillId="0" borderId="0" xfId="4" applyFont="1"/>
    <xf numFmtId="0" fontId="44" fillId="0" borderId="0" xfId="6" applyFont="1"/>
    <xf numFmtId="0" fontId="45" fillId="0" borderId="0" xfId="0" applyFont="1"/>
    <xf numFmtId="166" fontId="44" fillId="2" borderId="3" xfId="4" applyFont="1" applyFill="1" applyBorder="1" applyAlignment="1">
      <alignment horizontal="left"/>
    </xf>
    <xf numFmtId="1" fontId="43" fillId="2" borderId="3" xfId="4" applyNumberFormat="1" applyFont="1" applyFill="1" applyBorder="1" applyAlignment="1">
      <alignment horizontal="right" indent="1"/>
    </xf>
    <xf numFmtId="0" fontId="44" fillId="2" borderId="0" xfId="4" applyNumberFormat="1" applyFont="1" applyFill="1" applyAlignment="1">
      <alignment horizontal="left"/>
    </xf>
    <xf numFmtId="3" fontId="44" fillId="2" borderId="0" xfId="3" applyNumberFormat="1" applyFont="1" applyFill="1" applyAlignment="1">
      <alignment horizontal="right" indent="1"/>
    </xf>
    <xf numFmtId="165" fontId="44" fillId="2" borderId="0" xfId="3" applyNumberFormat="1" applyFont="1" applyFill="1" applyAlignment="1">
      <alignment horizontal="right" indent="1"/>
    </xf>
    <xf numFmtId="166" fontId="43" fillId="2" borderId="3" xfId="4" applyFont="1" applyFill="1" applyBorder="1" applyAlignment="1">
      <alignment horizontal="left"/>
    </xf>
    <xf numFmtId="3" fontId="43" fillId="2" borderId="3" xfId="3" applyNumberFormat="1" applyFont="1" applyFill="1" applyBorder="1" applyAlignment="1">
      <alignment horizontal="right" indent="1"/>
    </xf>
    <xf numFmtId="165" fontId="43" fillId="2" borderId="3" xfId="3" applyNumberFormat="1" applyFont="1" applyFill="1" applyBorder="1" applyAlignment="1">
      <alignment horizontal="right" indent="1"/>
    </xf>
    <xf numFmtId="0" fontId="42" fillId="8" borderId="21" xfId="0" applyFont="1" applyFill="1" applyBorder="1" applyAlignment="1">
      <alignment horizontal="center"/>
    </xf>
    <xf numFmtId="0" fontId="42" fillId="8" borderId="22" xfId="0" applyFont="1" applyFill="1" applyBorder="1" applyAlignment="1">
      <alignment horizontal="center"/>
    </xf>
    <xf numFmtId="166" fontId="44" fillId="2" borderId="0" xfId="4" applyFont="1" applyFill="1" applyAlignment="1">
      <alignment horizontal="left"/>
    </xf>
    <xf numFmtId="0" fontId="43" fillId="2" borderId="2" xfId="4" applyNumberFormat="1" applyFont="1" applyFill="1" applyBorder="1" applyAlignment="1">
      <alignment horizontal="left"/>
    </xf>
    <xf numFmtId="3" fontId="43" fillId="2" borderId="1" xfId="3" applyNumberFormat="1" applyFont="1" applyFill="1" applyBorder="1"/>
    <xf numFmtId="165" fontId="43" fillId="2" borderId="1" xfId="3" applyNumberFormat="1" applyFont="1" applyFill="1" applyBorder="1" applyAlignment="1">
      <alignment horizontal="right" indent="1"/>
    </xf>
    <xf numFmtId="3" fontId="43" fillId="0" borderId="4" xfId="3" applyNumberFormat="1" applyFont="1" applyBorder="1"/>
    <xf numFmtId="3" fontId="43" fillId="0" borderId="4" xfId="3" applyNumberFormat="1" applyFont="1" applyBorder="1" applyAlignment="1">
      <alignment horizontal="right" indent="1"/>
    </xf>
    <xf numFmtId="0" fontId="42" fillId="8" borderId="19" xfId="0" applyFont="1" applyFill="1" applyBorder="1" applyAlignment="1">
      <alignment horizontal="center"/>
    </xf>
    <xf numFmtId="0" fontId="44" fillId="2" borderId="11" xfId="4" applyNumberFormat="1" applyFont="1" applyFill="1" applyBorder="1" applyAlignment="1">
      <alignment horizontal="left"/>
    </xf>
    <xf numFmtId="165" fontId="44" fillId="2" borderId="11" xfId="3" applyNumberFormat="1" applyFont="1" applyFill="1" applyBorder="1" applyAlignment="1">
      <alignment horizontal="right" indent="1"/>
    </xf>
    <xf numFmtId="165" fontId="44" fillId="2" borderId="26" xfId="3" applyNumberFormat="1" applyFont="1" applyFill="1" applyBorder="1" applyAlignment="1">
      <alignment horizontal="right" indent="1"/>
    </xf>
    <xf numFmtId="165" fontId="44" fillId="0" borderId="8" xfId="2" applyNumberFormat="1" applyFont="1" applyBorder="1" applyAlignment="1">
      <alignment horizontal="left"/>
    </xf>
    <xf numFmtId="165" fontId="44" fillId="0" borderId="8" xfId="3" applyNumberFormat="1" applyFont="1" applyBorder="1" applyAlignment="1">
      <alignment horizontal="right" indent="1"/>
    </xf>
    <xf numFmtId="166" fontId="42" fillId="8" borderId="29" xfId="4" applyFont="1" applyFill="1" applyBorder="1" applyAlignment="1">
      <alignment horizontal="center" vertical="center"/>
    </xf>
    <xf numFmtId="3" fontId="43" fillId="0" borderId="30" xfId="3" applyNumberFormat="1" applyFont="1" applyBorder="1" applyAlignment="1">
      <alignment horizontal="right" indent="1"/>
    </xf>
    <xf numFmtId="3" fontId="44" fillId="0" borderId="8" xfId="3" applyNumberFormat="1" applyFont="1" applyBorder="1" applyAlignment="1">
      <alignment horizontal="right" indent="1"/>
    </xf>
    <xf numFmtId="3" fontId="44" fillId="0" borderId="28" xfId="3" applyNumberFormat="1" applyFont="1" applyBorder="1" applyAlignment="1">
      <alignment horizontal="right" indent="1"/>
    </xf>
    <xf numFmtId="0" fontId="33" fillId="7" borderId="14" xfId="23" applyAlignment="1">
      <alignment vertical="center"/>
    </xf>
    <xf numFmtId="0" fontId="35" fillId="5" borderId="10" xfId="18" quotePrefix="1" applyAlignment="1">
      <alignment horizontal="left" vertical="center"/>
    </xf>
    <xf numFmtId="0" fontId="33" fillId="7" borderId="10" xfId="14" applyAlignment="1">
      <alignment vertical="center"/>
    </xf>
    <xf numFmtId="0" fontId="33" fillId="7" borderId="10" xfId="19" applyAlignment="1">
      <alignment horizontal="center" vertical="center"/>
    </xf>
    <xf numFmtId="0" fontId="33" fillId="7" borderId="10" xfId="22" applyAlignment="1">
      <alignment horizontal="center"/>
    </xf>
    <xf numFmtId="0" fontId="37" fillId="6" borderId="10" xfId="21" quotePrefix="1" applyAlignment="1">
      <alignment horizontal="left" vertical="center"/>
    </xf>
    <xf numFmtId="3" fontId="5" fillId="2" borderId="0" xfId="3" applyNumberFormat="1" applyFont="1" applyFill="1" applyAlignment="1">
      <alignment horizontal="right" indent="1"/>
    </xf>
    <xf numFmtId="3" fontId="9" fillId="2" borderId="0" xfId="3" applyNumberFormat="1" applyFont="1" applyFill="1" applyAlignment="1">
      <alignment horizontal="right" indent="1"/>
    </xf>
    <xf numFmtId="3" fontId="7" fillId="2" borderId="2" xfId="3" applyNumberFormat="1" applyFont="1" applyFill="1" applyBorder="1" applyAlignment="1">
      <alignment horizontal="right" indent="1"/>
    </xf>
    <xf numFmtId="3" fontId="7" fillId="2" borderId="1" xfId="3" applyNumberFormat="1" applyFont="1" applyFill="1" applyBorder="1" applyAlignment="1">
      <alignment horizontal="right" indent="1"/>
    </xf>
    <xf numFmtId="0" fontId="42" fillId="8" borderId="31" xfId="0" applyFont="1" applyFill="1" applyBorder="1" applyAlignment="1">
      <alignment horizontal="center"/>
    </xf>
    <xf numFmtId="165" fontId="44" fillId="2" borderId="32" xfId="3" applyNumberFormat="1" applyFont="1" applyFill="1" applyBorder="1" applyAlignment="1">
      <alignment horizontal="right" indent="1"/>
    </xf>
    <xf numFmtId="165" fontId="4" fillId="0" borderId="0" xfId="1" applyNumberFormat="1" applyFont="1"/>
    <xf numFmtId="4" fontId="4" fillId="0" borderId="0" xfId="1" applyNumberFormat="1" applyFont="1"/>
    <xf numFmtId="165" fontId="7" fillId="2" borderId="0" xfId="4" applyNumberFormat="1" applyFont="1" applyFill="1" applyAlignment="1">
      <alignment horizontal="right"/>
    </xf>
    <xf numFmtId="165" fontId="3" fillId="0" borderId="0" xfId="4" applyNumberFormat="1"/>
    <xf numFmtId="165" fontId="2" fillId="0" borderId="0" xfId="6" applyNumberFormat="1" applyFont="1"/>
    <xf numFmtId="165" fontId="17" fillId="0" borderId="0" xfId="6" applyNumberFormat="1" applyFont="1"/>
    <xf numFmtId="165" fontId="7" fillId="2" borderId="2" xfId="4" applyNumberFormat="1" applyFont="1" applyFill="1" applyBorder="1"/>
    <xf numFmtId="3" fontId="7" fillId="0" borderId="0" xfId="3" applyNumberFormat="1" applyFont="1" applyAlignment="1">
      <alignment horizontal="right" indent="1"/>
    </xf>
    <xf numFmtId="165" fontId="7" fillId="0" borderId="0" xfId="3" applyNumberFormat="1" applyFont="1" applyAlignment="1">
      <alignment horizontal="right" indent="1"/>
    </xf>
    <xf numFmtId="3" fontId="7" fillId="2" borderId="2" xfId="4" applyNumberFormat="1" applyFont="1" applyFill="1" applyBorder="1" applyAlignment="1">
      <alignment horizontal="right" indent="1"/>
    </xf>
    <xf numFmtId="165" fontId="7" fillId="2" borderId="2" xfId="4" applyNumberFormat="1" applyFont="1" applyFill="1" applyBorder="1" applyAlignment="1">
      <alignment horizontal="right" indent="1"/>
    </xf>
    <xf numFmtId="0" fontId="47" fillId="9" borderId="10" xfId="29" applyAlignment="1">
      <alignment vertical="center"/>
    </xf>
    <xf numFmtId="0" fontId="47" fillId="9" borderId="10" xfId="30" applyAlignment="1">
      <alignment horizontal="center"/>
    </xf>
    <xf numFmtId="0" fontId="48" fillId="5" borderId="10" xfId="31" quotePrefix="1" applyAlignment="1">
      <alignment horizontal="left" vertical="center"/>
    </xf>
    <xf numFmtId="169" fontId="3" fillId="0" borderId="0" xfId="4" applyNumberFormat="1"/>
    <xf numFmtId="0" fontId="33" fillId="7" borderId="10" xfId="19" quotePrefix="1" applyAlignment="1">
      <alignment horizontal="center" vertical="center"/>
    </xf>
    <xf numFmtId="170" fontId="10" fillId="0" borderId="0" xfId="4" applyNumberFormat="1" applyFont="1"/>
    <xf numFmtId="0" fontId="49" fillId="0" borderId="0" xfId="0" applyFont="1"/>
    <xf numFmtId="171" fontId="45" fillId="0" borderId="0" xfId="0" applyNumberFormat="1" applyFont="1"/>
    <xf numFmtId="172" fontId="34" fillId="5" borderId="10" xfId="16" applyNumberFormat="1">
      <alignment horizontal="right" vertical="center"/>
    </xf>
    <xf numFmtId="172" fontId="32" fillId="6" borderId="10" xfId="13" applyNumberFormat="1">
      <alignment horizontal="right" vertical="center"/>
    </xf>
    <xf numFmtId="165" fontId="43" fillId="2" borderId="2" xfId="3" applyNumberFormat="1" applyFont="1" applyFill="1" applyBorder="1" applyAlignment="1">
      <alignment horizontal="right" indent="1"/>
    </xf>
    <xf numFmtId="165" fontId="43" fillId="2" borderId="33" xfId="3" applyNumberFormat="1" applyFont="1" applyFill="1" applyBorder="1" applyAlignment="1">
      <alignment horizontal="right" indent="1"/>
    </xf>
    <xf numFmtId="165" fontId="44" fillId="2" borderId="2" xfId="3" applyNumberFormat="1" applyFont="1" applyFill="1" applyBorder="1" applyAlignment="1">
      <alignment horizontal="right" indent="1"/>
    </xf>
    <xf numFmtId="165" fontId="44" fillId="2" borderId="35" xfId="3" applyNumberFormat="1" applyFont="1" applyFill="1" applyBorder="1" applyAlignment="1">
      <alignment horizontal="right" indent="1"/>
    </xf>
    <xf numFmtId="165" fontId="44" fillId="2" borderId="36" xfId="3" applyNumberFormat="1" applyFont="1" applyFill="1" applyBorder="1" applyAlignment="1">
      <alignment horizontal="right" indent="1"/>
    </xf>
    <xf numFmtId="165" fontId="44" fillId="2" borderId="37" xfId="3" applyNumberFormat="1" applyFont="1" applyFill="1" applyBorder="1" applyAlignment="1">
      <alignment horizontal="right" indent="1"/>
    </xf>
    <xf numFmtId="165" fontId="43" fillId="2" borderId="34" xfId="3" applyNumberFormat="1" applyFont="1" applyFill="1" applyBorder="1" applyAlignment="1">
      <alignment horizontal="right" indent="1"/>
    </xf>
    <xf numFmtId="165" fontId="43" fillId="2" borderId="38" xfId="3" applyNumberFormat="1" applyFont="1" applyFill="1" applyBorder="1" applyAlignment="1">
      <alignment horizontal="right" indent="1"/>
    </xf>
    <xf numFmtId="165" fontId="5" fillId="2" borderId="2" xfId="2" applyNumberFormat="1" applyFont="1" applyFill="1" applyBorder="1" applyAlignment="1">
      <alignment horizontal="left"/>
    </xf>
    <xf numFmtId="3" fontId="5" fillId="2" borderId="2" xfId="3" applyNumberFormat="1" applyFont="1" applyFill="1" applyBorder="1" applyAlignment="1">
      <alignment horizontal="right" indent="1"/>
    </xf>
    <xf numFmtId="165" fontId="5" fillId="2" borderId="2" xfId="3" applyNumberFormat="1" applyFont="1" applyFill="1" applyBorder="1" applyAlignment="1">
      <alignment horizontal="right" indent="1"/>
    </xf>
    <xf numFmtId="165" fontId="5" fillId="2" borderId="0" xfId="4" applyNumberFormat="1" applyFont="1" applyFill="1" applyAlignment="1">
      <alignment horizontal="left"/>
    </xf>
    <xf numFmtId="3" fontId="5" fillId="2" borderId="4" xfId="3" applyNumberFormat="1" applyFont="1" applyFill="1" applyBorder="1" applyAlignment="1">
      <alignment horizontal="right" indent="1"/>
    </xf>
    <xf numFmtId="173" fontId="45" fillId="0" borderId="0" xfId="33" applyNumberFormat="1" applyFont="1"/>
    <xf numFmtId="166" fontId="7" fillId="0" borderId="0" xfId="4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1" fontId="7" fillId="0" borderId="3" xfId="4" applyNumberFormat="1" applyFont="1" applyBorder="1" applyAlignment="1">
      <alignment horizontal="right" indent="1"/>
    </xf>
    <xf numFmtId="165" fontId="5" fillId="0" borderId="0" xfId="3" applyNumberFormat="1" applyFont="1" applyAlignment="1">
      <alignment horizontal="right" indent="1"/>
    </xf>
    <xf numFmtId="0" fontId="5" fillId="0" borderId="8" xfId="0" applyFont="1" applyBorder="1" applyAlignment="1">
      <alignment horizontal="left"/>
    </xf>
    <xf numFmtId="165" fontId="5" fillId="0" borderId="8" xfId="3" applyNumberFormat="1" applyFont="1" applyBorder="1" applyAlignment="1">
      <alignment horizontal="right" indent="1"/>
    </xf>
    <xf numFmtId="9" fontId="5" fillId="0" borderId="0" xfId="2" applyNumberFormat="1" applyFont="1" applyAlignment="1">
      <alignment vertical="center" wrapText="1"/>
    </xf>
    <xf numFmtId="0" fontId="33" fillId="7" borderId="10" xfId="22" quotePrefix="1" applyAlignment="1">
      <alignment horizontal="center"/>
    </xf>
    <xf numFmtId="0" fontId="47" fillId="9" borderId="10" xfId="30" quotePrefix="1" applyAlignment="1">
      <alignment horizontal="center"/>
    </xf>
    <xf numFmtId="0" fontId="7" fillId="0" borderId="0" xfId="6" applyFont="1" applyAlignment="1">
      <alignment horizontal="left" vertical="top" wrapText="1"/>
    </xf>
    <xf numFmtId="166" fontId="7" fillId="0" borderId="0" xfId="4" applyFont="1"/>
    <xf numFmtId="0" fontId="26" fillId="0" borderId="0" xfId="2" applyFont="1"/>
    <xf numFmtId="0" fontId="25" fillId="0" borderId="0" xfId="2" applyFont="1"/>
    <xf numFmtId="0" fontId="4" fillId="0" borderId="0" xfId="10" applyFont="1"/>
    <xf numFmtId="0" fontId="8" fillId="0" borderId="0" xfId="2" applyFont="1"/>
    <xf numFmtId="0" fontId="8" fillId="0" borderId="0" xfId="2" applyFont="1" applyAlignment="1">
      <alignment horizontal="left" vertical="center" indent="1"/>
    </xf>
    <xf numFmtId="0" fontId="26" fillId="0" borderId="0" xfId="2" applyFont="1" applyAlignment="1">
      <alignment horizontal="left" indent="1"/>
    </xf>
    <xf numFmtId="0" fontId="51" fillId="0" borderId="0" xfId="10" applyFont="1"/>
    <xf numFmtId="0" fontId="10" fillId="0" borderId="0" xfId="10" applyFont="1"/>
    <xf numFmtId="0" fontId="8" fillId="0" borderId="0" xfId="2" applyFont="1" applyAlignment="1">
      <alignment horizontal="left"/>
    </xf>
    <xf numFmtId="0" fontId="5" fillId="0" borderId="0" xfId="10" applyFont="1"/>
    <xf numFmtId="174" fontId="5" fillId="10" borderId="0" xfId="2" applyNumberFormat="1" applyFont="1" applyFill="1"/>
    <xf numFmtId="0" fontId="8" fillId="0" borderId="0" xfId="2" applyFont="1" applyAlignment="1">
      <alignment vertical="top" wrapText="1"/>
    </xf>
    <xf numFmtId="0" fontId="4" fillId="0" borderId="0" xfId="2" applyFont="1" applyAlignment="1">
      <alignment wrapText="1"/>
    </xf>
    <xf numFmtId="0" fontId="52" fillId="0" borderId="0" xfId="2" applyFont="1"/>
    <xf numFmtId="1" fontId="52" fillId="0" borderId="0" xfId="2" applyNumberFormat="1" applyFont="1"/>
    <xf numFmtId="0" fontId="4" fillId="0" borderId="39" xfId="10" applyFont="1" applyBorder="1"/>
    <xf numFmtId="164" fontId="45" fillId="0" borderId="0" xfId="0" applyNumberFormat="1" applyFont="1"/>
    <xf numFmtId="4" fontId="0" fillId="0" borderId="0" xfId="0" applyNumberFormat="1"/>
    <xf numFmtId="166" fontId="53" fillId="0" borderId="0" xfId="4" applyFont="1"/>
    <xf numFmtId="165" fontId="54" fillId="0" borderId="0" xfId="4" applyNumberFormat="1" applyFont="1"/>
    <xf numFmtId="165" fontId="55" fillId="0" borderId="0" xfId="4" applyNumberFormat="1" applyFont="1"/>
    <xf numFmtId="166" fontId="8" fillId="0" borderId="0" xfId="4" applyFont="1" applyAlignment="1">
      <alignment vertical="top" wrapText="1"/>
    </xf>
    <xf numFmtId="164" fontId="15" fillId="0" borderId="0" xfId="4" applyNumberFormat="1" applyFont="1"/>
    <xf numFmtId="165" fontId="56" fillId="0" borderId="0" xfId="4" applyNumberFormat="1" applyFont="1"/>
    <xf numFmtId="173" fontId="56" fillId="0" borderId="0" xfId="34" applyNumberFormat="1" applyFont="1" applyFill="1" applyBorder="1" applyProtection="1"/>
    <xf numFmtId="165" fontId="5" fillId="0" borderId="0" xfId="4" applyNumberFormat="1" applyFont="1"/>
    <xf numFmtId="3" fontId="5" fillId="0" borderId="0" xfId="4" applyNumberFormat="1" applyFont="1"/>
    <xf numFmtId="3" fontId="55" fillId="0" borderId="0" xfId="4" applyNumberFormat="1" applyFont="1"/>
    <xf numFmtId="0" fontId="7" fillId="0" borderId="0" xfId="0" applyFont="1"/>
    <xf numFmtId="0" fontId="57" fillId="0" borderId="0" xfId="0" applyFont="1"/>
    <xf numFmtId="10" fontId="57" fillId="0" borderId="0" xfId="34" applyNumberFormat="1" applyFont="1"/>
    <xf numFmtId="164" fontId="44" fillId="2" borderId="0" xfId="3" applyNumberFormat="1" applyFont="1" applyFill="1" applyAlignment="1">
      <alignment horizontal="right" indent="1"/>
    </xf>
    <xf numFmtId="164" fontId="43" fillId="2" borderId="2" xfId="3" applyNumberFormat="1" applyFont="1" applyFill="1" applyBorder="1" applyAlignment="1">
      <alignment horizontal="right" indent="1"/>
    </xf>
    <xf numFmtId="0" fontId="58" fillId="0" borderId="0" xfId="0" applyFont="1"/>
    <xf numFmtId="4" fontId="45" fillId="0" borderId="0" xfId="0" applyNumberFormat="1" applyFont="1"/>
    <xf numFmtId="10" fontId="45" fillId="0" borderId="0" xfId="0" applyNumberFormat="1" applyFont="1"/>
    <xf numFmtId="175" fontId="3" fillId="0" borderId="0" xfId="4" applyNumberFormat="1"/>
    <xf numFmtId="0" fontId="8" fillId="0" borderId="0" xfId="35" applyFont="1" applyAlignment="1">
      <alignment horizontal="left"/>
    </xf>
    <xf numFmtId="0" fontId="5" fillId="0" borderId="0" xfId="4" applyNumberFormat="1" applyFont="1" applyAlignment="1">
      <alignment wrapText="1"/>
    </xf>
    <xf numFmtId="0" fontId="5" fillId="0" borderId="0" xfId="4" applyNumberFormat="1" applyFont="1"/>
    <xf numFmtId="168" fontId="0" fillId="0" borderId="0" xfId="0" applyNumberFormat="1"/>
    <xf numFmtId="0" fontId="42" fillId="8" borderId="41" xfId="0" applyFont="1" applyFill="1" applyBorder="1" applyAlignment="1">
      <alignment horizontal="center"/>
    </xf>
    <xf numFmtId="166" fontId="59" fillId="5" borderId="0" xfId="39" quotePrefix="1" applyFont="1" applyBorder="1" applyAlignment="1">
      <alignment horizontal="left" vertical="center"/>
    </xf>
    <xf numFmtId="169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/>
    <xf numFmtId="1" fontId="7" fillId="2" borderId="3" xfId="4" applyNumberFormat="1" applyFont="1" applyFill="1" applyBorder="1" applyAlignment="1">
      <alignment horizontal="right" indent="1"/>
    </xf>
    <xf numFmtId="165" fontId="5" fillId="2" borderId="0" xfId="3" applyNumberFormat="1" applyFont="1" applyFill="1" applyAlignment="1">
      <alignment horizontal="left" indent="1"/>
    </xf>
    <xf numFmtId="10" fontId="5" fillId="2" borderId="0" xfId="33" applyNumberFormat="1" applyFont="1" applyFill="1" applyAlignment="1">
      <alignment horizontal="right" indent="1"/>
    </xf>
    <xf numFmtId="4" fontId="5" fillId="2" borderId="0" xfId="3" applyNumberFormat="1" applyFont="1" applyFill="1" applyAlignment="1">
      <alignment horizontal="right" indent="1"/>
    </xf>
    <xf numFmtId="0" fontId="5" fillId="2" borderId="3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8" xfId="0" applyFont="1" applyFill="1" applyBorder="1" applyAlignment="1">
      <alignment horizontal="left"/>
    </xf>
    <xf numFmtId="165" fontId="5" fillId="2" borderId="8" xfId="3" applyNumberFormat="1" applyFont="1" applyFill="1" applyBorder="1" applyAlignment="1">
      <alignment horizontal="right" indent="1"/>
    </xf>
    <xf numFmtId="164" fontId="34" fillId="5" borderId="10" xfId="27">
      <alignment horizontal="right" vertical="center"/>
    </xf>
    <xf numFmtId="10" fontId="34" fillId="5" borderId="10" xfId="17">
      <alignment horizontal="right" vertical="center"/>
    </xf>
    <xf numFmtId="164" fontId="32" fillId="6" borderId="10" xfId="28">
      <alignment horizontal="right" vertical="center"/>
    </xf>
    <xf numFmtId="10" fontId="32" fillId="6" borderId="10" xfId="15">
      <alignment horizontal="right" vertical="center"/>
    </xf>
    <xf numFmtId="165" fontId="34" fillId="5" borderId="10" xfId="16">
      <alignment horizontal="right" vertical="center"/>
    </xf>
    <xf numFmtId="165" fontId="32" fillId="6" borderId="10" xfId="13">
      <alignment horizontal="right" vertical="center"/>
    </xf>
    <xf numFmtId="10" fontId="19" fillId="5" borderId="10" xfId="32">
      <alignment horizontal="right" vertical="center"/>
    </xf>
    <xf numFmtId="49" fontId="0" fillId="0" borderId="0" xfId="0" applyNumberFormat="1"/>
    <xf numFmtId="164" fontId="19" fillId="5" borderId="10" xfId="36">
      <alignment horizontal="right" vertical="center"/>
    </xf>
    <xf numFmtId="0" fontId="47" fillId="11" borderId="10" xfId="37" quotePrefix="1">
      <alignment horizontal="left" vertical="center"/>
    </xf>
    <xf numFmtId="164" fontId="47" fillId="11" borderId="10" xfId="38">
      <alignment horizontal="right" vertical="center"/>
    </xf>
    <xf numFmtId="176" fontId="19" fillId="5" borderId="10" xfId="40">
      <alignment horizontal="right" vertical="center"/>
    </xf>
    <xf numFmtId="165" fontId="7" fillId="2" borderId="2" xfId="3" applyNumberFormat="1" applyFont="1" applyFill="1" applyBorder="1" applyAlignment="1">
      <alignment horizontal="right" indent="1"/>
    </xf>
    <xf numFmtId="166" fontId="5" fillId="0" borderId="0" xfId="4" applyFont="1" applyAlignment="1">
      <alignment horizontal="justify" wrapText="1"/>
    </xf>
    <xf numFmtId="0" fontId="7" fillId="0" borderId="0" xfId="10" applyFont="1" applyAlignment="1">
      <alignment horizontal="left" vertical="top" wrapText="1"/>
    </xf>
    <xf numFmtId="2" fontId="23" fillId="4" borderId="0" xfId="4" quotePrefix="1" applyNumberFormat="1" applyFont="1" applyFill="1" applyAlignment="1">
      <alignment horizontal="right" indent="1"/>
    </xf>
    <xf numFmtId="2" fontId="23" fillId="4" borderId="0" xfId="4" applyNumberFormat="1" applyFont="1" applyFill="1" applyAlignment="1">
      <alignment horizontal="right" indent="1"/>
    </xf>
    <xf numFmtId="166" fontId="5" fillId="0" borderId="6" xfId="4" applyFont="1" applyBorder="1" applyAlignment="1">
      <alignment horizontal="left"/>
    </xf>
    <xf numFmtId="0" fontId="7" fillId="0" borderId="0" xfId="1" applyFont="1" applyAlignment="1">
      <alignment horizontal="left" vertical="top" wrapText="1"/>
    </xf>
    <xf numFmtId="3" fontId="11" fillId="3" borderId="2" xfId="2" applyNumberFormat="1" applyFont="1" applyFill="1" applyBorder="1" applyAlignment="1">
      <alignment horizontal="center" wrapText="1"/>
    </xf>
    <xf numFmtId="0" fontId="3" fillId="3" borderId="2" xfId="2" applyFill="1" applyBorder="1" applyAlignment="1">
      <alignment horizontal="center" wrapText="1"/>
    </xf>
    <xf numFmtId="0" fontId="5" fillId="0" borderId="0" xfId="2" applyFont="1" applyAlignment="1">
      <alignment horizontal="justify" vertical="center" wrapText="1"/>
    </xf>
    <xf numFmtId="0" fontId="5" fillId="0" borderId="0" xfId="2" applyFont="1" applyAlignment="1">
      <alignment horizontal="left"/>
    </xf>
    <xf numFmtId="0" fontId="5" fillId="0" borderId="7" xfId="4" applyNumberFormat="1" applyFont="1" applyBorder="1" applyAlignment="1">
      <alignment horizontal="justify"/>
    </xf>
    <xf numFmtId="0" fontId="7" fillId="0" borderId="0" xfId="6" applyFont="1" applyAlignment="1">
      <alignment horizontal="left" vertical="top" wrapText="1"/>
    </xf>
    <xf numFmtId="166" fontId="7" fillId="0" borderId="0" xfId="4" applyFont="1" applyAlignment="1">
      <alignment horizontal="left" vertical="top" wrapText="1"/>
    </xf>
    <xf numFmtId="165" fontId="5" fillId="2" borderId="0" xfId="4" applyNumberFormat="1" applyFont="1" applyFill="1" applyAlignment="1">
      <alignment horizontal="left" vertical="center"/>
    </xf>
    <xf numFmtId="165" fontId="7" fillId="2" borderId="0" xfId="4" applyNumberFormat="1" applyFont="1" applyFill="1" applyAlignment="1">
      <alignment horizontal="right" vertical="center"/>
    </xf>
    <xf numFmtId="165" fontId="5" fillId="2" borderId="0" xfId="4" applyNumberFormat="1" applyFont="1" applyFill="1" applyAlignment="1">
      <alignment horizontal="center"/>
    </xf>
    <xf numFmtId="165" fontId="7" fillId="2" borderId="0" xfId="4" applyNumberFormat="1" applyFont="1" applyFill="1" applyAlignment="1">
      <alignment horizontal="center"/>
    </xf>
    <xf numFmtId="0" fontId="58" fillId="0" borderId="40" xfId="0" applyFont="1" applyBorder="1" applyAlignment="1">
      <alignment horizontal="center" vertical="center"/>
    </xf>
    <xf numFmtId="0" fontId="30" fillId="0" borderId="11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0" fillId="0" borderId="8" xfId="0" applyFont="1" applyBorder="1" applyAlignment="1">
      <alignment horizontal="left" vertical="center" wrapText="1"/>
    </xf>
    <xf numFmtId="0" fontId="30" fillId="0" borderId="24" xfId="0" applyFont="1" applyBorder="1" applyAlignment="1">
      <alignment vertical="center" wrapText="1"/>
    </xf>
    <xf numFmtId="0" fontId="30" fillId="0" borderId="25" xfId="0" applyFont="1" applyBorder="1" applyAlignment="1">
      <alignment vertical="center" wrapText="1"/>
    </xf>
    <xf numFmtId="0" fontId="30" fillId="0" borderId="27" xfId="0" applyFont="1" applyBorder="1" applyAlignment="1">
      <alignment vertical="center" wrapText="1"/>
    </xf>
    <xf numFmtId="0" fontId="42" fillId="8" borderId="20" xfId="0" applyFont="1" applyFill="1" applyBorder="1" applyAlignment="1">
      <alignment horizontal="center" vertical="center" wrapText="1"/>
    </xf>
    <xf numFmtId="0" fontId="42" fillId="8" borderId="23" xfId="0" applyFont="1" applyFill="1" applyBorder="1" applyAlignment="1">
      <alignment horizontal="center" vertical="center" wrapText="1"/>
    </xf>
    <xf numFmtId="0" fontId="35" fillId="5" borderId="17" xfId="18" quotePrefix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33" fillId="7" borderId="13" xfId="19" quotePrefix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3" fillId="7" borderId="10" xfId="22" quotePrefix="1" applyAlignment="1">
      <alignment horizontal="center"/>
    </xf>
    <xf numFmtId="0" fontId="0" fillId="0" borderId="9" xfId="0" applyBorder="1" applyAlignment="1">
      <alignment horizontal="center"/>
    </xf>
    <xf numFmtId="0" fontId="47" fillId="9" borderId="10" xfId="30" quotePrefix="1" applyAlignment="1">
      <alignment horizontal="center"/>
    </xf>
    <xf numFmtId="0" fontId="35" fillId="5" borderId="16" xfId="18" quotePrefix="1" applyBorder="1" applyAlignment="1">
      <alignment horizontal="left" vertical="center"/>
    </xf>
    <xf numFmtId="0" fontId="33" fillId="7" borderId="10" xfId="19" quotePrefix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3" fillId="7" borderId="13" xfId="22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42">
    <cellStyle name="consejo" xfId="24" xr:uid="{00000000-0005-0000-0000-000000000000}"/>
    <cellStyle name="Hipervínculo 2" xfId="12" xr:uid="{00000000-0005-0000-0000-000001000000}"/>
    <cellStyle name="Hipervínculo 3" xfId="9" xr:uid="{00000000-0005-0000-0000-000002000000}"/>
    <cellStyle name="MSTRStyle.Todos.c1_2732e0f1-3735-4d31-8eeb-d427a30a8b13" xfId="41" xr:uid="{B14FB4D1-4257-49F5-8B2F-70E6AFB1BA00}"/>
    <cellStyle name="MSTRStyle.Todos.c10_f4ec6803-3c9c-42db-8e64-4a966d1fcf79" xfId="30" xr:uid="{752F4119-93EB-483F-86BA-ABFFFA183B3C}"/>
    <cellStyle name="MSTRStyle.Todos.c12_6c49ec4c-3882-473c-94ac-ae06a50856b0" xfId="36" xr:uid="{D63827E5-9C98-4354-B41F-DAA4ACB780AE}"/>
    <cellStyle name="MSTRStyle.Todos.c13_ad47ecc7-7d15-4cb6-8d9a-93aa07ca2c9c" xfId="19" xr:uid="{00000000-0005-0000-0000-000004000000}"/>
    <cellStyle name="MSTRStyle.Todos.c14_66d95eaf-7407-49b4-bb04-27d55699e9b3" xfId="40" xr:uid="{C1A85C6A-0641-4FA1-ADC7-96E668F489AA}"/>
    <cellStyle name="MSTRStyle.Todos.c16_3321957e-8d69-4b7d-b341-a61e10f4c85f" xfId="27" xr:uid="{00000000-0005-0000-0000-000005000000}"/>
    <cellStyle name="MSTRStyle.Todos.c16_992610b3-1d75-4a3b-aec2-5e10b699bccc" xfId="16" xr:uid="{00000000-0005-0000-0000-000006000000}"/>
    <cellStyle name="MSTRStyle.Todos.c18_2edb5857-a1bf-42f0-9a50-c8f838c8cf47" xfId="17" xr:uid="{00000000-0005-0000-0000-000007000000}"/>
    <cellStyle name="MSTRStyle.Todos.c19_064608f2-5935-4cf9-a2ea-5b767d2f9646" xfId="20" xr:uid="{00000000-0005-0000-0000-000008000000}"/>
    <cellStyle name="MSTRStyle.Todos.c2_e2ab52e8-4747-4d05-9824-941fa4c21d4d" xfId="14" xr:uid="{00000000-0005-0000-0000-000009000000}"/>
    <cellStyle name="MSTRStyle.Todos.c2_f50bc28b-be07-4640-987b-277588810208" xfId="29" xr:uid="{E1C143AA-C94F-45FC-8B52-0276A429C036}"/>
    <cellStyle name="MSTRStyle.Todos.c20_8265551a-eda9-4950-be81-f3edd1f706c5" xfId="25" xr:uid="{00000000-0005-0000-0000-00000A000000}"/>
    <cellStyle name="MSTRStyle.Todos.c21_3101a5c9-3ba0-4c6d-a6f9-97deae704e2f" xfId="26" xr:uid="{00000000-0005-0000-0000-00000B000000}"/>
    <cellStyle name="MSTRStyle.Todos.c21_6668c9a3-2aa2-48fb-8c2d-7bab965807c5" xfId="28" xr:uid="{00000000-0005-0000-0000-00000C000000}"/>
    <cellStyle name="MSTRStyle.Todos.c22_b4931035-0805-433b-baf6-e882aeb4ab92" xfId="21" xr:uid="{00000000-0005-0000-0000-00000D000000}"/>
    <cellStyle name="MSTRStyle.Todos.c23_da26eb4b-ec0b-4c23-ba57-a8c5e38b6641" xfId="13" xr:uid="{00000000-0005-0000-0000-00000E000000}"/>
    <cellStyle name="MSTRStyle.Todos.c24_277c111b-2fd6-40e0-9a71-ae0aed61da69" xfId="32" xr:uid="{E4E13A25-84FA-4D92-9574-DDAFD38278EB}"/>
    <cellStyle name="MSTRStyle.Todos.c24_ac422d6a-d102-4f53-b7ea-bd7f18181498" xfId="15" xr:uid="{00000000-0005-0000-0000-00000F000000}"/>
    <cellStyle name="MSTRStyle.Todos.c3_22694d2a-25c9-4a77-b7ec-578f9598a798" xfId="31" xr:uid="{6C3AFD25-FC45-4009-897D-69BFBDDBABA5}"/>
    <cellStyle name="MSTRStyle.Todos.c3_643e75d5-5bb6-4a8f-a153-5b2cbad6ca42" xfId="39" xr:uid="{27159FD7-8684-4964-AA14-36579A15D342}"/>
    <cellStyle name="MSTRStyle.Todos.c3_ee34052e-6a5a-4931-979c-9f16bd5045b9" xfId="18" xr:uid="{00000000-0005-0000-0000-000010000000}"/>
    <cellStyle name="MSTRStyle.Todos.c573E73830E4892A1D75FD189492F39EB_953e357e-0c16-4117-91b2-a8dade1161ed" xfId="37" xr:uid="{08191AD0-1A51-46D3-97DF-AB918377F83D}"/>
    <cellStyle name="MSTRStyle.Todos.c7_81c12adb-1e68-4af7-a308-cda2119f5b62" xfId="23" xr:uid="{00000000-0005-0000-0000-000011000000}"/>
    <cellStyle name="MSTRStyle.Todos.c9_caa3568f-cc2a-4a40-813f-c12ba6feac0e" xfId="22" xr:uid="{00000000-0005-0000-0000-000012000000}"/>
    <cellStyle name="MSTRStyle.Todos.c9FBA3D6104430C9B822C47B9F4581268_0953b66f-a9ab-4f9c-aba0-64ac82c25f0d" xfId="38" xr:uid="{49CEEFCE-07FB-4DB8-85C3-D6D8623F13B5}"/>
    <cellStyle name="Normal" xfId="0" builtinId="0"/>
    <cellStyle name="Normal 2" xfId="4" xr:uid="{00000000-0005-0000-0000-000014000000}"/>
    <cellStyle name="Normal 2 2" xfId="11" xr:uid="{00000000-0005-0000-0000-000015000000}"/>
    <cellStyle name="Normal 3" xfId="35" xr:uid="{6DD72B3C-4554-430B-A7E0-CD9EA750AA5E}"/>
    <cellStyle name="Normal 3 2" xfId="2" xr:uid="{00000000-0005-0000-0000-000016000000}"/>
    <cellStyle name="Normal 4 2" xfId="7" xr:uid="{00000000-0005-0000-0000-000017000000}"/>
    <cellStyle name="Normal 7" xfId="10" xr:uid="{00000000-0005-0000-0000-000018000000}"/>
    <cellStyle name="Normal_5 Regimen Especial" xfId="6" xr:uid="{00000000-0005-0000-0000-000019000000}"/>
    <cellStyle name="Normal_7 Red de Transporte - Salvo perdidas" xfId="8" xr:uid="{00000000-0005-0000-0000-00001A000000}"/>
    <cellStyle name="Normal_A1 Comparacion Internacional" xfId="5" xr:uid="{00000000-0005-0000-0000-00001B000000}"/>
    <cellStyle name="Normal_cuadro 1.1 2" xfId="3" xr:uid="{00000000-0005-0000-0000-00001C000000}"/>
    <cellStyle name="Normal_TTTTTTTT" xfId="1" xr:uid="{00000000-0005-0000-0000-00001D000000}"/>
    <cellStyle name="Porcentaje" xfId="33" builtinId="5"/>
    <cellStyle name="Porcentaje 2" xfId="34" xr:uid="{CBE1E08D-9691-4D77-A64C-2EF9DBC1D71E}"/>
  </cellStyles>
  <dxfs count="0"/>
  <tableStyles count="0" defaultTableStyle="TableStyleMedium2" defaultPivotStyle="PivotStyleLight16"/>
  <colors>
    <mruColors>
      <color rgb="FFCFA2CA"/>
      <color rgb="FFBA0F16"/>
      <color rgb="FF03738B"/>
      <color rgb="FFF5F5F5"/>
      <color rgb="FFD9D9D9"/>
      <color rgb="FF004563"/>
      <color rgb="FF08B2AD"/>
      <color rgb="FF007CF9"/>
      <color rgb="FFAF8E00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eetMetadata" Target="metadata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338108955892703"/>
          <c:y val="0.10657897174617879"/>
          <c:w val="0.4868981499263812"/>
          <c:h val="0.7828558489012403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993300"/>
              </a:solidFill>
            </c:spPr>
            <c:extLst>
              <c:ext xmlns:c16="http://schemas.microsoft.com/office/drawing/2014/chart" uri="{C3380CC4-5D6E-409C-BE32-E72D297353CC}">
                <c16:uniqueId val="{00000001-BCC1-4B12-8B9E-8E3CBE32E214}"/>
              </c:ext>
            </c:extLst>
          </c:dPt>
          <c:dPt>
            <c:idx val="1"/>
            <c:bubble3D val="0"/>
            <c:spPr>
              <a:solidFill>
                <a:srgbClr val="8DA69F"/>
              </a:solidFill>
            </c:spPr>
            <c:extLst>
              <c:ext xmlns:c16="http://schemas.microsoft.com/office/drawing/2014/chart" uri="{C3380CC4-5D6E-409C-BE32-E72D297353CC}">
                <c16:uniqueId val="{00000003-BCC1-4B12-8B9E-8E3CBE32E214}"/>
              </c:ext>
            </c:extLst>
          </c:dPt>
          <c:dPt>
            <c:idx val="2"/>
            <c:bubble3D val="0"/>
            <c:spPr>
              <a:solidFill>
                <a:srgbClr val="BA0F16"/>
              </a:solidFill>
            </c:spPr>
            <c:extLst>
              <c:ext xmlns:c16="http://schemas.microsoft.com/office/drawing/2014/chart" uri="{C3380CC4-5D6E-409C-BE32-E72D297353CC}">
                <c16:uniqueId val="{00000005-BCC1-4B12-8B9E-8E3CBE32E214}"/>
              </c:ext>
            </c:extLst>
          </c:dPt>
          <c:dPt>
            <c:idx val="3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7-BCC1-4B12-8B9E-8E3CBE32E214}"/>
              </c:ext>
            </c:extLst>
          </c:dPt>
          <c:dPt>
            <c:idx val="5"/>
            <c:bubble3D val="0"/>
            <c:spPr>
              <a:solidFill>
                <a:srgbClr val="CFA2CA"/>
              </a:solidFill>
            </c:spPr>
            <c:extLst>
              <c:ext xmlns:c16="http://schemas.microsoft.com/office/drawing/2014/chart" uri="{C3380CC4-5D6E-409C-BE32-E72D297353CC}">
                <c16:uniqueId val="{00000009-BCC1-4B12-8B9E-8E3CBE32E214}"/>
              </c:ext>
            </c:extLst>
          </c:dPt>
          <c:dPt>
            <c:idx val="6"/>
            <c:bubble3D val="0"/>
            <c:spPr>
              <a:solidFill>
                <a:srgbClr val="666666"/>
              </a:solidFill>
            </c:spPr>
            <c:extLst>
              <c:ext xmlns:c16="http://schemas.microsoft.com/office/drawing/2014/chart" uri="{C3380CC4-5D6E-409C-BE32-E72D297353CC}">
                <c16:uniqueId val="{0000000B-BCC1-4B12-8B9E-8E3CBE32E214}"/>
              </c:ext>
            </c:extLst>
          </c:dPt>
          <c:dPt>
            <c:idx val="7"/>
            <c:bubble3D val="0"/>
            <c:spPr>
              <a:solidFill>
                <a:srgbClr val="A0A0A0"/>
              </a:solidFill>
            </c:spPr>
            <c:extLst>
              <c:ext xmlns:c16="http://schemas.microsoft.com/office/drawing/2014/chart" uri="{C3380CC4-5D6E-409C-BE32-E72D297353CC}">
                <c16:uniqueId val="{0000000D-BCC1-4B12-8B9E-8E3CBE32E214}"/>
              </c:ext>
            </c:extLst>
          </c:dPt>
          <c:dPt>
            <c:idx val="9"/>
            <c:bubble3D val="0"/>
            <c:spPr>
              <a:solidFill>
                <a:srgbClr val="E48500"/>
              </a:solidFill>
            </c:spPr>
            <c:extLst>
              <c:ext xmlns:c16="http://schemas.microsoft.com/office/drawing/2014/chart" uri="{C3380CC4-5D6E-409C-BE32-E72D297353CC}">
                <c16:uniqueId val="{00000011-BCC1-4B12-8B9E-8E3CBE32E214}"/>
              </c:ext>
            </c:extLst>
          </c:dPt>
          <c:dPt>
            <c:idx val="10"/>
            <c:bubble3D val="0"/>
            <c:spPr>
              <a:solidFill>
                <a:srgbClr val="A99BBD"/>
              </a:solidFill>
            </c:spPr>
            <c:extLst>
              <c:ext xmlns:c16="http://schemas.microsoft.com/office/drawing/2014/chart" uri="{C3380CC4-5D6E-409C-BE32-E72D297353CC}">
                <c16:uniqueId val="{00000013-BCC1-4B12-8B9E-8E3CBE32E214}"/>
              </c:ext>
            </c:extLst>
          </c:dPt>
          <c:dLbls>
            <c:dLbl>
              <c:idx val="0"/>
              <c:layout>
                <c:manualLayout>
                  <c:x val="7.8367346938775395E-2"/>
                  <c:y val="-0.1411764705882352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C1-4B12-8B9E-8E3CBE32E214}"/>
                </c:ext>
              </c:extLst>
            </c:dLbl>
            <c:dLbl>
              <c:idx val="1"/>
              <c:layout>
                <c:manualLayout>
                  <c:x val="0.15346938775510205"/>
                  <c:y val="-8.888888888888889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C1-4B12-8B9E-8E3CBE32E214}"/>
                </c:ext>
              </c:extLst>
            </c:dLbl>
            <c:dLbl>
              <c:idx val="2"/>
              <c:layout>
                <c:manualLayout>
                  <c:x val="0.16326530612244897"/>
                  <c:y val="6.274509803921568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C1-4B12-8B9E-8E3CBE32E214}"/>
                </c:ext>
              </c:extLst>
            </c:dLbl>
            <c:dLbl>
              <c:idx val="3"/>
              <c:layout>
                <c:manualLayout>
                  <c:x val="-0.11102040816326533"/>
                  <c:y val="0.1254901960784312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C1-4B12-8B9E-8E3CBE32E21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C1-4B12-8B9E-8E3CBE32E214}"/>
                </c:ext>
              </c:extLst>
            </c:dLbl>
            <c:dLbl>
              <c:idx val="5"/>
              <c:layout>
                <c:manualLayout>
                  <c:x val="-0.1436734693877551"/>
                  <c:y val="0.3032679738562090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C1-4B12-8B9E-8E3CBE32E214}"/>
                </c:ext>
              </c:extLst>
            </c:dLbl>
            <c:dLbl>
              <c:idx val="6"/>
              <c:layout>
                <c:manualLayout>
                  <c:x val="-0.1763265306122449"/>
                  <c:y val="0.1882352941176470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C1-4B12-8B9E-8E3CBE32E214}"/>
                </c:ext>
              </c:extLst>
            </c:dLbl>
            <c:dLbl>
              <c:idx val="7"/>
              <c:layout>
                <c:manualLayout>
                  <c:x val="-0.18938775510204081"/>
                  <c:y val="5.751633986928104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C1-4B12-8B9E-8E3CBE32E214}"/>
                </c:ext>
              </c:extLst>
            </c:dLbl>
            <c:dLbl>
              <c:idx val="8"/>
              <c:layout>
                <c:manualLayout>
                  <c:x val="-0.19591836734693877"/>
                  <c:y val="-6.797385620915032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C1-4B12-8B9E-8E3CBE32E214}"/>
                </c:ext>
              </c:extLst>
            </c:dLbl>
            <c:dLbl>
              <c:idx val="9"/>
              <c:layout>
                <c:manualLayout>
                  <c:x val="-0.21224489795918366"/>
                  <c:y val="-0.1098039215686274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C1-4B12-8B9E-8E3CBE32E214}"/>
                </c:ext>
              </c:extLst>
            </c:dLbl>
            <c:dLbl>
              <c:idx val="10"/>
              <c:layout>
                <c:manualLayout>
                  <c:x val="-0.15020408163265311"/>
                  <c:y val="-0.1254901960784313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C1-4B12-8B9E-8E3CBE32E21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Dat_01!$A$52:$A$62</c:f>
              <c:strCache>
                <c:ptCount val="11"/>
                <c:pt idx="0">
                  <c:v>Carbón</c:v>
                </c:pt>
                <c:pt idx="1">
                  <c:v>Motores diésel</c:v>
                </c:pt>
                <c:pt idx="2">
                  <c:v>Turbina de gas</c:v>
                </c:pt>
                <c:pt idx="3">
                  <c:v>Ciclo combinado</c:v>
                </c:pt>
                <c:pt idx="4">
                  <c:v>Generación auxiliar</c:v>
                </c:pt>
                <c:pt idx="5">
                  <c:v>Cogeneración</c:v>
                </c:pt>
                <c:pt idx="6">
                  <c:v>Residuos no renovables</c:v>
                </c:pt>
                <c:pt idx="7">
                  <c:v>Residuos renovables</c:v>
                </c:pt>
                <c:pt idx="8">
                  <c:v>Eólica</c:v>
                </c:pt>
                <c:pt idx="9">
                  <c:v>Solar fotovoltaica</c:v>
                </c:pt>
                <c:pt idx="10">
                  <c:v>Otras renovables</c:v>
                </c:pt>
              </c:strCache>
            </c:strRef>
          </c:cat>
          <c:val>
            <c:numRef>
              <c:f>Dat_01!$C$52:$C$62</c:f>
              <c:numCache>
                <c:formatCode>#,##0.0</c:formatCode>
                <c:ptCount val="11"/>
                <c:pt idx="0">
                  <c:v>10.132115114799269</c:v>
                </c:pt>
                <c:pt idx="1">
                  <c:v>5.8557912396476706</c:v>
                </c:pt>
                <c:pt idx="2">
                  <c:v>24.851406724358409</c:v>
                </c:pt>
                <c:pt idx="3">
                  <c:v>34.567651442654721</c:v>
                </c:pt>
                <c:pt idx="4">
                  <c:v>0</c:v>
                </c:pt>
                <c:pt idx="5">
                  <c:v>0.44204082650511078</c:v>
                </c:pt>
                <c:pt idx="6">
                  <c:v>1.5710659423444968</c:v>
                </c:pt>
                <c:pt idx="7">
                  <c:v>1.5710659423444968</c:v>
                </c:pt>
                <c:pt idx="8">
                  <c:v>0.14944029652113763</c:v>
                </c:pt>
                <c:pt idx="9">
                  <c:v>20.526894182065362</c:v>
                </c:pt>
                <c:pt idx="10">
                  <c:v>0.3325282887593326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BCC1-4B12-8B9E-8E3CBE32E214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895178776271617E-2"/>
          <c:y val="1.9491768074445252E-2"/>
          <c:w val="0.83037196338937813"/>
          <c:h val="0.8964232879980912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9D9D9"/>
              </a:solidFill>
            </c:spPr>
            <c:extLst>
              <c:ext xmlns:c16="http://schemas.microsoft.com/office/drawing/2014/chart" uri="{C3380CC4-5D6E-409C-BE32-E72D297353CC}">
                <c16:uniqueId val="{00000001-EFEF-4A25-8F99-4A2FF524F7C5}"/>
              </c:ext>
            </c:extLst>
          </c:dPt>
          <c:dPt>
            <c:idx val="1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3-EFEF-4A25-8F99-4A2FF524F7C5}"/>
              </c:ext>
            </c:extLst>
          </c:dPt>
          <c:dLbls>
            <c:dLbl>
              <c:idx val="0"/>
              <c:layout>
                <c:manualLayout>
                  <c:x val="-0.15204692365144692"/>
                  <c:y val="-0.1699346405228758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3158855420965531"/>
                      <c:h val="0.425948227059852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FEF-4A25-8F99-4A2FF524F7C5}"/>
                </c:ext>
              </c:extLst>
            </c:dLbl>
            <c:dLbl>
              <c:idx val="1"/>
              <c:layout>
                <c:manualLayout>
                  <c:x val="0.16374284085540439"/>
                  <c:y val="0.1176470588235294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198834276220727"/>
                      <c:h val="0.399804436210179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EFEF-4A25-8F99-4A2FF524F7C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anchorCtr="0"/>
              <a:lstStyle/>
              <a:p>
                <a:pPr algn="ctr">
                  <a:defRPr lang="en-US"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Dat_01!$J$68:$J$69</c:f>
              <c:strCache>
                <c:ptCount val="2"/>
                <c:pt idx="0">
                  <c:v>No renovables</c:v>
                </c:pt>
                <c:pt idx="1">
                  <c:v>Renovables</c:v>
                </c:pt>
              </c:strCache>
            </c:strRef>
          </c:cat>
          <c:val>
            <c:numRef>
              <c:f>Dat_01!$L$68:$L$69</c:f>
              <c:numCache>
                <c:formatCode>#,##0.0</c:formatCode>
                <c:ptCount val="2"/>
                <c:pt idx="0">
                  <c:v>74.488235969754953</c:v>
                </c:pt>
                <c:pt idx="1">
                  <c:v>25.51176403024505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EF-4A25-8F99-4A2FF524F7C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014807737082345E-2"/>
          <c:y val="0.21569609457639952"/>
          <c:w val="0.84251457249075767"/>
          <c:h val="0.64607768135989729"/>
        </c:manualLayout>
      </c:layout>
      <c:barChart>
        <c:barDir val="bar"/>
        <c:grouping val="stacked"/>
        <c:varyColors val="0"/>
        <c:ser>
          <c:idx val="2"/>
          <c:order val="0"/>
          <c:tx>
            <c:strRef>
              <c:f>Dat_01!$B$141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Dat_01!$C$141:$O$141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7.3203000000000004E-2</c:v>
                </c:pt>
                <c:pt idx="12">
                  <c:v>0.22017700000000001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D0-4520-9E59-43A6B46FC373}"/>
            </c:ext>
          </c:extLst>
        </c:ser>
        <c:ser>
          <c:idx val="8"/>
          <c:order val="1"/>
          <c:tx>
            <c:strRef>
              <c:f>Dat_01!$B$142</c:f>
              <c:strCache>
                <c:ptCount val="1"/>
                <c:pt idx="0">
                  <c:v>Motores diésel</c:v>
                </c:pt>
              </c:strCache>
            </c:strRef>
          </c:tx>
          <c:spPr>
            <a:solidFill>
              <a:srgbClr val="8DA69F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Dat_01!$C$142:$O$142</c:f>
              <c:numCache>
                <c:formatCode>#,##0.0</c:formatCode>
                <c:ptCount val="13"/>
                <c:pt idx="0">
                  <c:v>138.95366799999999</c:v>
                </c:pt>
                <c:pt idx="1">
                  <c:v>156.429901</c:v>
                </c:pt>
                <c:pt idx="2">
                  <c:v>146.533942</c:v>
                </c:pt>
                <c:pt idx="3">
                  <c:v>159.05462600000001</c:v>
                </c:pt>
                <c:pt idx="4">
                  <c:v>144.58958999999999</c:v>
                </c:pt>
                <c:pt idx="5">
                  <c:v>158.02685199999999</c:v>
                </c:pt>
                <c:pt idx="6">
                  <c:v>158.381069</c:v>
                </c:pt>
                <c:pt idx="7">
                  <c:v>143.06514300000001</c:v>
                </c:pt>
                <c:pt idx="8">
                  <c:v>149.59031300000001</c:v>
                </c:pt>
                <c:pt idx="9">
                  <c:v>153.416853</c:v>
                </c:pt>
                <c:pt idx="10">
                  <c:v>140.31111100000001</c:v>
                </c:pt>
                <c:pt idx="11">
                  <c:v>133.397616</c:v>
                </c:pt>
                <c:pt idx="12">
                  <c:v>153.75110799999999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D0-4520-9E59-43A6B46FC373}"/>
            </c:ext>
          </c:extLst>
        </c:ser>
        <c:ser>
          <c:idx val="0"/>
          <c:order val="2"/>
          <c:tx>
            <c:strRef>
              <c:f>Dat_01!$B$143</c:f>
              <c:strCache>
                <c:ptCount val="1"/>
                <c:pt idx="0">
                  <c:v>Turbina de gas</c:v>
                </c:pt>
              </c:strCache>
            </c:strRef>
          </c:tx>
          <c:spPr>
            <a:solidFill>
              <a:srgbClr val="BA0F16"/>
            </a:solidFill>
          </c:spPr>
          <c:invertIfNegative val="0"/>
          <c:val>
            <c:numRef>
              <c:f>Dat_01!$C$143:$O$143</c:f>
              <c:numCache>
                <c:formatCode>#,##0.0</c:formatCode>
                <c:ptCount val="13"/>
                <c:pt idx="0">
                  <c:v>17.277450000000002</c:v>
                </c:pt>
                <c:pt idx="1">
                  <c:v>21.905804</c:v>
                </c:pt>
                <c:pt idx="2">
                  <c:v>21.204673</c:v>
                </c:pt>
                <c:pt idx="3">
                  <c:v>28.975633999999999</c:v>
                </c:pt>
                <c:pt idx="4">
                  <c:v>21.440819999999999</c:v>
                </c:pt>
                <c:pt idx="5">
                  <c:v>25.811325</c:v>
                </c:pt>
                <c:pt idx="6">
                  <c:v>28.873301000000001</c:v>
                </c:pt>
                <c:pt idx="7">
                  <c:v>25.555015999999998</c:v>
                </c:pt>
                <c:pt idx="8">
                  <c:v>29.612995000000002</c:v>
                </c:pt>
                <c:pt idx="9">
                  <c:v>34.690565999999997</c:v>
                </c:pt>
                <c:pt idx="10">
                  <c:v>21.324908000000001</c:v>
                </c:pt>
                <c:pt idx="11">
                  <c:v>18.374575</c:v>
                </c:pt>
                <c:pt idx="12">
                  <c:v>24.368157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B0-4607-8FD2-83B343C7279A}"/>
            </c:ext>
          </c:extLst>
        </c:ser>
        <c:ser>
          <c:idx val="3"/>
          <c:order val="3"/>
          <c:tx>
            <c:strRef>
              <c:f>Dat_01!$B$144</c:f>
              <c:strCache>
                <c:ptCount val="1"/>
                <c:pt idx="0">
                  <c:v>Turbina de vapor</c:v>
                </c:pt>
              </c:strCache>
            </c:strRef>
          </c:tx>
          <c:spPr>
            <a:solidFill>
              <a:srgbClr val="AF8E00"/>
            </a:solidFill>
          </c:spPr>
          <c:invertIfNegative val="0"/>
          <c:val>
            <c:numRef>
              <c:f>Dat_01!$C$144:$O$144</c:f>
              <c:numCache>
                <c:formatCode>#,##0.0</c:formatCode>
                <c:ptCount val="13"/>
                <c:pt idx="0">
                  <c:v>97.398498000000004</c:v>
                </c:pt>
                <c:pt idx="1">
                  <c:v>100.21077</c:v>
                </c:pt>
                <c:pt idx="2">
                  <c:v>99.346721000000002</c:v>
                </c:pt>
                <c:pt idx="3">
                  <c:v>125.06728200000001</c:v>
                </c:pt>
                <c:pt idx="4">
                  <c:v>112.30573</c:v>
                </c:pt>
                <c:pt idx="5">
                  <c:v>119.831412</c:v>
                </c:pt>
                <c:pt idx="6">
                  <c:v>117.60937199999999</c:v>
                </c:pt>
                <c:pt idx="7">
                  <c:v>92.890253999999999</c:v>
                </c:pt>
                <c:pt idx="8">
                  <c:v>82.571079999999995</c:v>
                </c:pt>
                <c:pt idx="9">
                  <c:v>106.513632</c:v>
                </c:pt>
                <c:pt idx="10">
                  <c:v>111.85987799999999</c:v>
                </c:pt>
                <c:pt idx="11">
                  <c:v>90.531129000000007</c:v>
                </c:pt>
                <c:pt idx="12">
                  <c:v>116.281488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B0-4607-8FD2-83B343C7279A}"/>
            </c:ext>
          </c:extLst>
        </c:ser>
        <c:ser>
          <c:idx val="1"/>
          <c:order val="4"/>
          <c:tx>
            <c:strRef>
              <c:f>Dat_01!$B$145</c:f>
              <c:strCache>
                <c:ptCount val="1"/>
                <c:pt idx="0">
                  <c:v>Ciclo combinado (1)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Dat_01!$C$145:$O$145</c:f>
              <c:numCache>
                <c:formatCode>#,##0.0</c:formatCode>
                <c:ptCount val="13"/>
                <c:pt idx="0">
                  <c:v>316.70403900000002</c:v>
                </c:pt>
                <c:pt idx="1">
                  <c:v>340.02993600000002</c:v>
                </c:pt>
                <c:pt idx="2">
                  <c:v>307.60187999999999</c:v>
                </c:pt>
                <c:pt idx="3">
                  <c:v>357.47449</c:v>
                </c:pt>
                <c:pt idx="4">
                  <c:v>343.63677799999999</c:v>
                </c:pt>
                <c:pt idx="5">
                  <c:v>344.06825099999998</c:v>
                </c:pt>
                <c:pt idx="6">
                  <c:v>331.93350299999997</c:v>
                </c:pt>
                <c:pt idx="7">
                  <c:v>287.05643500000002</c:v>
                </c:pt>
                <c:pt idx="8">
                  <c:v>282.06847599999998</c:v>
                </c:pt>
                <c:pt idx="9">
                  <c:v>284.69147199999998</c:v>
                </c:pt>
                <c:pt idx="10">
                  <c:v>302.07158099999998</c:v>
                </c:pt>
                <c:pt idx="11">
                  <c:v>285.73719699999998</c:v>
                </c:pt>
                <c:pt idx="12">
                  <c:v>307.51257299999997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D0-4520-9E59-43A6B46FC373}"/>
            </c:ext>
          </c:extLst>
        </c:ser>
        <c:ser>
          <c:idx val="6"/>
          <c:order val="5"/>
          <c:tx>
            <c:strRef>
              <c:f>Dat_01!$B$146</c:f>
              <c:strCache>
                <c:ptCount val="1"/>
                <c:pt idx="0">
                  <c:v>Hidroeólica</c:v>
                </c:pt>
              </c:strCache>
            </c:strRef>
          </c:tx>
          <c:spPr>
            <a:solidFill>
              <a:srgbClr val="00FFFF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Dat_01!$C$146:$O$146</c:f>
              <c:numCache>
                <c:formatCode>#,##0.0</c:formatCode>
                <c:ptCount val="13"/>
                <c:pt idx="0">
                  <c:v>3.2914970000000001</c:v>
                </c:pt>
                <c:pt idx="1">
                  <c:v>2.7481429999999998</c:v>
                </c:pt>
                <c:pt idx="2">
                  <c:v>2.5908169999999999</c:v>
                </c:pt>
                <c:pt idx="3">
                  <c:v>1.167157</c:v>
                </c:pt>
                <c:pt idx="4">
                  <c:v>0.94978899999999999</c:v>
                </c:pt>
                <c:pt idx="5">
                  <c:v>1.389267</c:v>
                </c:pt>
                <c:pt idx="6">
                  <c:v>1.2355400000000001</c:v>
                </c:pt>
                <c:pt idx="7">
                  <c:v>1.2530779999999999</c:v>
                </c:pt>
                <c:pt idx="8">
                  <c:v>2.036778</c:v>
                </c:pt>
                <c:pt idx="9">
                  <c:v>1.462315</c:v>
                </c:pt>
                <c:pt idx="10">
                  <c:v>1.65883</c:v>
                </c:pt>
                <c:pt idx="11">
                  <c:v>2.7551960000000002</c:v>
                </c:pt>
                <c:pt idx="12">
                  <c:v>2.5266869999999999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D0-4520-9E59-43A6B46FC373}"/>
            </c:ext>
          </c:extLst>
        </c:ser>
        <c:ser>
          <c:idx val="7"/>
          <c:order val="6"/>
          <c:tx>
            <c:strRef>
              <c:f>Dat_01!$B$147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Dat_01!$C$147:$O$147</c:f>
              <c:numCache>
                <c:formatCode>#,##0.0</c:formatCode>
                <c:ptCount val="13"/>
                <c:pt idx="0">
                  <c:v>166.964561</c:v>
                </c:pt>
                <c:pt idx="1">
                  <c:v>149.445853</c:v>
                </c:pt>
                <c:pt idx="2">
                  <c:v>165.43614400000001</c:v>
                </c:pt>
                <c:pt idx="3">
                  <c:v>84.341824000000003</c:v>
                </c:pt>
                <c:pt idx="4">
                  <c:v>95.968860000000006</c:v>
                </c:pt>
                <c:pt idx="5">
                  <c:v>82.177819999999997</c:v>
                </c:pt>
                <c:pt idx="6">
                  <c:v>97.153379000000001</c:v>
                </c:pt>
                <c:pt idx="7">
                  <c:v>91.083347000000003</c:v>
                </c:pt>
                <c:pt idx="8">
                  <c:v>165.14311699999999</c:v>
                </c:pt>
                <c:pt idx="9">
                  <c:v>81.914609999999996</c:v>
                </c:pt>
                <c:pt idx="10">
                  <c:v>90.114508999999998</c:v>
                </c:pt>
                <c:pt idx="11">
                  <c:v>139.72264899999999</c:v>
                </c:pt>
                <c:pt idx="12">
                  <c:v>150.18750199999999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D0-4520-9E59-43A6B46FC373}"/>
            </c:ext>
          </c:extLst>
        </c:ser>
        <c:ser>
          <c:idx val="4"/>
          <c:order val="7"/>
          <c:tx>
            <c:strRef>
              <c:f>Dat_01!$B$148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Dat_01!$C$148:$O$148</c:f>
              <c:numCache>
                <c:formatCode>#,##0.0</c:formatCode>
                <c:ptCount val="13"/>
                <c:pt idx="0">
                  <c:v>44.683625999999997</c:v>
                </c:pt>
                <c:pt idx="1">
                  <c:v>46.097631</c:v>
                </c:pt>
                <c:pt idx="2">
                  <c:v>39.592024000000002</c:v>
                </c:pt>
                <c:pt idx="3">
                  <c:v>35.989100999999998</c:v>
                </c:pt>
                <c:pt idx="4">
                  <c:v>32.078172000000002</c:v>
                </c:pt>
                <c:pt idx="5">
                  <c:v>31.976611999999999</c:v>
                </c:pt>
                <c:pt idx="6">
                  <c:v>33.762532</c:v>
                </c:pt>
                <c:pt idx="7">
                  <c:v>36.724344000000002</c:v>
                </c:pt>
                <c:pt idx="8">
                  <c:v>36.337868999999998</c:v>
                </c:pt>
                <c:pt idx="9">
                  <c:v>41.012202000000002</c:v>
                </c:pt>
                <c:pt idx="10">
                  <c:v>46.822612999999997</c:v>
                </c:pt>
                <c:pt idx="11">
                  <c:v>49.021248</c:v>
                </c:pt>
                <c:pt idx="12">
                  <c:v>52.236552000000003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CD0-4520-9E59-43A6B46FC373}"/>
            </c:ext>
          </c:extLst>
        </c:ser>
        <c:ser>
          <c:idx val="10"/>
          <c:order val="8"/>
          <c:tx>
            <c:strRef>
              <c:f>Dat_01!$B$149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Dat_01!$C$149:$O$149</c:f>
              <c:numCache>
                <c:formatCode>#,##0.0</c:formatCode>
                <c:ptCount val="13"/>
                <c:pt idx="0">
                  <c:v>1.163958</c:v>
                </c:pt>
                <c:pt idx="1">
                  <c:v>0.98014500000000004</c:v>
                </c:pt>
                <c:pt idx="2">
                  <c:v>0.36074600000000001</c:v>
                </c:pt>
                <c:pt idx="3">
                  <c:v>0.77339199999999997</c:v>
                </c:pt>
                <c:pt idx="4">
                  <c:v>0.74605500000000002</c:v>
                </c:pt>
                <c:pt idx="5">
                  <c:v>0.798705</c:v>
                </c:pt>
                <c:pt idx="6">
                  <c:v>0.99824000000000002</c:v>
                </c:pt>
                <c:pt idx="7">
                  <c:v>0.82315300000000002</c:v>
                </c:pt>
                <c:pt idx="8">
                  <c:v>0.86323799999999995</c:v>
                </c:pt>
                <c:pt idx="9">
                  <c:v>0.83965599999999996</c:v>
                </c:pt>
                <c:pt idx="10">
                  <c:v>1.0704100000000001</c:v>
                </c:pt>
                <c:pt idx="11">
                  <c:v>0.92642400000000003</c:v>
                </c:pt>
                <c:pt idx="12">
                  <c:v>0.98070500000000005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D0-4520-9E59-43A6B46FC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851550256"/>
        <c:axId val="891810736"/>
      </c:barChart>
      <c:catAx>
        <c:axId val="8515502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891810736"/>
        <c:crosses val="autoZero"/>
        <c:auto val="1"/>
        <c:lblAlgn val="ctr"/>
        <c:lblOffset val="100"/>
        <c:noMultiLvlLbl val="1"/>
      </c:catAx>
      <c:valAx>
        <c:axId val="891810736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8515502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988341904416427E-2"/>
          <c:y val="4.249671229708963E-2"/>
          <c:w val="0.8797366792565563"/>
          <c:h val="0.12324013596661074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4563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>
      <a:noFill/>
    </a:ln>
  </c:spPr>
  <c:txPr>
    <a:bodyPr/>
    <a:lstStyle/>
    <a:p>
      <a:pPr>
        <a:defRPr sz="1000" b="0" i="0" u="none" strike="noStrike" baseline="0">
          <a:solidFill>
            <a:srgbClr val="80808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014807737082345E-2"/>
          <c:y val="0.21569609457639952"/>
          <c:w val="0.84251457249075767"/>
          <c:h val="0.64607768135989729"/>
        </c:manualLayout>
      </c:layout>
      <c:barChart>
        <c:barDir val="bar"/>
        <c:grouping val="stacked"/>
        <c:varyColors val="0"/>
        <c:ser>
          <c:idx val="2"/>
          <c:order val="0"/>
          <c:tx>
            <c:strRef>
              <c:f>Dat_01!$B$141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Dat_01!$C$141:$O$141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7.3203000000000004E-2</c:v>
                </c:pt>
                <c:pt idx="12">
                  <c:v>0.22017700000000001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49-407C-BEFE-A112EACBD099}"/>
            </c:ext>
          </c:extLst>
        </c:ser>
        <c:ser>
          <c:idx val="8"/>
          <c:order val="1"/>
          <c:tx>
            <c:strRef>
              <c:f>Dat_01!$B$155</c:f>
              <c:strCache>
                <c:ptCount val="1"/>
                <c:pt idx="0">
                  <c:v>Fuel/gas (1)</c:v>
                </c:pt>
              </c:strCache>
            </c:strRef>
          </c:tx>
          <c:spPr>
            <a:solidFill>
              <a:srgbClr val="BA0F16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Dat_01!$C$155:$O$155</c:f>
              <c:numCache>
                <c:formatCode>#,##0</c:formatCode>
                <c:ptCount val="13"/>
                <c:pt idx="0">
                  <c:v>253.629616</c:v>
                </c:pt>
                <c:pt idx="1">
                  <c:v>278.54647499999999</c:v>
                </c:pt>
                <c:pt idx="2">
                  <c:v>267.08533599999998</c:v>
                </c:pt>
                <c:pt idx="3">
                  <c:v>313.09754199999998</c:v>
                </c:pt>
                <c:pt idx="4">
                  <c:v>278.33614</c:v>
                </c:pt>
                <c:pt idx="5">
                  <c:v>303.66958899999997</c:v>
                </c:pt>
                <c:pt idx="6">
                  <c:v>304.863742</c:v>
                </c:pt>
                <c:pt idx="7">
                  <c:v>261.51041299999997</c:v>
                </c:pt>
                <c:pt idx="8">
                  <c:v>261.77438800000004</c:v>
                </c:pt>
                <c:pt idx="9">
                  <c:v>294.62105099999997</c:v>
                </c:pt>
                <c:pt idx="10">
                  <c:v>273.49589700000001</c:v>
                </c:pt>
                <c:pt idx="11">
                  <c:v>242.30331999999999</c:v>
                </c:pt>
                <c:pt idx="12">
                  <c:v>294.40075300000001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49-407C-BEFE-A112EACBD099}"/>
            </c:ext>
          </c:extLst>
        </c:ser>
        <c:ser>
          <c:idx val="1"/>
          <c:order val="2"/>
          <c:tx>
            <c:strRef>
              <c:f>Dat_01!$B$145</c:f>
              <c:strCache>
                <c:ptCount val="1"/>
                <c:pt idx="0">
                  <c:v>Ciclo combinado (1)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Dat_01!$C$145:$O$145</c:f>
              <c:numCache>
                <c:formatCode>#,##0.0</c:formatCode>
                <c:ptCount val="13"/>
                <c:pt idx="0">
                  <c:v>316.70403900000002</c:v>
                </c:pt>
                <c:pt idx="1">
                  <c:v>340.02993600000002</c:v>
                </c:pt>
                <c:pt idx="2">
                  <c:v>307.60187999999999</c:v>
                </c:pt>
                <c:pt idx="3">
                  <c:v>357.47449</c:v>
                </c:pt>
                <c:pt idx="4">
                  <c:v>343.63677799999999</c:v>
                </c:pt>
                <c:pt idx="5">
                  <c:v>344.06825099999998</c:v>
                </c:pt>
                <c:pt idx="6">
                  <c:v>331.93350299999997</c:v>
                </c:pt>
                <c:pt idx="7">
                  <c:v>287.05643500000002</c:v>
                </c:pt>
                <c:pt idx="8">
                  <c:v>282.06847599999998</c:v>
                </c:pt>
                <c:pt idx="9">
                  <c:v>284.69147199999998</c:v>
                </c:pt>
                <c:pt idx="10">
                  <c:v>302.07158099999998</c:v>
                </c:pt>
                <c:pt idx="11">
                  <c:v>285.73719699999998</c:v>
                </c:pt>
                <c:pt idx="12">
                  <c:v>307.51257299999997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49-407C-BEFE-A112EACBD099}"/>
            </c:ext>
          </c:extLst>
        </c:ser>
        <c:ser>
          <c:idx val="6"/>
          <c:order val="3"/>
          <c:tx>
            <c:strRef>
              <c:f>Dat_01!$B$146</c:f>
              <c:strCache>
                <c:ptCount val="1"/>
                <c:pt idx="0">
                  <c:v>Hidroeólica</c:v>
                </c:pt>
              </c:strCache>
            </c:strRef>
          </c:tx>
          <c:spPr>
            <a:solidFill>
              <a:srgbClr val="00FFFF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Dat_01!$C$146:$O$146</c:f>
              <c:numCache>
                <c:formatCode>#,##0.0</c:formatCode>
                <c:ptCount val="13"/>
                <c:pt idx="0">
                  <c:v>3.2914970000000001</c:v>
                </c:pt>
                <c:pt idx="1">
                  <c:v>2.7481429999999998</c:v>
                </c:pt>
                <c:pt idx="2">
                  <c:v>2.5908169999999999</c:v>
                </c:pt>
                <c:pt idx="3">
                  <c:v>1.167157</c:v>
                </c:pt>
                <c:pt idx="4">
                  <c:v>0.94978899999999999</c:v>
                </c:pt>
                <c:pt idx="5">
                  <c:v>1.389267</c:v>
                </c:pt>
                <c:pt idx="6">
                  <c:v>1.2355400000000001</c:v>
                </c:pt>
                <c:pt idx="7">
                  <c:v>1.2530779999999999</c:v>
                </c:pt>
                <c:pt idx="8">
                  <c:v>2.036778</c:v>
                </c:pt>
                <c:pt idx="9">
                  <c:v>1.462315</c:v>
                </c:pt>
                <c:pt idx="10">
                  <c:v>1.65883</c:v>
                </c:pt>
                <c:pt idx="11">
                  <c:v>2.7551960000000002</c:v>
                </c:pt>
                <c:pt idx="12">
                  <c:v>2.5266869999999999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49-407C-BEFE-A112EACBD099}"/>
            </c:ext>
          </c:extLst>
        </c:ser>
        <c:ser>
          <c:idx val="7"/>
          <c:order val="4"/>
          <c:tx>
            <c:strRef>
              <c:f>Dat_01!$B$147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Dat_01!$C$147:$O$147</c:f>
              <c:numCache>
                <c:formatCode>#,##0.0</c:formatCode>
                <c:ptCount val="13"/>
                <c:pt idx="0">
                  <c:v>166.964561</c:v>
                </c:pt>
                <c:pt idx="1">
                  <c:v>149.445853</c:v>
                </c:pt>
                <c:pt idx="2">
                  <c:v>165.43614400000001</c:v>
                </c:pt>
                <c:pt idx="3">
                  <c:v>84.341824000000003</c:v>
                </c:pt>
                <c:pt idx="4">
                  <c:v>95.968860000000006</c:v>
                </c:pt>
                <c:pt idx="5">
                  <c:v>82.177819999999997</c:v>
                </c:pt>
                <c:pt idx="6">
                  <c:v>97.153379000000001</c:v>
                </c:pt>
                <c:pt idx="7">
                  <c:v>91.083347000000003</c:v>
                </c:pt>
                <c:pt idx="8">
                  <c:v>165.14311699999999</c:v>
                </c:pt>
                <c:pt idx="9">
                  <c:v>81.914609999999996</c:v>
                </c:pt>
                <c:pt idx="10">
                  <c:v>90.114508999999998</c:v>
                </c:pt>
                <c:pt idx="11">
                  <c:v>139.72264899999999</c:v>
                </c:pt>
                <c:pt idx="12">
                  <c:v>150.18750199999999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49-407C-BEFE-A112EACBD099}"/>
            </c:ext>
          </c:extLst>
        </c:ser>
        <c:ser>
          <c:idx val="4"/>
          <c:order val="5"/>
          <c:tx>
            <c:strRef>
              <c:f>Dat_01!$B$148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Dat_01!$C$148:$O$148</c:f>
              <c:numCache>
                <c:formatCode>#,##0.0</c:formatCode>
                <c:ptCount val="13"/>
                <c:pt idx="0">
                  <c:v>44.683625999999997</c:v>
                </c:pt>
                <c:pt idx="1">
                  <c:v>46.097631</c:v>
                </c:pt>
                <c:pt idx="2">
                  <c:v>39.592024000000002</c:v>
                </c:pt>
                <c:pt idx="3">
                  <c:v>35.989100999999998</c:v>
                </c:pt>
                <c:pt idx="4">
                  <c:v>32.078172000000002</c:v>
                </c:pt>
                <c:pt idx="5">
                  <c:v>31.976611999999999</c:v>
                </c:pt>
                <c:pt idx="6">
                  <c:v>33.762532</c:v>
                </c:pt>
                <c:pt idx="7">
                  <c:v>36.724344000000002</c:v>
                </c:pt>
                <c:pt idx="8">
                  <c:v>36.337868999999998</c:v>
                </c:pt>
                <c:pt idx="9">
                  <c:v>41.012202000000002</c:v>
                </c:pt>
                <c:pt idx="10">
                  <c:v>46.822612999999997</c:v>
                </c:pt>
                <c:pt idx="11">
                  <c:v>49.021248</c:v>
                </c:pt>
                <c:pt idx="12">
                  <c:v>52.236552000000003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749-407C-BEFE-A112EACBD099}"/>
            </c:ext>
          </c:extLst>
        </c:ser>
        <c:ser>
          <c:idx val="10"/>
          <c:order val="6"/>
          <c:tx>
            <c:strRef>
              <c:f>Dat_01!$B$149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</c:spPr>
          <c:invertIfNegative val="0"/>
          <c:cat>
            <c:strRef>
              <c:f>Dat_01!$C$140:$O$140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Dat_01!$C$149:$O$149</c:f>
              <c:numCache>
                <c:formatCode>#,##0.0</c:formatCode>
                <c:ptCount val="13"/>
                <c:pt idx="0">
                  <c:v>1.163958</c:v>
                </c:pt>
                <c:pt idx="1">
                  <c:v>0.98014500000000004</c:v>
                </c:pt>
                <c:pt idx="2">
                  <c:v>0.36074600000000001</c:v>
                </c:pt>
                <c:pt idx="3">
                  <c:v>0.77339199999999997</c:v>
                </c:pt>
                <c:pt idx="4">
                  <c:v>0.74605500000000002</c:v>
                </c:pt>
                <c:pt idx="5">
                  <c:v>0.798705</c:v>
                </c:pt>
                <c:pt idx="6">
                  <c:v>0.99824000000000002</c:v>
                </c:pt>
                <c:pt idx="7">
                  <c:v>0.82315300000000002</c:v>
                </c:pt>
                <c:pt idx="8">
                  <c:v>0.86323799999999995</c:v>
                </c:pt>
                <c:pt idx="9">
                  <c:v>0.83965599999999996</c:v>
                </c:pt>
                <c:pt idx="10">
                  <c:v>1.0704100000000001</c:v>
                </c:pt>
                <c:pt idx="11">
                  <c:v>0.92642400000000003</c:v>
                </c:pt>
                <c:pt idx="12">
                  <c:v>0.98070500000000005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49-407C-BEFE-A112EACBD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851550256"/>
        <c:axId val="891810736"/>
      </c:barChart>
      <c:catAx>
        <c:axId val="8515502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891810736"/>
        <c:crosses val="autoZero"/>
        <c:auto val="1"/>
        <c:lblAlgn val="ctr"/>
        <c:lblOffset val="100"/>
        <c:noMultiLvlLbl val="1"/>
      </c:catAx>
      <c:valAx>
        <c:axId val="891810736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8515502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8.724849853849459E-2"/>
          <c:y val="4.249671229708963E-2"/>
          <c:w val="0.86922613022492623"/>
          <c:h val="0.1351058945260416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4563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>
      <a:noFill/>
    </a:ln>
  </c:spPr>
  <c:txPr>
    <a:bodyPr/>
    <a:lstStyle/>
    <a:p>
      <a:pPr>
        <a:defRPr sz="1000" b="0" i="0" u="none" strike="noStrike" baseline="0">
          <a:solidFill>
            <a:srgbClr val="80808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54603888799612E-2"/>
          <c:y val="0.14247647890167575"/>
          <c:w val="0.83628577856339403"/>
          <c:h val="0.7828558489012403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Dat_01!$A$47</c:f>
              <c:strCache>
                <c:ptCount val="1"/>
                <c:pt idx="0">
                  <c:v>Baterías</c:v>
                </c:pt>
              </c:strCache>
            </c:strRef>
          </c:tx>
          <c:spPr>
            <a:solidFill>
              <a:srgbClr val="03738B"/>
            </a:solidFill>
          </c:spPr>
          <c:invertIfNegative val="0"/>
          <c:dLbls>
            <c:dLbl>
              <c:idx val="0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800" b="0" i="0" u="none" strike="noStrike" kern="1200" baseline="0">
                      <a:solidFill>
                        <a:schemeClr val="bg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9C-449B-AB38-695234D90CA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Dat_01!$A$47</c:f>
              <c:strCache>
                <c:ptCount val="1"/>
                <c:pt idx="0">
                  <c:v>Baterías</c:v>
                </c:pt>
              </c:strCache>
            </c:strRef>
          </c:cat>
          <c:val>
            <c:numRef>
              <c:f>Dat_01!$F$48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71-49C2-874D-77471DF5D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67496991"/>
        <c:axId val="1867496031"/>
      </c:barChart>
      <c:valAx>
        <c:axId val="1867496031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ln>
                  <a:noFill/>
                </a:ln>
                <a:noFill/>
              </a:defRPr>
            </a:pPr>
            <a:endParaRPr lang="es-ES"/>
          </a:p>
        </c:txPr>
        <c:crossAx val="1867496991"/>
        <c:crosses val="autoZero"/>
        <c:crossBetween val="between"/>
      </c:valAx>
      <c:catAx>
        <c:axId val="186749699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ln>
                  <a:noFill/>
                </a:ln>
                <a:noFill/>
              </a:defRPr>
            </a:pPr>
            <a:endParaRPr lang="es-ES"/>
          </a:p>
        </c:txPr>
        <c:crossAx val="186749603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80386186462112E-2"/>
          <c:y val="0.16030564226808824"/>
          <c:w val="0.86216092052265514"/>
          <c:h val="0.67176679686692709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Dat_01!$B$172</c:f>
              <c:strCache>
                <c:ptCount val="1"/>
                <c:pt idx="0">
                  <c:v>Entrega batería</c:v>
                </c:pt>
              </c:strCache>
            </c:strRef>
          </c:tx>
          <c:spPr>
            <a:solidFill>
              <a:srgbClr val="03738B"/>
            </a:solidFill>
          </c:spPr>
          <c:invertIfNegative val="0"/>
          <c:cat>
            <c:strRef>
              <c:f>Dat_01!$C$171:$O$171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Dat_01!$C$172:$O$172</c:f>
              <c:numCache>
                <c:formatCode>#,##0.000</c:formatCode>
                <c:ptCount val="13"/>
                <c:pt idx="0">
                  <c:v>25.804000000000002</c:v>
                </c:pt>
                <c:pt idx="1">
                  <c:v>0</c:v>
                </c:pt>
                <c:pt idx="2">
                  <c:v>2.65</c:v>
                </c:pt>
                <c:pt idx="3">
                  <c:v>1.1019999999999999</c:v>
                </c:pt>
                <c:pt idx="4">
                  <c:v>1.536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0A-4791-B325-0C3751A9651D}"/>
            </c:ext>
          </c:extLst>
        </c:ser>
        <c:ser>
          <c:idx val="4"/>
          <c:order val="1"/>
          <c:tx>
            <c:strRef>
              <c:f>Dat_01!$B$173</c:f>
              <c:strCache>
                <c:ptCount val="1"/>
                <c:pt idx="0">
                  <c:v>Carga batería</c:v>
                </c:pt>
              </c:strCache>
            </c:strRef>
          </c:tx>
          <c:spPr>
            <a:solidFill>
              <a:srgbClr val="08B2AD"/>
            </a:solidFill>
          </c:spPr>
          <c:invertIfNegative val="0"/>
          <c:cat>
            <c:strRef>
              <c:f>Dat_01!$C$171:$O$171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Dat_01!$C$173:$O$173</c:f>
              <c:numCache>
                <c:formatCode>#,##0.000</c:formatCode>
                <c:ptCount val="13"/>
                <c:pt idx="0">
                  <c:v>-84.402000000000001</c:v>
                </c:pt>
                <c:pt idx="1">
                  <c:v>-3.7090000000000001</c:v>
                </c:pt>
                <c:pt idx="2">
                  <c:v>-8.4089999999999989</c:v>
                </c:pt>
                <c:pt idx="3">
                  <c:v>-6.4119999999999999</c:v>
                </c:pt>
                <c:pt idx="4">
                  <c:v>-5.601</c:v>
                </c:pt>
                <c:pt idx="5">
                  <c:v>-4.0439999999999996</c:v>
                </c:pt>
                <c:pt idx="6">
                  <c:v>-0.38699999999999996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0A-4791-B325-0C3751A96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1807624"/>
        <c:axId val="221808016"/>
      </c:barChart>
      <c:lineChart>
        <c:grouping val="standard"/>
        <c:varyColors val="0"/>
        <c:ser>
          <c:idx val="0"/>
          <c:order val="2"/>
          <c:tx>
            <c:strRef>
              <c:f>Dat_01!$B$174</c:f>
              <c:strCache>
                <c:ptCount val="1"/>
                <c:pt idx="0">
                  <c:v>Saldo</c:v>
                </c:pt>
              </c:strCache>
            </c:strRef>
          </c:tx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Dat_01!$C$171:$O$171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Dat_01!$C$174:$O$174</c:f>
              <c:numCache>
                <c:formatCode>#,##0.000</c:formatCode>
                <c:ptCount val="13"/>
                <c:pt idx="0">
                  <c:v>-58.597999999999999</c:v>
                </c:pt>
                <c:pt idx="1">
                  <c:v>-3.7090000000000001</c:v>
                </c:pt>
                <c:pt idx="2">
                  <c:v>-5.7589999999999986</c:v>
                </c:pt>
                <c:pt idx="3">
                  <c:v>-5.3100000000000005</c:v>
                </c:pt>
                <c:pt idx="4">
                  <c:v>-4.0649999999999995</c:v>
                </c:pt>
                <c:pt idx="5">
                  <c:v>-4.0439999999999996</c:v>
                </c:pt>
                <c:pt idx="6">
                  <c:v>-0.38699999999999996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0A-4791-B325-0C3751A96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807624"/>
        <c:axId val="221808016"/>
      </c:lineChart>
      <c:catAx>
        <c:axId val="221807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456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 sz="800" i="0">
                    <a:solidFill>
                      <a:srgbClr val="004563"/>
                    </a:solidFill>
                  </a:rPr>
                  <a:t>Meses</a:t>
                </a:r>
              </a:p>
            </c:rich>
          </c:tx>
          <c:layout>
            <c:manualLayout>
              <c:xMode val="edge"/>
              <c:yMode val="edge"/>
              <c:x val="0.90447376574536054"/>
              <c:y val="0.919057598115196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pattFill prst="pct50">
              <a:fgClr>
                <a:srgbClr val="000000"/>
              </a:fgClr>
              <a:bgClr>
                <a:srgbClr val="FFFFFF"/>
              </a:bgClr>
            </a:patt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808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1808016"/>
        <c:scaling>
          <c:orientation val="minMax"/>
        </c:scaling>
        <c:delete val="0"/>
        <c:axPos val="l"/>
        <c:majorGridlines>
          <c:spPr>
            <a:ln w="3175">
              <a:pattFill prst="pct50">
                <a:fgClr>
                  <a:srgbClr val="C0C0C0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456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 sz="800">
                    <a:solidFill>
                      <a:srgbClr val="004563"/>
                    </a:solidFill>
                  </a:rPr>
                  <a:t>MWh</a:t>
                </a:r>
              </a:p>
            </c:rich>
          </c:tx>
          <c:layout>
            <c:manualLayout>
              <c:xMode val="edge"/>
              <c:yMode val="edge"/>
              <c:x val="4.6065022062201519E-2"/>
              <c:y val="4.435902205137743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8076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466025634177003"/>
          <c:y val="1.9083847627154715E-2"/>
          <c:w val="0.44592371001114678"/>
          <c:h val="7.6335877862595422E-2"/>
        </c:manualLayout>
      </c:layout>
      <c:overlay val="0"/>
      <c:spPr>
        <a:solidFill>
          <a:srgbClr val="F5F5F5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4563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355" r="0.75000000000000355" t="1" header="0" footer="0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54649785282642E-2"/>
          <c:y val="0.17170827892744561"/>
          <c:w val="0.87372269673917868"/>
          <c:h val="0.7612898387701537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Dat_01!$J$73</c:f>
              <c:strCache>
                <c:ptCount val="1"/>
                <c:pt idx="0">
                  <c:v>Entrega baterías</c:v>
                </c:pt>
              </c:strCache>
            </c:strRef>
          </c:tx>
          <c:spPr>
            <a:solidFill>
              <a:srgbClr val="007CF9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03738B"/>
              </a:solidFill>
            </c:spPr>
            <c:extLst>
              <c:ext xmlns:c16="http://schemas.microsoft.com/office/drawing/2014/chart" uri="{C3380CC4-5D6E-409C-BE32-E72D297353CC}">
                <c16:uniqueId val="{00000000-3921-4A0B-BC20-A24D66C2E7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Dat_01!$K$73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35-4E0B-8390-2292B4C5EED5}"/>
            </c:ext>
          </c:extLst>
        </c:ser>
        <c:ser>
          <c:idx val="1"/>
          <c:order val="1"/>
          <c:spPr>
            <a:solidFill>
              <a:schemeClr val="bg2"/>
            </a:solidFill>
          </c:spPr>
          <c:invertIfNegative val="0"/>
          <c:val>
            <c:numRef>
              <c:f>Dat_01!$N$73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35-4E0B-8390-2292B4C5E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67496991"/>
        <c:axId val="1867496031"/>
      </c:barChart>
      <c:valAx>
        <c:axId val="1867496031"/>
        <c:scaling>
          <c:orientation val="minMax"/>
          <c:max val="1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867496991"/>
        <c:crosses val="autoZero"/>
        <c:crossBetween val="between"/>
      </c:valAx>
      <c:catAx>
        <c:axId val="186749699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800">
                <a:noFill/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86749603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54649785282642E-2"/>
          <c:y val="0.17170827892744561"/>
          <c:w val="0.87372269673917868"/>
          <c:h val="0.7612898387701537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Dat_01!$J$74</c:f>
              <c:strCache>
                <c:ptCount val="1"/>
                <c:pt idx="0">
                  <c:v>Carga baterías</c:v>
                </c:pt>
              </c:strCache>
            </c:strRef>
          </c:tx>
          <c:spPr>
            <a:solidFill>
              <a:srgbClr val="08B2AD"/>
            </a:solidFill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B74-460D-9925-E4A918D16857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Dat_01!$K$74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73-4350-86B5-AD9DD1BD3BB5}"/>
            </c:ext>
          </c:extLst>
        </c:ser>
        <c:ser>
          <c:idx val="1"/>
          <c:order val="1"/>
          <c:spPr>
            <a:solidFill>
              <a:schemeClr val="bg2"/>
            </a:solidFill>
          </c:spPr>
          <c:invertIfNegative val="0"/>
          <c:val>
            <c:numRef>
              <c:f>Dat_01!$N$74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73-4350-86B5-AD9DD1BD3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67496991"/>
        <c:axId val="1867496031"/>
      </c:barChart>
      <c:valAx>
        <c:axId val="1867496031"/>
        <c:scaling>
          <c:orientation val="minMax"/>
          <c:max val="1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867496991"/>
        <c:crosses val="autoZero"/>
        <c:crossBetween val="between"/>
      </c:valAx>
      <c:catAx>
        <c:axId val="186749699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800">
                <a:noFill/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86749603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54603888799612E-2"/>
          <c:y val="0.14247647890167575"/>
          <c:w val="0.83628577856339403"/>
          <c:h val="0.7828558489012403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Dat_01!$A$47</c:f>
              <c:strCache>
                <c:ptCount val="1"/>
                <c:pt idx="0">
                  <c:v>Baterías</c:v>
                </c:pt>
              </c:strCache>
            </c:strRef>
          </c:tx>
          <c:spPr>
            <a:solidFill>
              <a:srgbClr val="03738B"/>
            </a:solidFill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F2-4EAB-9BCD-9B8E2F5A8FF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Dat_01!$A$47</c:f>
              <c:strCache>
                <c:ptCount val="1"/>
                <c:pt idx="0">
                  <c:v>Baterías</c:v>
                </c:pt>
              </c:strCache>
            </c:strRef>
          </c:cat>
          <c:val>
            <c:numRef>
              <c:f>Dat_01!$F$47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F2-4EAB-9BCD-9B8E2F5A8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67496991"/>
        <c:axId val="1867496031"/>
      </c:barChart>
      <c:valAx>
        <c:axId val="1867496031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ln>
                  <a:noFill/>
                </a:ln>
                <a:noFill/>
              </a:defRPr>
            </a:pPr>
            <a:endParaRPr lang="es-ES"/>
          </a:p>
        </c:txPr>
        <c:crossAx val="1867496991"/>
        <c:crosses val="autoZero"/>
        <c:crossBetween val="between"/>
      </c:valAx>
      <c:catAx>
        <c:axId val="186749699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ln>
                  <a:noFill/>
                </a:ln>
                <a:noFill/>
              </a:defRPr>
            </a:pPr>
            <a:endParaRPr lang="es-ES"/>
          </a:p>
        </c:txPr>
        <c:crossAx val="186749603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80386186462112E-2"/>
          <c:y val="0.16030564226808824"/>
          <c:w val="0.86216092052265514"/>
          <c:h val="0.67176679686692709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Dat_01!$B$175</c:f>
              <c:strCache>
                <c:ptCount val="1"/>
                <c:pt idx="0">
                  <c:v>Entrega batería</c:v>
                </c:pt>
              </c:strCache>
            </c:strRef>
          </c:tx>
          <c:spPr>
            <a:solidFill>
              <a:srgbClr val="03738B"/>
            </a:solidFill>
          </c:spPr>
          <c:invertIfNegative val="0"/>
          <c:cat>
            <c:strRef>
              <c:f>Dat_01!$C$171:$O$171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Dat_01!$C$175:$O$175</c:f>
              <c:numCache>
                <c:formatCode>#,##0.000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0.63</c:v>
                </c:pt>
                <c:pt idx="4">
                  <c:v>5.5779999999999994</c:v>
                </c:pt>
                <c:pt idx="5">
                  <c:v>0.106</c:v>
                </c:pt>
                <c:pt idx="6">
                  <c:v>1E-3</c:v>
                </c:pt>
                <c:pt idx="7">
                  <c:v>37.019000000000005</c:v>
                </c:pt>
                <c:pt idx="8">
                  <c:v>4.1999999999999996E-2</c:v>
                </c:pt>
                <c:pt idx="9">
                  <c:v>0</c:v>
                </c:pt>
                <c:pt idx="10">
                  <c:v>7.093</c:v>
                </c:pt>
                <c:pt idx="11">
                  <c:v>1E-3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8-4A17-8C6F-189399B527F3}"/>
            </c:ext>
          </c:extLst>
        </c:ser>
        <c:ser>
          <c:idx val="4"/>
          <c:order val="1"/>
          <c:tx>
            <c:strRef>
              <c:f>Dat_01!$B$176</c:f>
              <c:strCache>
                <c:ptCount val="1"/>
                <c:pt idx="0">
                  <c:v>Carga batería</c:v>
                </c:pt>
              </c:strCache>
            </c:strRef>
          </c:tx>
          <c:spPr>
            <a:solidFill>
              <a:srgbClr val="08B2AD"/>
            </a:solidFill>
          </c:spPr>
          <c:invertIfNegative val="0"/>
          <c:cat>
            <c:strRef>
              <c:f>Dat_01!$C$171:$O$171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Dat_01!$C$176:$O$176</c:f>
              <c:numCache>
                <c:formatCode>#,##0.000</c:formatCode>
                <c:ptCount val="13"/>
                <c:pt idx="0">
                  <c:v>-1.466</c:v>
                </c:pt>
                <c:pt idx="1">
                  <c:v>-3.5109999999999997</c:v>
                </c:pt>
                <c:pt idx="2">
                  <c:v>-8.7720000000000002</c:v>
                </c:pt>
                <c:pt idx="3">
                  <c:v>-14.031000000000001</c:v>
                </c:pt>
                <c:pt idx="4">
                  <c:v>-17.222999999999999</c:v>
                </c:pt>
                <c:pt idx="5">
                  <c:v>-16.890999999999998</c:v>
                </c:pt>
                <c:pt idx="6">
                  <c:v>-11.673</c:v>
                </c:pt>
                <c:pt idx="7">
                  <c:v>-58.445999999999998</c:v>
                </c:pt>
                <c:pt idx="8">
                  <c:v>-13.491</c:v>
                </c:pt>
                <c:pt idx="9">
                  <c:v>-22.315000000000001</c:v>
                </c:pt>
                <c:pt idx="10">
                  <c:v>-22.401</c:v>
                </c:pt>
                <c:pt idx="11">
                  <c:v>-12.041</c:v>
                </c:pt>
                <c:pt idx="12">
                  <c:v>-18.018000000000001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38-4A17-8C6F-189399B52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1807624"/>
        <c:axId val="221808016"/>
      </c:barChart>
      <c:lineChart>
        <c:grouping val="standard"/>
        <c:varyColors val="0"/>
        <c:ser>
          <c:idx val="0"/>
          <c:order val="2"/>
          <c:tx>
            <c:strRef>
              <c:f>Dat_01!$B$177</c:f>
              <c:strCache>
                <c:ptCount val="1"/>
                <c:pt idx="0">
                  <c:v>Saldo</c:v>
                </c:pt>
              </c:strCache>
            </c:strRef>
          </c:tx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Dat_01!$C$171:$O$171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Dat_01!$C$177:$O$177</c:f>
              <c:numCache>
                <c:formatCode>#,##0.000</c:formatCode>
                <c:ptCount val="13"/>
                <c:pt idx="0">
                  <c:v>-1.466</c:v>
                </c:pt>
                <c:pt idx="1">
                  <c:v>-3.5109999999999997</c:v>
                </c:pt>
                <c:pt idx="2">
                  <c:v>-8.7720000000000002</c:v>
                </c:pt>
                <c:pt idx="3">
                  <c:v>-13.401</c:v>
                </c:pt>
                <c:pt idx="4">
                  <c:v>-11.645</c:v>
                </c:pt>
                <c:pt idx="5">
                  <c:v>-16.784999999999997</c:v>
                </c:pt>
                <c:pt idx="6">
                  <c:v>-11.672000000000001</c:v>
                </c:pt>
                <c:pt idx="7">
                  <c:v>-21.426999999999992</c:v>
                </c:pt>
                <c:pt idx="8">
                  <c:v>-13.449</c:v>
                </c:pt>
                <c:pt idx="9">
                  <c:v>-22.315000000000001</c:v>
                </c:pt>
                <c:pt idx="10">
                  <c:v>-15.308</c:v>
                </c:pt>
                <c:pt idx="11">
                  <c:v>-12.040000000000001</c:v>
                </c:pt>
                <c:pt idx="12">
                  <c:v>-18.018000000000001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38-4A17-8C6F-189399B52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807624"/>
        <c:axId val="221808016"/>
      </c:lineChart>
      <c:catAx>
        <c:axId val="221807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456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 sz="800" i="0">
                    <a:solidFill>
                      <a:srgbClr val="004563"/>
                    </a:solidFill>
                  </a:rPr>
                  <a:t>Meses</a:t>
                </a:r>
              </a:p>
            </c:rich>
          </c:tx>
          <c:layout>
            <c:manualLayout>
              <c:xMode val="edge"/>
              <c:yMode val="edge"/>
              <c:x val="0.90447376574536054"/>
              <c:y val="0.919057598115196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pattFill prst="pct50">
              <a:fgClr>
                <a:srgbClr val="000000"/>
              </a:fgClr>
              <a:bgClr>
                <a:srgbClr val="FFFFFF"/>
              </a:bgClr>
            </a:patt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808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1808016"/>
        <c:scaling>
          <c:orientation val="minMax"/>
        </c:scaling>
        <c:delete val="0"/>
        <c:axPos val="l"/>
        <c:majorGridlines>
          <c:spPr>
            <a:ln w="3175">
              <a:pattFill prst="pct50">
                <a:fgClr>
                  <a:srgbClr val="C0C0C0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456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 sz="800">
                    <a:solidFill>
                      <a:srgbClr val="004563"/>
                    </a:solidFill>
                  </a:rPr>
                  <a:t>MWh</a:t>
                </a:r>
              </a:p>
            </c:rich>
          </c:tx>
          <c:layout>
            <c:manualLayout>
              <c:xMode val="edge"/>
              <c:yMode val="edge"/>
              <c:x val="4.6065022062201519E-2"/>
              <c:y val="4.435902205137743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8076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466025634177003"/>
          <c:y val="1.9083847627154715E-2"/>
          <c:w val="0.44592371001114678"/>
          <c:h val="7.6335877862595422E-2"/>
        </c:manualLayout>
      </c:layout>
      <c:overlay val="0"/>
      <c:spPr>
        <a:solidFill>
          <a:srgbClr val="F5F5F5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4563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355" r="0.75000000000000355" t="1" header="0" footer="0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54649785282642E-2"/>
          <c:y val="0.17170827892744561"/>
          <c:w val="0.87372269673917868"/>
          <c:h val="0.7612898387701537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Dat_01!$J$79</c:f>
              <c:strCache>
                <c:ptCount val="1"/>
                <c:pt idx="0">
                  <c:v>Entrega baterías</c:v>
                </c:pt>
              </c:strCache>
            </c:strRef>
          </c:tx>
          <c:spPr>
            <a:solidFill>
              <a:srgbClr val="03738B"/>
            </a:solidFill>
          </c:spPr>
          <c:invertIfNegative val="0"/>
          <c:val>
            <c:numRef>
              <c:f>Dat_01!$K$79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86-4FF5-A379-4C3A66E99FA7}"/>
            </c:ext>
          </c:extLst>
        </c:ser>
        <c:ser>
          <c:idx val="1"/>
          <c:order val="1"/>
          <c:spPr>
            <a:solidFill>
              <a:schemeClr val="bg2"/>
            </a:solidFill>
          </c:spPr>
          <c:invertIfNegative val="0"/>
          <c:val>
            <c:numRef>
              <c:f>Dat_01!$N$79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86-4FF5-A379-4C3A66E99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67496991"/>
        <c:axId val="1867496031"/>
      </c:barChart>
      <c:valAx>
        <c:axId val="1867496031"/>
        <c:scaling>
          <c:orientation val="minMax"/>
          <c:max val="1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867496991"/>
        <c:crosses val="autoZero"/>
        <c:crossBetween val="between"/>
      </c:valAx>
      <c:catAx>
        <c:axId val="186749699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800">
                <a:noFill/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86749603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895178776271617E-2"/>
          <c:y val="1.9491768074445252E-2"/>
          <c:w val="0.83037196338937813"/>
          <c:h val="0.8964232879980912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9D9D9"/>
              </a:solidFill>
            </c:spPr>
            <c:extLst>
              <c:ext xmlns:c16="http://schemas.microsoft.com/office/drawing/2014/chart" uri="{C3380CC4-5D6E-409C-BE32-E72D297353CC}">
                <c16:uniqueId val="{00000001-D55D-4D3D-A386-16E893E00857}"/>
              </c:ext>
            </c:extLst>
          </c:dPt>
          <c:dPt>
            <c:idx val="1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3-D55D-4D3D-A386-16E893E00857}"/>
              </c:ext>
            </c:extLst>
          </c:dPt>
          <c:dLbls>
            <c:dLbl>
              <c:idx val="0"/>
              <c:layout>
                <c:manualLayout>
                  <c:x val="-9.356687716247844E-2"/>
                  <c:y val="-0.2091503267973856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970792439832787"/>
                      <c:h val="0.399804436210179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D55D-4D3D-A386-16E893E00857}"/>
                </c:ext>
              </c:extLst>
            </c:dLbl>
            <c:dLbl>
              <c:idx val="1"/>
              <c:layout>
                <c:manualLayout>
                  <c:x val="0.1052632548356171"/>
                  <c:y val="0.14379084967320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7309975880624285"/>
                      <c:h val="0.399804436210179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D55D-4D3D-A386-16E893E0085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anchorCtr="0"/>
              <a:lstStyle/>
              <a:p>
                <a:pPr algn="ctr">
                  <a:defRPr lang="en-US"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Dat_01!$J$52:$J$53</c:f>
              <c:strCache>
                <c:ptCount val="2"/>
                <c:pt idx="0">
                  <c:v>No renovables</c:v>
                </c:pt>
                <c:pt idx="1">
                  <c:v>Renovables</c:v>
                </c:pt>
              </c:strCache>
            </c:strRef>
          </c:cat>
          <c:val>
            <c:numRef>
              <c:f>Dat_01!$K$52:$K$53</c:f>
              <c:numCache>
                <c:formatCode>#,##0.0</c:formatCode>
                <c:ptCount val="2"/>
                <c:pt idx="0">
                  <c:v>77.420071290309679</c:v>
                </c:pt>
                <c:pt idx="1">
                  <c:v>22.579928709690329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5D-4D3D-A386-16E893E0085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054649785282642E-2"/>
          <c:y val="0.17170827892744561"/>
          <c:w val="0.87372269673917868"/>
          <c:h val="0.7612898387701537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Dat_01!$J$80</c:f>
              <c:strCache>
                <c:ptCount val="1"/>
                <c:pt idx="0">
                  <c:v>Carga baterías</c:v>
                </c:pt>
              </c:strCache>
            </c:strRef>
          </c:tx>
          <c:spPr>
            <a:solidFill>
              <a:srgbClr val="08B2AD"/>
            </a:solidFill>
          </c:spPr>
          <c:invertIfNegative val="0"/>
          <c:val>
            <c:numRef>
              <c:f>Dat_01!$K$80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60-45BA-ABF4-A832211AA047}"/>
            </c:ext>
          </c:extLst>
        </c:ser>
        <c:ser>
          <c:idx val="1"/>
          <c:order val="1"/>
          <c:invertIfNegative val="0"/>
          <c:dPt>
            <c:idx val="0"/>
            <c:invertIfNegative val="0"/>
            <c:bubble3D val="0"/>
            <c:spPr>
              <a:solidFill>
                <a:schemeClr val="bg2"/>
              </a:solidFill>
            </c:spPr>
            <c:extLst>
              <c:ext xmlns:c16="http://schemas.microsoft.com/office/drawing/2014/chart" uri="{C3380CC4-5D6E-409C-BE32-E72D297353CC}">
                <c16:uniqueId val="{00000000-D646-4162-902E-6A4FD3DA2DFA}"/>
              </c:ext>
            </c:extLst>
          </c:dPt>
          <c:val>
            <c:numRef>
              <c:f>Dat_01!$N$80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60-45BA-ABF4-A832211AA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867496991"/>
        <c:axId val="1867496031"/>
      </c:barChart>
      <c:valAx>
        <c:axId val="1867496031"/>
        <c:scaling>
          <c:orientation val="minMax"/>
          <c:max val="1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867496991"/>
        <c:crosses val="autoZero"/>
        <c:crossBetween val="between"/>
      </c:valAx>
      <c:catAx>
        <c:axId val="186749699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800">
                <a:noFill/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86749603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38078019217548E-2"/>
          <c:y val="0.19852622507025586"/>
          <c:w val="0.89139096346862223"/>
          <c:h val="0.670075235096791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Dat_02!$A$9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44B114"/>
            </a:solidFill>
            <a:ln>
              <a:noFill/>
            </a:ln>
            <a:effectLst/>
          </c:spPr>
          <c:invertIfNegative val="0"/>
          <c:cat>
            <c:strRef>
              <c:f>Dat_02!$B$34:$N$34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Dat_02!$B$9:$N$9</c:f>
              <c:numCache>
                <c:formatCode>#,##0.000</c:formatCode>
                <c:ptCount val="13"/>
                <c:pt idx="0">
                  <c:v>5.0000000000000001E-3</c:v>
                </c:pt>
                <c:pt idx="1">
                  <c:v>5.0000000000000001E-3</c:v>
                </c:pt>
                <c:pt idx="2">
                  <c:v>5.0000000000000001E-3</c:v>
                </c:pt>
                <c:pt idx="3">
                  <c:v>5.0000000000000001E-3</c:v>
                </c:pt>
                <c:pt idx="4">
                  <c:v>5.0000000000000001E-3</c:v>
                </c:pt>
                <c:pt idx="5">
                  <c:v>5.0000000000000001E-3</c:v>
                </c:pt>
                <c:pt idx="6">
                  <c:v>5.0000000000000001E-3</c:v>
                </c:pt>
                <c:pt idx="7">
                  <c:v>5.0000000000000001E-3</c:v>
                </c:pt>
                <c:pt idx="8">
                  <c:v>5.0000000000000001E-3</c:v>
                </c:pt>
                <c:pt idx="9">
                  <c:v>5.0000000000000001E-3</c:v>
                </c:pt>
                <c:pt idx="10">
                  <c:v>5.0000000000000001E-3</c:v>
                </c:pt>
                <c:pt idx="11">
                  <c:v>5.0000000000000001E-3</c:v>
                </c:pt>
                <c:pt idx="12">
                  <c:v>5.0000000000000001E-3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9F-4BBB-AD2E-F29DF68459A0}"/>
            </c:ext>
          </c:extLst>
        </c:ser>
        <c:ser>
          <c:idx val="1"/>
          <c:order val="1"/>
          <c:tx>
            <c:strRef>
              <c:f>Dat_02!$A$11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Dat_02!$B$34:$N$34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Dat_02!$B$11:$N$11</c:f>
              <c:numCache>
                <c:formatCode>#,##0.000</c:formatCode>
                <c:ptCount val="13"/>
                <c:pt idx="0">
                  <c:v>185.318927</c:v>
                </c:pt>
                <c:pt idx="1">
                  <c:v>186.838897</c:v>
                </c:pt>
                <c:pt idx="2">
                  <c:v>190.97144900000001</c:v>
                </c:pt>
                <c:pt idx="3">
                  <c:v>194.755954</c:v>
                </c:pt>
                <c:pt idx="4">
                  <c:v>197.07120399999999</c:v>
                </c:pt>
                <c:pt idx="5">
                  <c:v>199.38936899999999</c:v>
                </c:pt>
                <c:pt idx="6">
                  <c:v>201.287059</c:v>
                </c:pt>
                <c:pt idx="7">
                  <c:v>203.47899899999999</c:v>
                </c:pt>
                <c:pt idx="8">
                  <c:v>206.061252</c:v>
                </c:pt>
                <c:pt idx="9">
                  <c:v>209.30697699999999</c:v>
                </c:pt>
                <c:pt idx="10">
                  <c:v>211.09752599999999</c:v>
                </c:pt>
                <c:pt idx="11">
                  <c:v>213.50440599999999</c:v>
                </c:pt>
                <c:pt idx="12">
                  <c:v>213.50440599999999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9F-4BBB-AD2E-F29DF68459A0}"/>
            </c:ext>
          </c:extLst>
        </c:ser>
        <c:ser>
          <c:idx val="3"/>
          <c:order val="2"/>
          <c:tx>
            <c:strRef>
              <c:f>Dat_02!$A$12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Dat_02!$B$34:$N$34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Dat_02!$B$12:$N$12</c:f>
              <c:numCache>
                <c:formatCode>#,##0.000</c:formatCode>
                <c:ptCount val="13"/>
                <c:pt idx="0">
                  <c:v>5.0000000000000001E-3</c:v>
                </c:pt>
                <c:pt idx="1">
                  <c:v>5.0000000000000001E-3</c:v>
                </c:pt>
                <c:pt idx="2">
                  <c:v>5.0000000000000001E-3</c:v>
                </c:pt>
                <c:pt idx="3">
                  <c:v>5.0000000000000001E-3</c:v>
                </c:pt>
                <c:pt idx="4">
                  <c:v>5.0000000000000001E-3</c:v>
                </c:pt>
                <c:pt idx="5">
                  <c:v>5.0000000000000001E-3</c:v>
                </c:pt>
                <c:pt idx="6">
                  <c:v>5.0000000000000001E-3</c:v>
                </c:pt>
                <c:pt idx="7">
                  <c:v>5.0000000000000001E-3</c:v>
                </c:pt>
                <c:pt idx="8">
                  <c:v>5.0000000000000001E-3</c:v>
                </c:pt>
                <c:pt idx="9">
                  <c:v>5.0000000000000001E-3</c:v>
                </c:pt>
                <c:pt idx="10">
                  <c:v>5.0000000000000001E-3</c:v>
                </c:pt>
                <c:pt idx="11">
                  <c:v>5.0000000000000001E-3</c:v>
                </c:pt>
                <c:pt idx="12">
                  <c:v>5.0000000000000001E-3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9F-4BBB-AD2E-F29DF68459A0}"/>
            </c:ext>
          </c:extLst>
        </c:ser>
        <c:ser>
          <c:idx val="6"/>
          <c:order val="3"/>
          <c:tx>
            <c:strRef>
              <c:f>Dat_02!$A$8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CFA2CA"/>
            </a:solidFill>
            <a:ln>
              <a:noFill/>
            </a:ln>
            <a:effectLst/>
          </c:spPr>
          <c:invertIfNegative val="0"/>
          <c:cat>
            <c:strRef>
              <c:f>Dat_02!$B$34:$N$34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Dat_02!$B$8:$N$8</c:f>
              <c:numCache>
                <c:formatCode>#,##0.000</c:formatCode>
                <c:ptCount val="13"/>
                <c:pt idx="0">
                  <c:v>3.649</c:v>
                </c:pt>
                <c:pt idx="1">
                  <c:v>3.649</c:v>
                </c:pt>
                <c:pt idx="2">
                  <c:v>3.649</c:v>
                </c:pt>
                <c:pt idx="3">
                  <c:v>3.649</c:v>
                </c:pt>
                <c:pt idx="4">
                  <c:v>3.649</c:v>
                </c:pt>
                <c:pt idx="5">
                  <c:v>3.649</c:v>
                </c:pt>
                <c:pt idx="6">
                  <c:v>3.649</c:v>
                </c:pt>
                <c:pt idx="7">
                  <c:v>3.649</c:v>
                </c:pt>
                <c:pt idx="8">
                  <c:v>3.649</c:v>
                </c:pt>
                <c:pt idx="9">
                  <c:v>3.649</c:v>
                </c:pt>
                <c:pt idx="10">
                  <c:v>3.649</c:v>
                </c:pt>
                <c:pt idx="11">
                  <c:v>3.649</c:v>
                </c:pt>
                <c:pt idx="12">
                  <c:v>3.649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9F-4BBB-AD2E-F29DF68459A0}"/>
            </c:ext>
          </c:extLst>
        </c:ser>
        <c:ser>
          <c:idx val="5"/>
          <c:order val="4"/>
          <c:tx>
            <c:strRef>
              <c:f>Dat_02!$A$10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  <a:ln>
              <a:noFill/>
            </a:ln>
            <a:effectLst/>
          </c:spPr>
          <c:invertIfNegative val="0"/>
          <c:cat>
            <c:strRef>
              <c:f>Dat_02!$B$34:$N$34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Dat_02!$B$10:$N$10</c:f>
              <c:numCache>
                <c:formatCode>#,##0.000</c:formatCode>
                <c:ptCount val="13"/>
                <c:pt idx="0">
                  <c:v>6.0759999999999996</c:v>
                </c:pt>
                <c:pt idx="1">
                  <c:v>6.0759999999999996</c:v>
                </c:pt>
                <c:pt idx="2">
                  <c:v>6.0759999999999996</c:v>
                </c:pt>
                <c:pt idx="3">
                  <c:v>7.9160000000000004</c:v>
                </c:pt>
                <c:pt idx="4">
                  <c:v>7.9160000000000004</c:v>
                </c:pt>
                <c:pt idx="5">
                  <c:v>7.9160000000000004</c:v>
                </c:pt>
                <c:pt idx="6">
                  <c:v>7.9160000000000004</c:v>
                </c:pt>
                <c:pt idx="7">
                  <c:v>7.9160000000000004</c:v>
                </c:pt>
                <c:pt idx="8">
                  <c:v>7.9160000000000004</c:v>
                </c:pt>
                <c:pt idx="9">
                  <c:v>7.9160000000000004</c:v>
                </c:pt>
                <c:pt idx="10">
                  <c:v>7.9160000000000004</c:v>
                </c:pt>
                <c:pt idx="11">
                  <c:v>7.9160000000000004</c:v>
                </c:pt>
                <c:pt idx="12">
                  <c:v>7.9160000000000004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49F-4BBB-AD2E-F29DF6845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0942112"/>
        <c:axId val="690942504"/>
      </c:barChart>
      <c:catAx>
        <c:axId val="6909421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Meses</a:t>
                </a:r>
              </a:p>
            </c:rich>
          </c:tx>
          <c:layout>
            <c:manualLayout>
              <c:xMode val="edge"/>
              <c:yMode val="edge"/>
              <c:x val="0.91793984487198343"/>
              <c:y val="0.93613490772412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2504"/>
        <c:crosses val="autoZero"/>
        <c:auto val="1"/>
        <c:lblAlgn val="ctr"/>
        <c:lblOffset val="100"/>
        <c:noMultiLvlLbl val="1"/>
      </c:catAx>
      <c:valAx>
        <c:axId val="6909425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>
                    <a:solidFill>
                      <a:srgbClr val="004563"/>
                    </a:solidFill>
                  </a:rPr>
                  <a:t>MW</a:t>
                </a:r>
              </a:p>
            </c:rich>
          </c:tx>
          <c:layout>
            <c:manualLayout>
              <c:xMode val="edge"/>
              <c:yMode val="edge"/>
              <c:x val="3.0705323611924532E-2"/>
              <c:y val="7.74362749039716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0443888901056632E-2"/>
          <c:y val="3.1421838177533384E-2"/>
          <c:w val="0.90955611109894341"/>
          <c:h val="0.11280984834878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25394101661679E-2"/>
          <c:y val="9.7113684534203104E-2"/>
          <c:w val="0.87301901477486465"/>
          <c:h val="0.8649315279104756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Dat_02!$C$91</c:f>
              <c:strCache>
                <c:ptCount val="1"/>
                <c:pt idx="0">
                  <c:v>Vertida MWh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485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BE-498D-B1DD-7F03108D75C9}"/>
              </c:ext>
            </c:extLst>
          </c:dPt>
          <c:dPt>
            <c:idx val="1"/>
            <c:invertIfNegative val="0"/>
            <c:bubble3D val="0"/>
            <c:spPr>
              <a:solidFill>
                <a:srgbClr val="9A5C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3BE-498D-B1DD-7F03108D75C9}"/>
              </c:ext>
            </c:extLst>
          </c:dPt>
          <c:dPt>
            <c:idx val="2"/>
            <c:invertIfNegative val="0"/>
            <c:bubble3D val="0"/>
            <c:spPr>
              <a:solidFill>
                <a:srgbClr val="CFA2C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3BE-498D-B1DD-7F03108D75C9}"/>
              </c:ext>
            </c:extLst>
          </c:dPt>
          <c:dPt>
            <c:idx val="5"/>
            <c:invertIfNegative val="0"/>
            <c:bubble3D val="0"/>
            <c:spPr>
              <a:solidFill>
                <a:srgbClr val="AD7DC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BE-498D-B1DD-7F03108D75C9}"/>
              </c:ext>
            </c:extLst>
          </c:dPt>
          <c:cat>
            <c:strRef>
              <c:f>Dat_02!$A$92:$A$97</c:f>
              <c:strCache>
                <c:ptCount val="6"/>
                <c:pt idx="0">
                  <c:v>Solar fotovoltaica</c:v>
                </c:pt>
                <c:pt idx="1">
                  <c:v>Otras renovables</c:v>
                </c:pt>
                <c:pt idx="2">
                  <c:v>Cogeneración</c:v>
                </c:pt>
                <c:pt idx="3">
                  <c:v>Eólica</c:v>
                </c:pt>
                <c:pt idx="4">
                  <c:v>Solar térmica</c:v>
                </c:pt>
                <c:pt idx="5">
                  <c:v>Generación total autoconsumo</c:v>
                </c:pt>
              </c:strCache>
            </c:strRef>
          </c:cat>
          <c:val>
            <c:numRef>
              <c:f>Dat_02!$C$92:$C$97</c:f>
              <c:numCache>
                <c:formatCode>0.0</c:formatCode>
                <c:ptCount val="6"/>
                <c:pt idx="0">
                  <c:v>2080.5300000000002</c:v>
                </c:pt>
                <c:pt idx="1">
                  <c:v>1868.2</c:v>
                </c:pt>
                <c:pt idx="2">
                  <c:v>286.02999999999997</c:v>
                </c:pt>
                <c:pt idx="3">
                  <c:v>0</c:v>
                </c:pt>
                <c:pt idx="4">
                  <c:v>0</c:v>
                </c:pt>
                <c:pt idx="5">
                  <c:v>1868.2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3BE-498D-B1DD-7F03108D75C9}"/>
            </c:ext>
          </c:extLst>
        </c:ser>
        <c:ser>
          <c:idx val="1"/>
          <c:order val="1"/>
          <c:tx>
            <c:strRef>
              <c:f>Dat_02!$D$91</c:f>
              <c:strCache>
                <c:ptCount val="1"/>
                <c:pt idx="0">
                  <c:v>Autoconsumida MWh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48500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83BE-498D-B1DD-7F03108D75C9}"/>
              </c:ext>
            </c:extLst>
          </c:dPt>
          <c:dPt>
            <c:idx val="1"/>
            <c:invertIfNegative val="0"/>
            <c:bubble3D val="0"/>
            <c:spPr>
              <a:solidFill>
                <a:srgbClr val="9A5CBC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BE-498D-B1DD-7F03108D75C9}"/>
              </c:ext>
            </c:extLst>
          </c:dPt>
          <c:dPt>
            <c:idx val="2"/>
            <c:invertIfNegative val="0"/>
            <c:bubble3D val="0"/>
            <c:spPr>
              <a:solidFill>
                <a:srgbClr val="CFA2CA">
                  <a:alpha val="5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83BE-498D-B1DD-7F03108D75C9}"/>
              </c:ext>
            </c:extLst>
          </c:dPt>
          <c:dPt>
            <c:idx val="5"/>
            <c:invertIfNegative val="0"/>
            <c:bubble3D val="0"/>
            <c:spPr>
              <a:solidFill>
                <a:srgbClr val="AD7DC7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83BE-498D-B1DD-7F03108D75C9}"/>
              </c:ext>
            </c:extLst>
          </c:dPt>
          <c:cat>
            <c:strRef>
              <c:f>Dat_02!$A$92:$A$97</c:f>
              <c:strCache>
                <c:ptCount val="6"/>
                <c:pt idx="0">
                  <c:v>Solar fotovoltaica</c:v>
                </c:pt>
                <c:pt idx="1">
                  <c:v>Otras renovables</c:v>
                </c:pt>
                <c:pt idx="2">
                  <c:v>Cogeneración</c:v>
                </c:pt>
                <c:pt idx="3">
                  <c:v>Eólica</c:v>
                </c:pt>
                <c:pt idx="4">
                  <c:v>Solar térmica</c:v>
                </c:pt>
                <c:pt idx="5">
                  <c:v>Generación total autoconsumo</c:v>
                </c:pt>
              </c:strCache>
            </c:strRef>
          </c:cat>
          <c:val>
            <c:numRef>
              <c:f>Dat_02!$D$92:$D$97</c:f>
              <c:numCache>
                <c:formatCode>0.0</c:formatCode>
                <c:ptCount val="6"/>
                <c:pt idx="0">
                  <c:v>28224.53</c:v>
                </c:pt>
                <c:pt idx="1">
                  <c:v>1120.51</c:v>
                </c:pt>
                <c:pt idx="2">
                  <c:v>284.63</c:v>
                </c:pt>
                <c:pt idx="3">
                  <c:v>0</c:v>
                </c:pt>
                <c:pt idx="4">
                  <c:v>0</c:v>
                </c:pt>
                <c:pt idx="5">
                  <c:v>29629.67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BE-498D-B1DD-7F03108D75C9}"/>
            </c:ext>
          </c:extLst>
        </c:ser>
        <c:ser>
          <c:idx val="2"/>
          <c:order val="2"/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strRef>
              <c:f>Dat_02!$A$92:$A$97</c:f>
              <c:strCache>
                <c:ptCount val="6"/>
                <c:pt idx="0">
                  <c:v>Solar fotovoltaica</c:v>
                </c:pt>
                <c:pt idx="1">
                  <c:v>Otras renovables</c:v>
                </c:pt>
                <c:pt idx="2">
                  <c:v>Cogeneración</c:v>
                </c:pt>
                <c:pt idx="3">
                  <c:v>Eólica</c:v>
                </c:pt>
                <c:pt idx="4">
                  <c:v>Solar térmica</c:v>
                </c:pt>
                <c:pt idx="5">
                  <c:v>Generación total autoconsumo</c:v>
                </c:pt>
              </c:strCache>
            </c:strRef>
          </c:cat>
          <c:val>
            <c:numRef>
              <c:f>Dat_02!$F$92:$F$96</c:f>
              <c:numCache>
                <c:formatCode>0.0_)</c:formatCode>
                <c:ptCount val="5"/>
                <c:pt idx="0">
                  <c:v>3559.4902372999986</c:v>
                </c:pt>
                <c:pt idx="1">
                  <c:v>30875.555408200002</c:v>
                </c:pt>
                <c:pt idx="2">
                  <c:v>33293.814354499998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3BE-498D-B1DD-7F03108D75C9}"/>
            </c:ext>
          </c:extLst>
        </c:ser>
        <c:ser>
          <c:idx val="3"/>
          <c:order val="3"/>
          <c:tx>
            <c:strRef>
              <c:f>Dat_02!$E$91</c:f>
              <c:strCache>
                <c:ptCount val="1"/>
                <c:pt idx="0">
                  <c:v>Total %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AD7DC7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83BE-498D-B1DD-7F03108D75C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BE-498D-B1DD-7F03108D75C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BE-498D-B1DD-7F03108D75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Dat_02!$A$92:$A$97</c:f>
              <c:strCache>
                <c:ptCount val="6"/>
                <c:pt idx="0">
                  <c:v>Solar fotovoltaica</c:v>
                </c:pt>
                <c:pt idx="1">
                  <c:v>Otras renovables</c:v>
                </c:pt>
                <c:pt idx="2">
                  <c:v>Cogeneración</c:v>
                </c:pt>
                <c:pt idx="3">
                  <c:v>Eólica</c:v>
                </c:pt>
                <c:pt idx="4">
                  <c:v>Solar térmica</c:v>
                </c:pt>
                <c:pt idx="5">
                  <c:v>Generación total autoconsumo</c:v>
                </c:pt>
              </c:strCache>
            </c:strRef>
          </c:cat>
          <c:val>
            <c:numRef>
              <c:f>Dat_02!$E$92:$E$97</c:f>
              <c:numCache>
                <c:formatCode>0.0</c:formatCode>
                <c:ptCount val="6"/>
                <c:pt idx="0">
                  <c:v>89.489000000000004</c:v>
                </c:pt>
                <c:pt idx="1">
                  <c:v>8.8260000000000005</c:v>
                </c:pt>
                <c:pt idx="2">
                  <c:v>1.6850000000000001</c:v>
                </c:pt>
                <c:pt idx="3">
                  <c:v>0</c:v>
                </c:pt>
                <c:pt idx="4">
                  <c:v>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3BE-498D-B1DD-7F03108D7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0"/>
        <c:overlap val="100"/>
        <c:axId val="874300960"/>
        <c:axId val="874285120"/>
      </c:barChart>
      <c:catAx>
        <c:axId val="874300960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874285120"/>
        <c:crosses val="autoZero"/>
        <c:auto val="1"/>
        <c:lblAlgn val="ctr"/>
        <c:lblOffset val="100"/>
        <c:noMultiLvlLbl val="0"/>
      </c:catAx>
      <c:valAx>
        <c:axId val="874285120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874300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38078019217548E-2"/>
          <c:y val="0.19852622507025586"/>
          <c:w val="0.89139096346862223"/>
          <c:h val="0.67007523509679123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Dat_02!$A$42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</c:spPr>
          <c:invertIfNegative val="0"/>
          <c:cat>
            <c:strRef>
              <c:f>Dat_02!$B$67:$N$67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Dat_02!$B$42:$N$42</c:f>
              <c:numCache>
                <c:formatCode>#,##0.000</c:formatCode>
                <c:ptCount val="13"/>
                <c:pt idx="0">
                  <c:v>1.4999999999999999E-2</c:v>
                </c:pt>
                <c:pt idx="1">
                  <c:v>1.4999999999999999E-2</c:v>
                </c:pt>
                <c:pt idx="2">
                  <c:v>1.4999999999999999E-2</c:v>
                </c:pt>
                <c:pt idx="3">
                  <c:v>1.4999999999999999E-2</c:v>
                </c:pt>
                <c:pt idx="4">
                  <c:v>1.4999999999999999E-2</c:v>
                </c:pt>
                <c:pt idx="5">
                  <c:v>1.4999999999999999E-2</c:v>
                </c:pt>
                <c:pt idx="6">
                  <c:v>1.4999999999999999E-2</c:v>
                </c:pt>
                <c:pt idx="7">
                  <c:v>1.4999999999999999E-2</c:v>
                </c:pt>
                <c:pt idx="8">
                  <c:v>1.4999999999999999E-2</c:v>
                </c:pt>
                <c:pt idx="9">
                  <c:v>1.4999999999999999E-2</c:v>
                </c:pt>
                <c:pt idx="10">
                  <c:v>1.4999999999999999E-2</c:v>
                </c:pt>
                <c:pt idx="11">
                  <c:v>1.4999999999999999E-2</c:v>
                </c:pt>
                <c:pt idx="12">
                  <c:v>1.4999999999999999E-2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87-48CF-A389-531B64313FED}"/>
            </c:ext>
          </c:extLst>
        </c:ser>
        <c:ser>
          <c:idx val="0"/>
          <c:order val="1"/>
          <c:tx>
            <c:strRef>
              <c:f>Dat_02!$A$41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70AD47"/>
            </a:solidFill>
            <a:ln>
              <a:noFill/>
            </a:ln>
            <a:effectLst/>
          </c:spPr>
          <c:invertIfNegative val="0"/>
          <c:cat>
            <c:strRef>
              <c:f>Dat_02!$B$67:$N$67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Dat_02!$B$41:$N$41</c:f>
              <c:numCache>
                <c:formatCode>#,##0.000</c:formatCode>
                <c:ptCount val="13"/>
                <c:pt idx="0">
                  <c:v>13.49</c:v>
                </c:pt>
                <c:pt idx="1">
                  <c:v>13.49</c:v>
                </c:pt>
                <c:pt idx="2">
                  <c:v>13.49</c:v>
                </c:pt>
                <c:pt idx="3">
                  <c:v>18.11</c:v>
                </c:pt>
                <c:pt idx="4">
                  <c:v>18.11</c:v>
                </c:pt>
                <c:pt idx="5">
                  <c:v>18.11</c:v>
                </c:pt>
                <c:pt idx="6">
                  <c:v>18.11</c:v>
                </c:pt>
                <c:pt idx="7">
                  <c:v>18.11</c:v>
                </c:pt>
                <c:pt idx="8">
                  <c:v>18.11</c:v>
                </c:pt>
                <c:pt idx="9">
                  <c:v>18.11</c:v>
                </c:pt>
                <c:pt idx="10">
                  <c:v>18.11</c:v>
                </c:pt>
                <c:pt idx="11">
                  <c:v>18.11</c:v>
                </c:pt>
                <c:pt idx="12">
                  <c:v>18.11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87-48CF-A389-531B64313FED}"/>
            </c:ext>
          </c:extLst>
        </c:ser>
        <c:ser>
          <c:idx val="1"/>
          <c:order val="2"/>
          <c:tx>
            <c:strRef>
              <c:f>Dat_02!$A$44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Dat_02!$B$67:$N$67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Dat_02!$B$44:$N$44</c:f>
              <c:numCache>
                <c:formatCode>#,##0.000</c:formatCode>
                <c:ptCount val="13"/>
                <c:pt idx="0">
                  <c:v>142.71951200000001</c:v>
                </c:pt>
                <c:pt idx="1">
                  <c:v>145.09858700000001</c:v>
                </c:pt>
                <c:pt idx="2">
                  <c:v>148.07829699999999</c:v>
                </c:pt>
                <c:pt idx="3">
                  <c:v>150.12040200000001</c:v>
                </c:pt>
                <c:pt idx="4">
                  <c:v>152.36948699999999</c:v>
                </c:pt>
                <c:pt idx="5">
                  <c:v>154.62613899999999</c:v>
                </c:pt>
                <c:pt idx="6">
                  <c:v>156.39453900000001</c:v>
                </c:pt>
                <c:pt idx="7">
                  <c:v>159.022729</c:v>
                </c:pt>
                <c:pt idx="8">
                  <c:v>161.05822900000001</c:v>
                </c:pt>
                <c:pt idx="9">
                  <c:v>163.05639400000001</c:v>
                </c:pt>
                <c:pt idx="10">
                  <c:v>164.49396400000001</c:v>
                </c:pt>
                <c:pt idx="11">
                  <c:v>166.118154</c:v>
                </c:pt>
                <c:pt idx="12">
                  <c:v>166.118154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87-48CF-A389-531B64313FED}"/>
            </c:ext>
          </c:extLst>
        </c:ser>
        <c:ser>
          <c:idx val="3"/>
          <c:order val="3"/>
          <c:tx>
            <c:strRef>
              <c:f>Dat_02!$A$45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Dat_02!$B$67:$N$67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Dat_02!$B$45:$N$45</c:f>
              <c:numCache>
                <c:formatCode>#,##0.000</c:formatCode>
                <c:ptCount val="13"/>
                <c:pt idx="0">
                  <c:v>4.2999999999999997E-2</c:v>
                </c:pt>
                <c:pt idx="1">
                  <c:v>4.2999999999999997E-2</c:v>
                </c:pt>
                <c:pt idx="2">
                  <c:v>5.2999999999999999E-2</c:v>
                </c:pt>
                <c:pt idx="3">
                  <c:v>5.2999999999999999E-2</c:v>
                </c:pt>
                <c:pt idx="4">
                  <c:v>5.2999999999999999E-2</c:v>
                </c:pt>
                <c:pt idx="5">
                  <c:v>7.2900000000000006E-2</c:v>
                </c:pt>
                <c:pt idx="6">
                  <c:v>7.2900000000000006E-2</c:v>
                </c:pt>
                <c:pt idx="7">
                  <c:v>7.2900000000000006E-2</c:v>
                </c:pt>
                <c:pt idx="8">
                  <c:v>7.2900000000000006E-2</c:v>
                </c:pt>
                <c:pt idx="9">
                  <c:v>7.2900000000000006E-2</c:v>
                </c:pt>
                <c:pt idx="10">
                  <c:v>7.2900000000000006E-2</c:v>
                </c:pt>
                <c:pt idx="11">
                  <c:v>7.2900000000000006E-2</c:v>
                </c:pt>
                <c:pt idx="12">
                  <c:v>7.2900000000000006E-2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87-48CF-A389-531B64313FED}"/>
            </c:ext>
          </c:extLst>
        </c:ser>
        <c:ser>
          <c:idx val="5"/>
          <c:order val="4"/>
          <c:tx>
            <c:strRef>
              <c:f>Dat_02!$A$43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  <a:ln>
              <a:noFill/>
            </a:ln>
            <a:effectLst/>
          </c:spPr>
          <c:invertIfNegative val="0"/>
          <c:cat>
            <c:strRef>
              <c:f>Dat_02!$B$67:$N$67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Dat_02!$B$43:$N$43</c:f>
              <c:numCache>
                <c:formatCode>#,##0.000</c:formatCode>
                <c:ptCount val="13"/>
                <c:pt idx="0">
                  <c:v>5.0119999999999996</c:v>
                </c:pt>
                <c:pt idx="1">
                  <c:v>5.0119999999999996</c:v>
                </c:pt>
                <c:pt idx="2">
                  <c:v>5.0119999999999996</c:v>
                </c:pt>
                <c:pt idx="3">
                  <c:v>5.0119999999999996</c:v>
                </c:pt>
                <c:pt idx="4">
                  <c:v>5.0119999999999996</c:v>
                </c:pt>
                <c:pt idx="5">
                  <c:v>5.0119999999999996</c:v>
                </c:pt>
                <c:pt idx="6">
                  <c:v>5.0119999999999996</c:v>
                </c:pt>
                <c:pt idx="7">
                  <c:v>5.0119999999999996</c:v>
                </c:pt>
                <c:pt idx="8">
                  <c:v>5.0119999999999996</c:v>
                </c:pt>
                <c:pt idx="9">
                  <c:v>5.0119999999999996</c:v>
                </c:pt>
                <c:pt idx="10">
                  <c:v>5.0119999999999996</c:v>
                </c:pt>
                <c:pt idx="11">
                  <c:v>5.0119999999999996</c:v>
                </c:pt>
                <c:pt idx="12">
                  <c:v>5.0119999999999996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187-48CF-A389-531B64313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0942112"/>
        <c:axId val="690942504"/>
      </c:barChart>
      <c:catAx>
        <c:axId val="6909421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/>
                  <a:t>Meses</a:t>
                </a:r>
              </a:p>
            </c:rich>
          </c:tx>
          <c:layout>
            <c:manualLayout>
              <c:xMode val="edge"/>
              <c:yMode val="edge"/>
              <c:x val="0.91793984487198343"/>
              <c:y val="0.936134907724122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2504"/>
        <c:crosses val="autoZero"/>
        <c:auto val="1"/>
        <c:lblAlgn val="ctr"/>
        <c:lblOffset val="100"/>
        <c:noMultiLvlLbl val="1"/>
      </c:catAx>
      <c:valAx>
        <c:axId val="6909425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>
                    <a:solidFill>
                      <a:srgbClr val="004563"/>
                    </a:solidFill>
                  </a:rPr>
                  <a:t>MW</a:t>
                </a:r>
              </a:p>
            </c:rich>
          </c:tx>
          <c:layout>
            <c:manualLayout>
              <c:xMode val="edge"/>
              <c:yMode val="edge"/>
              <c:x val="3.0705323611924532E-2"/>
              <c:y val="7.74362749039716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004563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690942112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9.0443888901056632E-2"/>
          <c:y val="3.1421838177533384E-2"/>
          <c:w val="0.87872933150570998"/>
          <c:h val="5.9406124654586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rgbClr val="004563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925394101661679E-2"/>
          <c:y val="9.7113684534203104E-2"/>
          <c:w val="0.87301901477486465"/>
          <c:h val="0.8649315279104756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Dat_02!$C$136</c:f>
              <c:strCache>
                <c:ptCount val="1"/>
                <c:pt idx="0">
                  <c:v>Vertida MWh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485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B8-4651-B27F-8B2F90DF5A0C}"/>
              </c:ext>
            </c:extLst>
          </c:dPt>
          <c:dPt>
            <c:idx val="1"/>
            <c:invertIfNegative val="0"/>
            <c:bubble3D val="0"/>
            <c:spPr>
              <a:solidFill>
                <a:srgbClr val="70AD4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B8-4651-B27F-8B2F90DF5A0C}"/>
              </c:ext>
            </c:extLst>
          </c:dPt>
          <c:dPt>
            <c:idx val="2"/>
            <c:invertIfNegative val="0"/>
            <c:bubble3D val="0"/>
            <c:spPr>
              <a:solidFill>
                <a:srgbClr val="9A5C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B8-4651-B27F-8B2F90DF5A0C}"/>
              </c:ext>
            </c:extLst>
          </c:dPt>
          <c:dPt>
            <c:idx val="5"/>
            <c:invertIfNegative val="0"/>
            <c:bubble3D val="0"/>
            <c:spPr>
              <a:solidFill>
                <a:srgbClr val="AD7DC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B8-4651-B27F-8B2F90DF5A0C}"/>
              </c:ext>
            </c:extLst>
          </c:dPt>
          <c:cat>
            <c:strRef>
              <c:f>Dat_02!$A$137:$A$142</c:f>
              <c:strCache>
                <c:ptCount val="6"/>
                <c:pt idx="0">
                  <c:v>Solar fotovoltaica</c:v>
                </c:pt>
                <c:pt idx="1">
                  <c:v>Eólica</c:v>
                </c:pt>
                <c:pt idx="2">
                  <c:v>Otras renovables</c:v>
                </c:pt>
                <c:pt idx="3">
                  <c:v>Hidráulica</c:v>
                </c:pt>
                <c:pt idx="4">
                  <c:v>Solar térmica</c:v>
                </c:pt>
                <c:pt idx="5">
                  <c:v>Generación total autoconsumo</c:v>
                </c:pt>
              </c:strCache>
            </c:strRef>
          </c:cat>
          <c:val>
            <c:numRef>
              <c:f>Dat_02!$C$137:$C$142</c:f>
              <c:numCache>
                <c:formatCode>0.0</c:formatCode>
                <c:ptCount val="6"/>
                <c:pt idx="0">
                  <c:v>1020.15</c:v>
                </c:pt>
                <c:pt idx="1">
                  <c:v>1755.07</c:v>
                </c:pt>
                <c:pt idx="2">
                  <c:v>956.41</c:v>
                </c:pt>
                <c:pt idx="3">
                  <c:v>0</c:v>
                </c:pt>
                <c:pt idx="4">
                  <c:v>0</c:v>
                </c:pt>
                <c:pt idx="5">
                  <c:v>956.41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9B8-4651-B27F-8B2F90DF5A0C}"/>
            </c:ext>
          </c:extLst>
        </c:ser>
        <c:ser>
          <c:idx val="1"/>
          <c:order val="1"/>
          <c:tx>
            <c:strRef>
              <c:f>Dat_02!$D$136</c:f>
              <c:strCache>
                <c:ptCount val="1"/>
                <c:pt idx="0">
                  <c:v>Autoconsumida MWh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E48500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59B8-4651-B27F-8B2F90DF5A0C}"/>
              </c:ext>
            </c:extLst>
          </c:dPt>
          <c:dPt>
            <c:idx val="1"/>
            <c:invertIfNegative val="0"/>
            <c:bubble3D val="0"/>
            <c:spPr>
              <a:solidFill>
                <a:srgbClr val="70AD47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B8-4651-B27F-8B2F90DF5A0C}"/>
              </c:ext>
            </c:extLst>
          </c:dPt>
          <c:dPt>
            <c:idx val="2"/>
            <c:invertIfNegative val="0"/>
            <c:bubble3D val="0"/>
            <c:spPr>
              <a:solidFill>
                <a:srgbClr val="9A5CBC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59B8-4651-B27F-8B2F90DF5A0C}"/>
              </c:ext>
            </c:extLst>
          </c:dPt>
          <c:dPt>
            <c:idx val="5"/>
            <c:invertIfNegative val="0"/>
            <c:bubble3D val="0"/>
            <c:spPr>
              <a:solidFill>
                <a:srgbClr val="AD7DC7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59B8-4651-B27F-8B2F90DF5A0C}"/>
              </c:ext>
            </c:extLst>
          </c:dPt>
          <c:cat>
            <c:strRef>
              <c:f>Dat_02!$A$137:$A$142</c:f>
              <c:strCache>
                <c:ptCount val="6"/>
                <c:pt idx="0">
                  <c:v>Solar fotovoltaica</c:v>
                </c:pt>
                <c:pt idx="1">
                  <c:v>Eólica</c:v>
                </c:pt>
                <c:pt idx="2">
                  <c:v>Otras renovables</c:v>
                </c:pt>
                <c:pt idx="3">
                  <c:v>Hidráulica</c:v>
                </c:pt>
                <c:pt idx="4">
                  <c:v>Solar térmica</c:v>
                </c:pt>
                <c:pt idx="5">
                  <c:v>Generación total autoconsumo</c:v>
                </c:pt>
              </c:strCache>
            </c:strRef>
          </c:cat>
          <c:val>
            <c:numRef>
              <c:f>Dat_02!$D$137:$D$142</c:f>
              <c:numCache>
                <c:formatCode>0.0</c:formatCode>
                <c:ptCount val="6"/>
                <c:pt idx="0">
                  <c:v>21350.44</c:v>
                </c:pt>
                <c:pt idx="1">
                  <c:v>2569.31</c:v>
                </c:pt>
                <c:pt idx="2">
                  <c:v>324.85000000000002</c:v>
                </c:pt>
                <c:pt idx="3">
                  <c:v>0</c:v>
                </c:pt>
                <c:pt idx="4">
                  <c:v>0</c:v>
                </c:pt>
                <c:pt idx="5">
                  <c:v>24244.6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9B8-4651-B27F-8B2F90DF5A0C}"/>
            </c:ext>
          </c:extLst>
        </c:ser>
        <c:ser>
          <c:idx val="2"/>
          <c:order val="2"/>
          <c:spPr>
            <a:solidFill>
              <a:schemeClr val="bg2"/>
            </a:solidFill>
            <a:ln>
              <a:noFill/>
            </a:ln>
            <a:effectLst/>
          </c:spPr>
          <c:invertIfNegative val="0"/>
          <c:cat>
            <c:strRef>
              <c:f>Dat_02!$A$137:$A$142</c:f>
              <c:strCache>
                <c:ptCount val="6"/>
                <c:pt idx="0">
                  <c:v>Solar fotovoltaica</c:v>
                </c:pt>
                <c:pt idx="1">
                  <c:v>Eólica</c:v>
                </c:pt>
                <c:pt idx="2">
                  <c:v>Otras renovables</c:v>
                </c:pt>
                <c:pt idx="3">
                  <c:v>Hidráulica</c:v>
                </c:pt>
                <c:pt idx="4">
                  <c:v>Solar térmica</c:v>
                </c:pt>
                <c:pt idx="5">
                  <c:v>Generación total autoconsumo</c:v>
                </c:pt>
              </c:strCache>
            </c:strRef>
          </c:cat>
          <c:val>
            <c:numRef>
              <c:f>Dat_02!$F$137:$F$142</c:f>
              <c:numCache>
                <c:formatCode>0.0_)</c:formatCode>
                <c:ptCount val="6"/>
                <c:pt idx="0">
                  <c:v>5605.5952014000013</c:v>
                </c:pt>
                <c:pt idx="1">
                  <c:v>23651.935674600001</c:v>
                </c:pt>
                <c:pt idx="2">
                  <c:v>26694.909124000002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9B8-4651-B27F-8B2F90DF5A0C}"/>
            </c:ext>
          </c:extLst>
        </c:ser>
        <c:ser>
          <c:idx val="3"/>
          <c:order val="3"/>
          <c:tx>
            <c:strRef>
              <c:f>Dat_02!$E$136</c:f>
              <c:strCache>
                <c:ptCount val="1"/>
                <c:pt idx="0">
                  <c:v>Total %</c:v>
                </c:pt>
              </c:strCache>
            </c:strRef>
          </c:tx>
          <c:spPr>
            <a:solidFill>
              <a:schemeClr val="bg2"/>
            </a:solidFill>
            <a:ln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AD7DC7">
                  <a:alpha val="3000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59B8-4651-B27F-8B2F90DF5A0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B8-4651-B27F-8B2F90DF5A0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B8-4651-B27F-8B2F90DF5A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Dat_02!$A$137:$A$142</c:f>
              <c:strCache>
                <c:ptCount val="6"/>
                <c:pt idx="0">
                  <c:v>Solar fotovoltaica</c:v>
                </c:pt>
                <c:pt idx="1">
                  <c:v>Eólica</c:v>
                </c:pt>
                <c:pt idx="2">
                  <c:v>Otras renovables</c:v>
                </c:pt>
                <c:pt idx="3">
                  <c:v>Hidráulica</c:v>
                </c:pt>
                <c:pt idx="4">
                  <c:v>Solar térmica</c:v>
                </c:pt>
                <c:pt idx="5">
                  <c:v>Generación total autoconsumo</c:v>
                </c:pt>
              </c:strCache>
            </c:strRef>
          </c:cat>
          <c:val>
            <c:numRef>
              <c:f>Dat_02!$E$137:$E$142</c:f>
              <c:numCache>
                <c:formatCode>0.0</c:formatCode>
                <c:ptCount val="6"/>
                <c:pt idx="0">
                  <c:v>79.962999999999994</c:v>
                </c:pt>
                <c:pt idx="1">
                  <c:v>15.457000000000001</c:v>
                </c:pt>
                <c:pt idx="2">
                  <c:v>4.58</c:v>
                </c:pt>
                <c:pt idx="3">
                  <c:v>0</c:v>
                </c:pt>
                <c:pt idx="4">
                  <c:v>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59B8-4651-B27F-8B2F90DF5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0"/>
        <c:overlap val="100"/>
        <c:axId val="874300960"/>
        <c:axId val="874285120"/>
      </c:barChart>
      <c:catAx>
        <c:axId val="874300960"/>
        <c:scaling>
          <c:orientation val="maxMin"/>
        </c:scaling>
        <c:delete val="1"/>
        <c:axPos val="l"/>
        <c:numFmt formatCode="General" sourceLinked="1"/>
        <c:majorTickMark val="none"/>
        <c:minorTickMark val="none"/>
        <c:tickLblPos val="nextTo"/>
        <c:crossAx val="874285120"/>
        <c:crosses val="autoZero"/>
        <c:auto val="1"/>
        <c:lblAlgn val="ctr"/>
        <c:lblOffset val="100"/>
        <c:noMultiLvlLbl val="0"/>
      </c:catAx>
      <c:valAx>
        <c:axId val="874285120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874300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338108955892703"/>
          <c:y val="0.10657897174617879"/>
          <c:w val="0.4868981499263812"/>
          <c:h val="0.7828558489012403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993300"/>
              </a:solidFill>
            </c:spPr>
            <c:extLst>
              <c:ext xmlns:c16="http://schemas.microsoft.com/office/drawing/2014/chart" uri="{C3380CC4-5D6E-409C-BE32-E72D297353CC}">
                <c16:uniqueId val="{00000001-445E-436C-89F5-DC9E4842B2D0}"/>
              </c:ext>
            </c:extLst>
          </c:dPt>
          <c:dPt>
            <c:idx val="1"/>
            <c:bubble3D val="0"/>
            <c:spPr>
              <a:solidFill>
                <a:srgbClr val="8DA69F"/>
              </a:solidFill>
            </c:spPr>
            <c:extLst>
              <c:ext xmlns:c16="http://schemas.microsoft.com/office/drawing/2014/chart" uri="{C3380CC4-5D6E-409C-BE32-E72D297353CC}">
                <c16:uniqueId val="{00000003-445E-436C-89F5-DC9E4842B2D0}"/>
              </c:ext>
            </c:extLst>
          </c:dPt>
          <c:dPt>
            <c:idx val="2"/>
            <c:bubble3D val="0"/>
            <c:spPr>
              <a:solidFill>
                <a:srgbClr val="BA0F16"/>
              </a:solidFill>
            </c:spPr>
            <c:extLst>
              <c:ext xmlns:c16="http://schemas.microsoft.com/office/drawing/2014/chart" uri="{C3380CC4-5D6E-409C-BE32-E72D297353CC}">
                <c16:uniqueId val="{00000005-445E-436C-89F5-DC9E4842B2D0}"/>
              </c:ext>
            </c:extLst>
          </c:dPt>
          <c:dPt>
            <c:idx val="3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7-445E-436C-89F5-DC9E4842B2D0}"/>
              </c:ext>
            </c:extLst>
          </c:dPt>
          <c:dPt>
            <c:idx val="5"/>
            <c:bubble3D val="0"/>
            <c:spPr>
              <a:solidFill>
                <a:srgbClr val="CFA2CA"/>
              </a:solidFill>
            </c:spPr>
            <c:extLst>
              <c:ext xmlns:c16="http://schemas.microsoft.com/office/drawing/2014/chart" uri="{C3380CC4-5D6E-409C-BE32-E72D297353CC}">
                <c16:uniqueId val="{00000009-445E-436C-89F5-DC9E4842B2D0}"/>
              </c:ext>
            </c:extLst>
          </c:dPt>
          <c:dPt>
            <c:idx val="6"/>
            <c:bubble3D val="0"/>
            <c:spPr>
              <a:solidFill>
                <a:srgbClr val="666666"/>
              </a:solidFill>
            </c:spPr>
            <c:extLst>
              <c:ext xmlns:c16="http://schemas.microsoft.com/office/drawing/2014/chart" uri="{C3380CC4-5D6E-409C-BE32-E72D297353CC}">
                <c16:uniqueId val="{0000000B-445E-436C-89F5-DC9E4842B2D0}"/>
              </c:ext>
            </c:extLst>
          </c:dPt>
          <c:dPt>
            <c:idx val="7"/>
            <c:bubble3D val="0"/>
            <c:spPr>
              <a:solidFill>
                <a:srgbClr val="A0A0A0"/>
              </a:solidFill>
            </c:spPr>
            <c:extLst>
              <c:ext xmlns:c16="http://schemas.microsoft.com/office/drawing/2014/chart" uri="{C3380CC4-5D6E-409C-BE32-E72D297353CC}">
                <c16:uniqueId val="{0000000D-445E-436C-89F5-DC9E4842B2D0}"/>
              </c:ext>
            </c:extLst>
          </c:dPt>
          <c:dPt>
            <c:idx val="8"/>
            <c:bubble3D val="0"/>
            <c:spPr>
              <a:solidFill>
                <a:srgbClr val="6FB114"/>
              </a:solidFill>
            </c:spPr>
            <c:extLst>
              <c:ext xmlns:c16="http://schemas.microsoft.com/office/drawing/2014/chart" uri="{C3380CC4-5D6E-409C-BE32-E72D297353CC}">
                <c16:uniqueId val="{00000013-445E-436C-89F5-DC9E4842B2D0}"/>
              </c:ext>
            </c:extLst>
          </c:dPt>
          <c:dPt>
            <c:idx val="9"/>
            <c:bubble3D val="0"/>
            <c:spPr>
              <a:solidFill>
                <a:srgbClr val="ED7D31"/>
              </a:solidFill>
            </c:spPr>
            <c:extLst>
              <c:ext xmlns:c16="http://schemas.microsoft.com/office/drawing/2014/chart" uri="{C3380CC4-5D6E-409C-BE32-E72D297353CC}">
                <c16:uniqueId val="{0000000F-445E-436C-89F5-DC9E4842B2D0}"/>
              </c:ext>
            </c:extLst>
          </c:dPt>
          <c:dPt>
            <c:idx val="10"/>
            <c:bubble3D val="0"/>
            <c:spPr>
              <a:solidFill>
                <a:srgbClr val="9A5CBC"/>
              </a:solidFill>
            </c:spPr>
            <c:extLst>
              <c:ext xmlns:c16="http://schemas.microsoft.com/office/drawing/2014/chart" uri="{C3380CC4-5D6E-409C-BE32-E72D297353CC}">
                <c16:uniqueId val="{00000011-445E-436C-89F5-DC9E4842B2D0}"/>
              </c:ext>
            </c:extLst>
          </c:dPt>
          <c:dLbls>
            <c:dLbl>
              <c:idx val="0"/>
              <c:layout>
                <c:manualLayout>
                  <c:x val="0.17959183673469387"/>
                  <c:y val="-1.0162601626016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5E-436C-89F5-DC9E4842B2D0}"/>
                </c:ext>
              </c:extLst>
            </c:dLbl>
            <c:dLbl>
              <c:idx val="1"/>
              <c:layout>
                <c:manualLayout>
                  <c:x val="0.18285714285714286"/>
                  <c:y val="2.313872351321938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5E-436C-89F5-DC9E4842B2D0}"/>
                </c:ext>
              </c:extLst>
            </c:dLbl>
            <c:dLbl>
              <c:idx val="2"/>
              <c:layout>
                <c:manualLayout>
                  <c:x val="0.18612244897959171"/>
                  <c:y val="2.088294603418475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5E-436C-89F5-DC9E4842B2D0}"/>
                </c:ext>
              </c:extLst>
            </c:dLbl>
            <c:dLbl>
              <c:idx val="3"/>
              <c:layout>
                <c:manualLayout>
                  <c:x val="-0.21551020408163268"/>
                  <c:y val="6.797380129313113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5E-436C-89F5-DC9E4842B2D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7A-49FF-8FE5-42A045ACD010}"/>
                </c:ext>
              </c:extLst>
            </c:dLbl>
            <c:dLbl>
              <c:idx val="5"/>
              <c:layout>
                <c:manualLayout>
                  <c:x val="-0.30233212277036797"/>
                  <c:y val="6.48093912041482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5E-436C-89F5-DC9E4842B2D0}"/>
                </c:ext>
              </c:extLst>
            </c:dLbl>
            <c:dLbl>
              <c:idx val="6"/>
              <c:layout>
                <c:manualLayout>
                  <c:x val="-0.27058949059938936"/>
                  <c:y val="-3.00456916970744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30195905511811022"/>
                      <c:h val="0.159921774484071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445E-436C-89F5-DC9E4842B2D0}"/>
                </c:ext>
              </c:extLst>
            </c:dLbl>
            <c:dLbl>
              <c:idx val="7"/>
              <c:layout>
                <c:manualLayout>
                  <c:x val="-0.16"/>
                  <c:y val="-0.1250480122911465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9106938775510205"/>
                      <c:h val="0.159921774484071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445E-436C-89F5-DC9E4842B2D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5E-436C-89F5-DC9E4842B2D0}"/>
                </c:ext>
              </c:extLst>
            </c:dLbl>
            <c:dLbl>
              <c:idx val="9"/>
              <c:layout>
                <c:manualLayout>
                  <c:x val="7.1836734693877496E-2"/>
                  <c:y val="-0.1409228762563216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3665293266913065"/>
                      <c:h val="0.159921774484071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445E-436C-89F5-DC9E4842B2D0}"/>
                </c:ext>
              </c:extLst>
            </c:dLbl>
            <c:dLbl>
              <c:idx val="10"/>
              <c:layout>
                <c:manualLayout>
                  <c:x val="0.16"/>
                  <c:y val="-0.1067073170731707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2326530612245"/>
                      <c:h val="0.144677837526406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445E-436C-89F5-DC9E4842B2D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Dat_01!$A$68:$A$78</c:f>
              <c:strCache>
                <c:ptCount val="11"/>
                <c:pt idx="0">
                  <c:v>Carbón</c:v>
                </c:pt>
                <c:pt idx="1">
                  <c:v>Motores diésel</c:v>
                </c:pt>
                <c:pt idx="2">
                  <c:v>Turbina de gas</c:v>
                </c:pt>
                <c:pt idx="3">
                  <c:v>Ciclo combinado</c:v>
                </c:pt>
                <c:pt idx="4">
                  <c:v>Generación auxiliar</c:v>
                </c:pt>
                <c:pt idx="5">
                  <c:v>Cogeneración</c:v>
                </c:pt>
                <c:pt idx="6">
                  <c:v>Residuos no renovables</c:v>
                </c:pt>
                <c:pt idx="7">
                  <c:v>Residuos renovables</c:v>
                </c:pt>
                <c:pt idx="8">
                  <c:v>Eólica</c:v>
                </c:pt>
                <c:pt idx="9">
                  <c:v>Solar fotovoltaica</c:v>
                </c:pt>
                <c:pt idx="10">
                  <c:v>Otras renovables</c:v>
                </c:pt>
              </c:strCache>
            </c:strRef>
          </c:cat>
          <c:val>
            <c:numRef>
              <c:f>Dat_01!$C$68:$C$78</c:f>
              <c:numCache>
                <c:formatCode>#,##0.0</c:formatCode>
                <c:ptCount val="11"/>
                <c:pt idx="0">
                  <c:v>3.6924675945011205</c:v>
                </c:pt>
                <c:pt idx="1">
                  <c:v>9.3433285021197374</c:v>
                </c:pt>
                <c:pt idx="2">
                  <c:v>13.88703694796664</c:v>
                </c:pt>
                <c:pt idx="3">
                  <c:v>57.209087883250106</c:v>
                </c:pt>
                <c:pt idx="5">
                  <c:v>0.49348053776126805</c:v>
                </c:pt>
                <c:pt idx="6">
                  <c:v>1.8797958273309108</c:v>
                </c:pt>
                <c:pt idx="7">
                  <c:v>1.8797958273309108</c:v>
                </c:pt>
                <c:pt idx="8">
                  <c:v>0</c:v>
                </c:pt>
                <c:pt idx="9">
                  <c:v>11.315814262882103</c:v>
                </c:pt>
                <c:pt idx="10">
                  <c:v>0.29919261685721593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45E-436C-89F5-DC9E4842B2D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40"/>
        <c:holeSize val="50"/>
      </c:doughnutChart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895178776271617E-2"/>
          <c:y val="1.9491768074445252E-2"/>
          <c:w val="0.83037196338937813"/>
          <c:h val="0.8964232879980912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9D9D9"/>
              </a:solidFill>
            </c:spPr>
            <c:extLst>
              <c:ext xmlns:c16="http://schemas.microsoft.com/office/drawing/2014/chart" uri="{C3380CC4-5D6E-409C-BE32-E72D297353CC}">
                <c16:uniqueId val="{00000001-9C95-47DE-9BCF-E8A802314576}"/>
              </c:ext>
            </c:extLst>
          </c:dPt>
          <c:dPt>
            <c:idx val="1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3-9C95-47DE-9BCF-E8A802314576}"/>
              </c:ext>
            </c:extLst>
          </c:dPt>
          <c:dLbls>
            <c:dLbl>
              <c:idx val="0"/>
              <c:layout>
                <c:manualLayout>
                  <c:x val="5.8479586019787283E-2"/>
                  <c:y val="-0.15686274509803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198834276220727"/>
                      <c:h val="0.399804436210179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C95-47DE-9BCF-E8A802314576}"/>
                </c:ext>
              </c:extLst>
            </c:dLbl>
            <c:dLbl>
              <c:idx val="1"/>
              <c:layout>
                <c:manualLayout>
                  <c:x val="-3.5087751611872421E-2"/>
                  <c:y val="0.1045751633986928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140384160228539"/>
                      <c:h val="0.399804436210179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C95-47DE-9BCF-E8A80231457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anchorCtr="0"/>
              <a:lstStyle/>
              <a:p>
                <a:pPr algn="ctr" rtl="0">
                  <a:defRPr lang="en-US"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Dat_01!$J$68:$J$69</c:f>
              <c:strCache>
                <c:ptCount val="2"/>
                <c:pt idx="0">
                  <c:v>No renovables</c:v>
                </c:pt>
                <c:pt idx="1">
                  <c:v>Renovables</c:v>
                </c:pt>
              </c:strCache>
            </c:strRef>
          </c:cat>
          <c:val>
            <c:numRef>
              <c:f>Dat_01!$K$68:$K$69</c:f>
              <c:numCache>
                <c:formatCode>#,##0.0</c:formatCode>
                <c:ptCount val="2"/>
                <c:pt idx="0">
                  <c:v>86.505197292929779</c:v>
                </c:pt>
                <c:pt idx="1">
                  <c:v>13.49480270707023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95-47DE-9BCF-E8A8023145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40"/>
        <c:holeSize val="7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797861194278999E-2"/>
          <c:y val="0.22876785506591016"/>
          <c:w val="0.89133346829616533"/>
          <c:h val="0.64607768135989729"/>
        </c:manualLayout>
      </c:layout>
      <c:barChart>
        <c:barDir val="bar"/>
        <c:grouping val="stacked"/>
        <c:varyColors val="0"/>
        <c:ser>
          <c:idx val="2"/>
          <c:order val="0"/>
          <c:tx>
            <c:strRef>
              <c:f>Dat_01!$B$123</c:f>
              <c:strCache>
                <c:ptCount val="1"/>
                <c:pt idx="0">
                  <c:v>Carbón</c:v>
                </c:pt>
              </c:strCache>
            </c:strRef>
          </c:tx>
          <c:spPr>
            <a:solidFill>
              <a:srgbClr val="993300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Dat_01!$C$123:$O$123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23.056228000000001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18-4B7E-ADE3-CF38220B9908}"/>
            </c:ext>
          </c:extLst>
        </c:ser>
        <c:ser>
          <c:idx val="8"/>
          <c:order val="1"/>
          <c:tx>
            <c:strRef>
              <c:f>Dat_01!$B$124</c:f>
              <c:strCache>
                <c:ptCount val="1"/>
                <c:pt idx="0">
                  <c:v>Motores diésel</c:v>
                </c:pt>
              </c:strCache>
            </c:strRef>
          </c:tx>
          <c:spPr>
            <a:solidFill>
              <a:srgbClr val="8DA69F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Dat_01!$C$124:$O$124</c:f>
              <c:numCache>
                <c:formatCode>#,##0.0</c:formatCode>
                <c:ptCount val="13"/>
                <c:pt idx="0">
                  <c:v>62.363782</c:v>
                </c:pt>
                <c:pt idx="1">
                  <c:v>66.467855</c:v>
                </c:pt>
                <c:pt idx="2">
                  <c:v>45.454340000000002</c:v>
                </c:pt>
                <c:pt idx="3">
                  <c:v>22.456917000000001</c:v>
                </c:pt>
                <c:pt idx="4">
                  <c:v>17.069234000000002</c:v>
                </c:pt>
                <c:pt idx="5">
                  <c:v>11.652042</c:v>
                </c:pt>
                <c:pt idx="6">
                  <c:v>14.892018999999999</c:v>
                </c:pt>
                <c:pt idx="7">
                  <c:v>6.0359920000000002</c:v>
                </c:pt>
                <c:pt idx="8">
                  <c:v>8.5326330000000006</c:v>
                </c:pt>
                <c:pt idx="9">
                  <c:v>8.6196000000000002</c:v>
                </c:pt>
                <c:pt idx="10">
                  <c:v>22.465201</c:v>
                </c:pt>
                <c:pt idx="11">
                  <c:v>36.617978999999998</c:v>
                </c:pt>
                <c:pt idx="12">
                  <c:v>58.340907999999999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18-4B7E-ADE3-CF38220B9908}"/>
            </c:ext>
          </c:extLst>
        </c:ser>
        <c:ser>
          <c:idx val="1"/>
          <c:order val="2"/>
          <c:tx>
            <c:strRef>
              <c:f>Dat_01!$B$125</c:f>
              <c:strCache>
                <c:ptCount val="1"/>
                <c:pt idx="0">
                  <c:v>Turbina de gas</c:v>
                </c:pt>
              </c:strCache>
            </c:strRef>
          </c:tx>
          <c:spPr>
            <a:solidFill>
              <a:srgbClr val="BA0F16"/>
            </a:solidFill>
          </c:spPr>
          <c:invertIfNegative val="0"/>
          <c:val>
            <c:numRef>
              <c:f>Dat_01!$C$125:$O$125</c:f>
              <c:numCache>
                <c:formatCode>#,##0.0</c:formatCode>
                <c:ptCount val="13"/>
                <c:pt idx="0">
                  <c:v>58.218541000000002</c:v>
                </c:pt>
                <c:pt idx="1">
                  <c:v>51.241262999999996</c:v>
                </c:pt>
                <c:pt idx="2">
                  <c:v>39.777388999999999</c:v>
                </c:pt>
                <c:pt idx="3">
                  <c:v>43.751629999999999</c:v>
                </c:pt>
                <c:pt idx="4">
                  <c:v>32.383879</c:v>
                </c:pt>
                <c:pt idx="5">
                  <c:v>25.042332999999999</c:v>
                </c:pt>
                <c:pt idx="6">
                  <c:v>28.074463000000002</c:v>
                </c:pt>
                <c:pt idx="7">
                  <c:v>21.743562000000001</c:v>
                </c:pt>
                <c:pt idx="8">
                  <c:v>24.257366999999999</c:v>
                </c:pt>
                <c:pt idx="9">
                  <c:v>22.619537000000001</c:v>
                </c:pt>
                <c:pt idx="10">
                  <c:v>36.469515000000001</c:v>
                </c:pt>
                <c:pt idx="11">
                  <c:v>48.031368999999998</c:v>
                </c:pt>
                <c:pt idx="12">
                  <c:v>86.712389999999999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618-4B7E-ADE3-CF38220B9908}"/>
            </c:ext>
          </c:extLst>
        </c:ser>
        <c:ser>
          <c:idx val="3"/>
          <c:order val="3"/>
          <c:tx>
            <c:strRef>
              <c:f>Dat_01!$B$126</c:f>
              <c:strCache>
                <c:ptCount val="1"/>
                <c:pt idx="0">
                  <c:v>Ciclo combinado (1)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Dat_01!$C$126:$O$126</c:f>
              <c:numCache>
                <c:formatCode>#,##0.0</c:formatCode>
                <c:ptCount val="13"/>
                <c:pt idx="0">
                  <c:v>334.267562</c:v>
                </c:pt>
                <c:pt idx="1">
                  <c:v>319.07413400000002</c:v>
                </c:pt>
                <c:pt idx="2">
                  <c:v>274.82982800000002</c:v>
                </c:pt>
                <c:pt idx="3">
                  <c:v>257.021049</c:v>
                </c:pt>
                <c:pt idx="4">
                  <c:v>234.20941099999999</c:v>
                </c:pt>
                <c:pt idx="5">
                  <c:v>265.032152</c:v>
                </c:pt>
                <c:pt idx="6">
                  <c:v>271.90836200000001</c:v>
                </c:pt>
                <c:pt idx="7">
                  <c:v>219.728983</c:v>
                </c:pt>
                <c:pt idx="8">
                  <c:v>263.66985</c:v>
                </c:pt>
                <c:pt idx="9">
                  <c:v>217.826639</c:v>
                </c:pt>
                <c:pt idx="10">
                  <c:v>237.47240300000001</c:v>
                </c:pt>
                <c:pt idx="11">
                  <c:v>278.43838</c:v>
                </c:pt>
                <c:pt idx="12">
                  <c:v>357.22067700000002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18-4B7E-ADE3-CF38220B9908}"/>
            </c:ext>
          </c:extLst>
        </c:ser>
        <c:ser>
          <c:idx val="5"/>
          <c:order val="4"/>
          <c:tx>
            <c:strRef>
              <c:f>Dat_01!$B$128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Dat_01!$C$128:$O$128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18-4B7E-ADE3-CF38220B9908}"/>
            </c:ext>
          </c:extLst>
        </c:ser>
        <c:ser>
          <c:idx val="6"/>
          <c:order val="5"/>
          <c:tx>
            <c:strRef>
              <c:f>Dat_01!$B$129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rgbClr val="ED7D31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Dat_01!$C$129:$O$129</c:f>
              <c:numCache>
                <c:formatCode>#,##0.0</c:formatCode>
                <c:ptCount val="13"/>
                <c:pt idx="0">
                  <c:v>58.301254</c:v>
                </c:pt>
                <c:pt idx="1">
                  <c:v>58.388308000000002</c:v>
                </c:pt>
                <c:pt idx="2">
                  <c:v>48.070135000000001</c:v>
                </c:pt>
                <c:pt idx="3">
                  <c:v>38.159438000000002</c:v>
                </c:pt>
                <c:pt idx="4">
                  <c:v>28.287680999999999</c:v>
                </c:pt>
                <c:pt idx="5">
                  <c:v>21.457460999999999</c:v>
                </c:pt>
                <c:pt idx="6">
                  <c:v>26.531222</c:v>
                </c:pt>
                <c:pt idx="7">
                  <c:v>38.510109999999997</c:v>
                </c:pt>
                <c:pt idx="8">
                  <c:v>42.581280999999997</c:v>
                </c:pt>
                <c:pt idx="9">
                  <c:v>59.468370999999998</c:v>
                </c:pt>
                <c:pt idx="10">
                  <c:v>57.807105</c:v>
                </c:pt>
                <c:pt idx="11">
                  <c:v>70.263322000000002</c:v>
                </c:pt>
                <c:pt idx="12">
                  <c:v>70.657354999999995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18-4B7E-ADE3-CF38220B9908}"/>
            </c:ext>
          </c:extLst>
        </c:ser>
        <c:ser>
          <c:idx val="7"/>
          <c:order val="6"/>
          <c:tx>
            <c:strRef>
              <c:f>Dat_01!$B$130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Dat_01!$C$130:$O$130</c:f>
              <c:numCache>
                <c:formatCode>#,##0.0</c:formatCode>
                <c:ptCount val="13"/>
                <c:pt idx="0">
                  <c:v>0.13533500000000001</c:v>
                </c:pt>
                <c:pt idx="1">
                  <c:v>6.2700000000000006E-2</c:v>
                </c:pt>
                <c:pt idx="2">
                  <c:v>0.16319</c:v>
                </c:pt>
                <c:pt idx="3">
                  <c:v>0.72397699999999998</c:v>
                </c:pt>
                <c:pt idx="4">
                  <c:v>1.328557</c:v>
                </c:pt>
                <c:pt idx="5">
                  <c:v>0.812226</c:v>
                </c:pt>
                <c:pt idx="6">
                  <c:v>0.97993699999999995</c:v>
                </c:pt>
                <c:pt idx="7">
                  <c:v>0.94255900000000004</c:v>
                </c:pt>
                <c:pt idx="8">
                  <c:v>1.3661909999999999</c:v>
                </c:pt>
                <c:pt idx="9">
                  <c:v>1.581583</c:v>
                </c:pt>
                <c:pt idx="10">
                  <c:v>1.776745</c:v>
                </c:pt>
                <c:pt idx="11">
                  <c:v>1.9475359999999999</c:v>
                </c:pt>
                <c:pt idx="12">
                  <c:v>1.868196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18-4B7E-ADE3-CF38220B9908}"/>
            </c:ext>
          </c:extLst>
        </c:ser>
        <c:ser>
          <c:idx val="4"/>
          <c:order val="7"/>
          <c:tx>
            <c:strRef>
              <c:f>Dat_01!$B$131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CFA2CA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Dat_01!$C$131:$O$131</c:f>
              <c:numCache>
                <c:formatCode>#,##0.0</c:formatCode>
                <c:ptCount val="13"/>
                <c:pt idx="0">
                  <c:v>3.573118</c:v>
                </c:pt>
                <c:pt idx="1">
                  <c:v>3.1659009999999999</c:v>
                </c:pt>
                <c:pt idx="2">
                  <c:v>2.336195</c:v>
                </c:pt>
                <c:pt idx="3">
                  <c:v>3.0284080000000002</c:v>
                </c:pt>
                <c:pt idx="4">
                  <c:v>2.5220250000000002</c:v>
                </c:pt>
                <c:pt idx="5">
                  <c:v>3.7919230000000002</c:v>
                </c:pt>
                <c:pt idx="6">
                  <c:v>3.4251860000000001</c:v>
                </c:pt>
                <c:pt idx="7">
                  <c:v>1.3775310000000001</c:v>
                </c:pt>
                <c:pt idx="8">
                  <c:v>0.98716599999999999</c:v>
                </c:pt>
                <c:pt idx="9">
                  <c:v>2.6262699999999999</c:v>
                </c:pt>
                <c:pt idx="10">
                  <c:v>2.7262230000000001</c:v>
                </c:pt>
                <c:pt idx="11">
                  <c:v>3.0921349999999999</c:v>
                </c:pt>
                <c:pt idx="12">
                  <c:v>3.0813540000000001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18-4B7E-ADE3-CF38220B9908}"/>
            </c:ext>
          </c:extLst>
        </c:ser>
        <c:ser>
          <c:idx val="10"/>
          <c:order val="8"/>
          <c:tx>
            <c:strRef>
              <c:f>Dat_01!$B$132</c:f>
              <c:strCache>
                <c:ptCount val="1"/>
                <c:pt idx="0">
                  <c:v>Residuos no renovables</c:v>
                </c:pt>
              </c:strCache>
            </c:strRef>
          </c:tx>
          <c:spPr>
            <a:solidFill>
              <a:srgbClr val="666666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Dat_01!$C$132:$O$132</c:f>
              <c:numCache>
                <c:formatCode>#,##0.0</c:formatCode>
                <c:ptCount val="13"/>
                <c:pt idx="0">
                  <c:v>13.9802175</c:v>
                </c:pt>
                <c:pt idx="1">
                  <c:v>11.851319</c:v>
                </c:pt>
                <c:pt idx="2">
                  <c:v>13.92998</c:v>
                </c:pt>
                <c:pt idx="3">
                  <c:v>8.0829000000000004</c:v>
                </c:pt>
                <c:pt idx="4">
                  <c:v>12.386824499999999</c:v>
                </c:pt>
                <c:pt idx="5">
                  <c:v>9.5741110000000003</c:v>
                </c:pt>
                <c:pt idx="6">
                  <c:v>8.3717509999999997</c:v>
                </c:pt>
                <c:pt idx="7">
                  <c:v>4.8198524999999997</c:v>
                </c:pt>
                <c:pt idx="8">
                  <c:v>9.7177954999999994</c:v>
                </c:pt>
                <c:pt idx="9">
                  <c:v>15.144128</c:v>
                </c:pt>
                <c:pt idx="10">
                  <c:v>11.267936000000001</c:v>
                </c:pt>
                <c:pt idx="11">
                  <c:v>13.462051000000001</c:v>
                </c:pt>
                <c:pt idx="12">
                  <c:v>11.7376795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618-4B7E-ADE3-CF38220B9908}"/>
            </c:ext>
          </c:extLst>
        </c:ser>
        <c:ser>
          <c:idx val="0"/>
          <c:order val="9"/>
          <c:tx>
            <c:strRef>
              <c:f>Dat_01!$B$133</c:f>
              <c:strCache>
                <c:ptCount val="1"/>
                <c:pt idx="0">
                  <c:v>Residuos renovables</c:v>
                </c:pt>
              </c:strCache>
            </c:strRef>
          </c:tx>
          <c:spPr>
            <a:solidFill>
              <a:srgbClr val="A0A0A0"/>
            </a:solidFill>
          </c:spPr>
          <c:invertIfNegative val="0"/>
          <c:val>
            <c:numRef>
              <c:f>Dat_01!$C$133:$O$133</c:f>
              <c:numCache>
                <c:formatCode>#,##0.0</c:formatCode>
                <c:ptCount val="13"/>
                <c:pt idx="0">
                  <c:v>13.9802175</c:v>
                </c:pt>
                <c:pt idx="1">
                  <c:v>11.851319</c:v>
                </c:pt>
                <c:pt idx="2">
                  <c:v>13.92998</c:v>
                </c:pt>
                <c:pt idx="3">
                  <c:v>8.0829000000000004</c:v>
                </c:pt>
                <c:pt idx="4">
                  <c:v>12.386824499999999</c:v>
                </c:pt>
                <c:pt idx="5">
                  <c:v>9.5741110000000003</c:v>
                </c:pt>
                <c:pt idx="6">
                  <c:v>8.3717509999999997</c:v>
                </c:pt>
                <c:pt idx="7">
                  <c:v>4.8198524999999997</c:v>
                </c:pt>
                <c:pt idx="8">
                  <c:v>9.7177954999999994</c:v>
                </c:pt>
                <c:pt idx="9">
                  <c:v>15.144128</c:v>
                </c:pt>
                <c:pt idx="10">
                  <c:v>11.267936000000001</c:v>
                </c:pt>
                <c:pt idx="11">
                  <c:v>13.462051000000001</c:v>
                </c:pt>
                <c:pt idx="12">
                  <c:v>11.7376795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618-4B7E-ADE3-CF38220B9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851548296"/>
        <c:axId val="851548688"/>
      </c:barChart>
      <c:catAx>
        <c:axId val="8515482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851548688"/>
        <c:crosses val="autoZero"/>
        <c:auto val="1"/>
        <c:lblAlgn val="ctr"/>
        <c:lblOffset val="100"/>
        <c:noMultiLvlLbl val="1"/>
      </c:catAx>
      <c:valAx>
        <c:axId val="851548688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s-ES"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0.95048313142183338"/>
              <c:y val="0.9457025528631406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8515482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8215080838472437E-2"/>
          <c:y val="4.249671229708963E-2"/>
          <c:w val="0.89685395016679825"/>
          <c:h val="0.122837432569067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4563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>
      <a:noFill/>
    </a:ln>
  </c:spPr>
  <c:txPr>
    <a:bodyPr/>
    <a:lstStyle/>
    <a:p>
      <a:pPr>
        <a:defRPr sz="1000" b="0" i="0" u="none" strike="noStrike" baseline="0">
          <a:solidFill>
            <a:srgbClr val="80808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797861194278999E-2"/>
          <c:y val="0.22876785506591016"/>
          <c:w val="0.89133346829616533"/>
          <c:h val="0.64607768135989729"/>
        </c:manualLayout>
      </c:layout>
      <c:barChart>
        <c:barDir val="bar"/>
        <c:grouping val="stacked"/>
        <c:varyColors val="0"/>
        <c:ser>
          <c:idx val="2"/>
          <c:order val="0"/>
          <c:tx>
            <c:strRef>
              <c:f>Dat_01!$B$123</c:f>
              <c:strCache>
                <c:ptCount val="1"/>
                <c:pt idx="0">
                  <c:v>Carbón</c:v>
                </c:pt>
              </c:strCache>
            </c:strRef>
          </c:tx>
          <c:spPr>
            <a:solidFill>
              <a:srgbClr val="993300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Dat_01!$C$123:$O$123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23.056228000000001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CE-4BAA-AB4A-BDDE9C9AFA43}"/>
            </c:ext>
          </c:extLst>
        </c:ser>
        <c:ser>
          <c:idx val="8"/>
          <c:order val="1"/>
          <c:tx>
            <c:strRef>
              <c:f>Dat_01!$B$139</c:f>
              <c:strCache>
                <c:ptCount val="1"/>
                <c:pt idx="0">
                  <c:v>Fuel/gas (1)</c:v>
                </c:pt>
              </c:strCache>
            </c:strRef>
          </c:tx>
          <c:spPr>
            <a:solidFill>
              <a:srgbClr val="BA0F16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Dat_01!$C$139:$O$139</c:f>
              <c:numCache>
                <c:formatCode>#,##0.0</c:formatCode>
                <c:ptCount val="13"/>
                <c:pt idx="0">
                  <c:v>120.582323</c:v>
                </c:pt>
                <c:pt idx="1">
                  <c:v>117.70911799999999</c:v>
                </c:pt>
                <c:pt idx="2">
                  <c:v>85.231729000000001</c:v>
                </c:pt>
                <c:pt idx="3">
                  <c:v>66.208546999999996</c:v>
                </c:pt>
                <c:pt idx="4">
                  <c:v>49.453113000000002</c:v>
                </c:pt>
                <c:pt idx="5">
                  <c:v>36.694375000000001</c:v>
                </c:pt>
                <c:pt idx="6">
                  <c:v>42.966481999999999</c:v>
                </c:pt>
                <c:pt idx="7">
                  <c:v>27.779554000000001</c:v>
                </c:pt>
                <c:pt idx="8">
                  <c:v>32.79</c:v>
                </c:pt>
                <c:pt idx="9">
                  <c:v>31.239136999999999</c:v>
                </c:pt>
                <c:pt idx="10">
                  <c:v>58.934716000000002</c:v>
                </c:pt>
                <c:pt idx="11">
                  <c:v>84.649348000000003</c:v>
                </c:pt>
                <c:pt idx="12">
                  <c:v>145.05329799999998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E-4BAA-AB4A-BDDE9C9AFA43}"/>
            </c:ext>
          </c:extLst>
        </c:ser>
        <c:ser>
          <c:idx val="3"/>
          <c:order val="2"/>
          <c:tx>
            <c:strRef>
              <c:f>Dat_01!$B$126</c:f>
              <c:strCache>
                <c:ptCount val="1"/>
                <c:pt idx="0">
                  <c:v>Ciclo combinado (1)</c:v>
                </c:pt>
              </c:strCache>
            </c:strRef>
          </c:tx>
          <c:spPr>
            <a:solidFill>
              <a:srgbClr val="FFCC66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Dat_01!$C$126:$O$126</c:f>
              <c:numCache>
                <c:formatCode>#,##0.0</c:formatCode>
                <c:ptCount val="13"/>
                <c:pt idx="0">
                  <c:v>334.267562</c:v>
                </c:pt>
                <c:pt idx="1">
                  <c:v>319.07413400000002</c:v>
                </c:pt>
                <c:pt idx="2">
                  <c:v>274.82982800000002</c:v>
                </c:pt>
                <c:pt idx="3">
                  <c:v>257.021049</c:v>
                </c:pt>
                <c:pt idx="4">
                  <c:v>234.20941099999999</c:v>
                </c:pt>
                <c:pt idx="5">
                  <c:v>265.032152</c:v>
                </c:pt>
                <c:pt idx="6">
                  <c:v>271.90836200000001</c:v>
                </c:pt>
                <c:pt idx="7">
                  <c:v>219.728983</c:v>
                </c:pt>
                <c:pt idx="8">
                  <c:v>263.66985</c:v>
                </c:pt>
                <c:pt idx="9">
                  <c:v>217.826639</c:v>
                </c:pt>
                <c:pt idx="10">
                  <c:v>237.47240300000001</c:v>
                </c:pt>
                <c:pt idx="11">
                  <c:v>278.43838</c:v>
                </c:pt>
                <c:pt idx="12">
                  <c:v>357.22067700000002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CE-4BAA-AB4A-BDDE9C9AFA43}"/>
            </c:ext>
          </c:extLst>
        </c:ser>
        <c:ser>
          <c:idx val="5"/>
          <c:order val="3"/>
          <c:tx>
            <c:strRef>
              <c:f>Dat_01!$B$128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Dat_01!$C$128:$O$128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CE-4BAA-AB4A-BDDE9C9AFA43}"/>
            </c:ext>
          </c:extLst>
        </c:ser>
        <c:ser>
          <c:idx val="6"/>
          <c:order val="4"/>
          <c:tx>
            <c:strRef>
              <c:f>Dat_01!$B$129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rgbClr val="ED7D31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Dat_01!$C$129:$O$129</c:f>
              <c:numCache>
                <c:formatCode>#,##0.0</c:formatCode>
                <c:ptCount val="13"/>
                <c:pt idx="0">
                  <c:v>58.301254</c:v>
                </c:pt>
                <c:pt idx="1">
                  <c:v>58.388308000000002</c:v>
                </c:pt>
                <c:pt idx="2">
                  <c:v>48.070135000000001</c:v>
                </c:pt>
                <c:pt idx="3">
                  <c:v>38.159438000000002</c:v>
                </c:pt>
                <c:pt idx="4">
                  <c:v>28.287680999999999</c:v>
                </c:pt>
                <c:pt idx="5">
                  <c:v>21.457460999999999</c:v>
                </c:pt>
                <c:pt idx="6">
                  <c:v>26.531222</c:v>
                </c:pt>
                <c:pt idx="7">
                  <c:v>38.510109999999997</c:v>
                </c:pt>
                <c:pt idx="8">
                  <c:v>42.581280999999997</c:v>
                </c:pt>
                <c:pt idx="9">
                  <c:v>59.468370999999998</c:v>
                </c:pt>
                <c:pt idx="10">
                  <c:v>57.807105</c:v>
                </c:pt>
                <c:pt idx="11">
                  <c:v>70.263322000000002</c:v>
                </c:pt>
                <c:pt idx="12">
                  <c:v>70.657354999999995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CE-4BAA-AB4A-BDDE9C9AFA43}"/>
            </c:ext>
          </c:extLst>
        </c:ser>
        <c:ser>
          <c:idx val="7"/>
          <c:order val="5"/>
          <c:tx>
            <c:strRef>
              <c:f>Dat_01!$B$130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Dat_01!$C$130:$O$130</c:f>
              <c:numCache>
                <c:formatCode>#,##0.0</c:formatCode>
                <c:ptCount val="13"/>
                <c:pt idx="0">
                  <c:v>0.13533500000000001</c:v>
                </c:pt>
                <c:pt idx="1">
                  <c:v>6.2700000000000006E-2</c:v>
                </c:pt>
                <c:pt idx="2">
                  <c:v>0.16319</c:v>
                </c:pt>
                <c:pt idx="3">
                  <c:v>0.72397699999999998</c:v>
                </c:pt>
                <c:pt idx="4">
                  <c:v>1.328557</c:v>
                </c:pt>
                <c:pt idx="5">
                  <c:v>0.812226</c:v>
                </c:pt>
                <c:pt idx="6">
                  <c:v>0.97993699999999995</c:v>
                </c:pt>
                <c:pt idx="7">
                  <c:v>0.94255900000000004</c:v>
                </c:pt>
                <c:pt idx="8">
                  <c:v>1.3661909999999999</c:v>
                </c:pt>
                <c:pt idx="9">
                  <c:v>1.581583</c:v>
                </c:pt>
                <c:pt idx="10">
                  <c:v>1.776745</c:v>
                </c:pt>
                <c:pt idx="11">
                  <c:v>1.9475359999999999</c:v>
                </c:pt>
                <c:pt idx="12">
                  <c:v>1.868196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CE-4BAA-AB4A-BDDE9C9AFA43}"/>
            </c:ext>
          </c:extLst>
        </c:ser>
        <c:ser>
          <c:idx val="4"/>
          <c:order val="6"/>
          <c:tx>
            <c:strRef>
              <c:f>Dat_01!$B$131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FFCCFF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Dat_01!$C$131:$O$131</c:f>
              <c:numCache>
                <c:formatCode>#,##0.0</c:formatCode>
                <c:ptCount val="13"/>
                <c:pt idx="0">
                  <c:v>3.573118</c:v>
                </c:pt>
                <c:pt idx="1">
                  <c:v>3.1659009999999999</c:v>
                </c:pt>
                <c:pt idx="2">
                  <c:v>2.336195</c:v>
                </c:pt>
                <c:pt idx="3">
                  <c:v>3.0284080000000002</c:v>
                </c:pt>
                <c:pt idx="4">
                  <c:v>2.5220250000000002</c:v>
                </c:pt>
                <c:pt idx="5">
                  <c:v>3.7919230000000002</c:v>
                </c:pt>
                <c:pt idx="6">
                  <c:v>3.4251860000000001</c:v>
                </c:pt>
                <c:pt idx="7">
                  <c:v>1.3775310000000001</c:v>
                </c:pt>
                <c:pt idx="8">
                  <c:v>0.98716599999999999</c:v>
                </c:pt>
                <c:pt idx="9">
                  <c:v>2.6262699999999999</c:v>
                </c:pt>
                <c:pt idx="10">
                  <c:v>2.7262230000000001</c:v>
                </c:pt>
                <c:pt idx="11">
                  <c:v>3.0921349999999999</c:v>
                </c:pt>
                <c:pt idx="12">
                  <c:v>3.0813540000000001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CE-4BAA-AB4A-BDDE9C9AFA43}"/>
            </c:ext>
          </c:extLst>
        </c:ser>
        <c:ser>
          <c:idx val="10"/>
          <c:order val="7"/>
          <c:tx>
            <c:strRef>
              <c:f>Dat_01!$B$132</c:f>
              <c:strCache>
                <c:ptCount val="1"/>
                <c:pt idx="0">
                  <c:v>Residuos no renovables</c:v>
                </c:pt>
              </c:strCache>
            </c:strRef>
          </c:tx>
          <c:spPr>
            <a:solidFill>
              <a:srgbClr val="666666"/>
            </a:solidFill>
          </c:spPr>
          <c:invertIfNegative val="0"/>
          <c:cat>
            <c:strRef>
              <c:f>Dat_01!$C$122:$O$122</c:f>
              <c:strCache>
                <c:ptCount val="13"/>
                <c:pt idx="0">
                  <c:v>jul.-25</c:v>
                </c:pt>
                <c:pt idx="1">
                  <c:v>ago.-25</c:v>
                </c:pt>
                <c:pt idx="2">
                  <c:v>sep.-25</c:v>
                </c:pt>
                <c:pt idx="3">
                  <c:v>oct.-25</c:v>
                </c:pt>
                <c:pt idx="4">
                  <c:v>nov.-25</c:v>
                </c:pt>
                <c:pt idx="5">
                  <c:v>dic.-25</c:v>
                </c:pt>
                <c:pt idx="6">
                  <c:v>ene.-26</c:v>
                </c:pt>
                <c:pt idx="7">
                  <c:v>feb.-26</c:v>
                </c:pt>
                <c:pt idx="8">
                  <c:v>mar.-26</c:v>
                </c:pt>
                <c:pt idx="9">
                  <c:v>abr.-26</c:v>
                </c:pt>
                <c:pt idx="10">
                  <c:v>may.-26</c:v>
                </c:pt>
                <c:pt idx="11">
                  <c:v>jun.-26</c:v>
                </c:pt>
                <c:pt idx="12">
                  <c:v>jul.-26</c:v>
                </c:pt>
              </c:strCache>
            </c:strRef>
          </c:cat>
          <c:val>
            <c:numRef>
              <c:f>Dat_01!$C$132:$O$132</c:f>
              <c:numCache>
                <c:formatCode>#,##0.0</c:formatCode>
                <c:ptCount val="13"/>
                <c:pt idx="0">
                  <c:v>13.9802175</c:v>
                </c:pt>
                <c:pt idx="1">
                  <c:v>11.851319</c:v>
                </c:pt>
                <c:pt idx="2">
                  <c:v>13.92998</c:v>
                </c:pt>
                <c:pt idx="3">
                  <c:v>8.0829000000000004</c:v>
                </c:pt>
                <c:pt idx="4">
                  <c:v>12.386824499999999</c:v>
                </c:pt>
                <c:pt idx="5">
                  <c:v>9.5741110000000003</c:v>
                </c:pt>
                <c:pt idx="6">
                  <c:v>8.3717509999999997</c:v>
                </c:pt>
                <c:pt idx="7">
                  <c:v>4.8198524999999997</c:v>
                </c:pt>
                <c:pt idx="8">
                  <c:v>9.7177954999999994</c:v>
                </c:pt>
                <c:pt idx="9">
                  <c:v>15.144128</c:v>
                </c:pt>
                <c:pt idx="10">
                  <c:v>11.267936000000001</c:v>
                </c:pt>
                <c:pt idx="11">
                  <c:v>13.462051000000001</c:v>
                </c:pt>
                <c:pt idx="12">
                  <c:v>11.7376795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CE-4BAA-AB4A-BDDE9C9AFA43}"/>
            </c:ext>
          </c:extLst>
        </c:ser>
        <c:ser>
          <c:idx val="0"/>
          <c:order val="8"/>
          <c:tx>
            <c:strRef>
              <c:f>Dat_01!$B$133</c:f>
              <c:strCache>
                <c:ptCount val="1"/>
                <c:pt idx="0">
                  <c:v>Residuos renovables</c:v>
                </c:pt>
              </c:strCache>
            </c:strRef>
          </c:tx>
          <c:spPr>
            <a:solidFill>
              <a:srgbClr val="A0A0A0"/>
            </a:solidFill>
          </c:spPr>
          <c:invertIfNegative val="0"/>
          <c:val>
            <c:numRef>
              <c:f>Dat_01!$C$133:$O$133</c:f>
              <c:numCache>
                <c:formatCode>#,##0.0</c:formatCode>
                <c:ptCount val="13"/>
                <c:pt idx="0">
                  <c:v>13.9802175</c:v>
                </c:pt>
                <c:pt idx="1">
                  <c:v>11.851319</c:v>
                </c:pt>
                <c:pt idx="2">
                  <c:v>13.92998</c:v>
                </c:pt>
                <c:pt idx="3">
                  <c:v>8.0829000000000004</c:v>
                </c:pt>
                <c:pt idx="4">
                  <c:v>12.386824499999999</c:v>
                </c:pt>
                <c:pt idx="5">
                  <c:v>9.5741110000000003</c:v>
                </c:pt>
                <c:pt idx="6">
                  <c:v>8.3717509999999997</c:v>
                </c:pt>
                <c:pt idx="7">
                  <c:v>4.8198524999999997</c:v>
                </c:pt>
                <c:pt idx="8">
                  <c:v>9.7177954999999994</c:v>
                </c:pt>
                <c:pt idx="9">
                  <c:v>15.144128</c:v>
                </c:pt>
                <c:pt idx="10">
                  <c:v>11.267936000000001</c:v>
                </c:pt>
                <c:pt idx="11">
                  <c:v>13.462051000000001</c:v>
                </c:pt>
                <c:pt idx="12">
                  <c:v>11.7376795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9CE-4BAA-AB4A-BDDE9C9AF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851548296"/>
        <c:axId val="851548688"/>
      </c:barChart>
      <c:catAx>
        <c:axId val="8515482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851548688"/>
        <c:crosses val="autoZero"/>
        <c:auto val="1"/>
        <c:lblAlgn val="ctr"/>
        <c:lblOffset val="100"/>
        <c:noMultiLvlLbl val="1"/>
      </c:catAx>
      <c:valAx>
        <c:axId val="851548688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s-ES"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0.95048313142183338"/>
              <c:y val="0.9457025528631406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8515482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8.724849853849459E-2"/>
          <c:y val="4.249671229708963E-2"/>
          <c:w val="0.88084358873273449"/>
          <c:h val="0.148308424101838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4563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>
      <a:noFill/>
    </a:ln>
  </c:spPr>
  <c:txPr>
    <a:bodyPr/>
    <a:lstStyle/>
    <a:p>
      <a:pPr>
        <a:defRPr sz="1000" b="0" i="0" u="none" strike="noStrike" baseline="0">
          <a:solidFill>
            <a:srgbClr val="80808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338108955892703"/>
          <c:y val="0.10657897174617879"/>
          <c:w val="0.4868981499263812"/>
          <c:h val="0.7828558489012403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8DA69F"/>
              </a:solidFill>
            </c:spPr>
            <c:extLst>
              <c:ext xmlns:c16="http://schemas.microsoft.com/office/drawing/2014/chart" uri="{C3380CC4-5D6E-409C-BE32-E72D297353CC}">
                <c16:uniqueId val="{00000001-2B7E-47AC-BF15-7A49F50B4E88}"/>
              </c:ext>
            </c:extLst>
          </c:dPt>
          <c:dPt>
            <c:idx val="1"/>
            <c:bubble3D val="0"/>
            <c:spPr>
              <a:solidFill>
                <a:srgbClr val="BA0F16"/>
              </a:solidFill>
            </c:spPr>
            <c:extLst>
              <c:ext xmlns:c16="http://schemas.microsoft.com/office/drawing/2014/chart" uri="{C3380CC4-5D6E-409C-BE32-E72D297353CC}">
                <c16:uniqueId val="{00000003-2B7E-47AC-BF15-7A49F50B4E88}"/>
              </c:ext>
            </c:extLst>
          </c:dPt>
          <c:dPt>
            <c:idx val="2"/>
            <c:bubble3D val="0"/>
            <c:spPr>
              <a:solidFill>
                <a:srgbClr val="AF8E00"/>
              </a:solidFill>
            </c:spPr>
            <c:extLst>
              <c:ext xmlns:c16="http://schemas.microsoft.com/office/drawing/2014/chart" uri="{C3380CC4-5D6E-409C-BE32-E72D297353CC}">
                <c16:uniqueId val="{00000005-2B7E-47AC-BF15-7A49F50B4E88}"/>
              </c:ext>
            </c:extLst>
          </c:dPt>
          <c:dPt>
            <c:idx val="3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7-2B7E-47AC-BF15-7A49F50B4E88}"/>
              </c:ext>
            </c:extLst>
          </c:dPt>
          <c:dPt>
            <c:idx val="4"/>
            <c:bubble3D val="0"/>
            <c:spPr>
              <a:solidFill>
                <a:srgbClr val="CFA2CA"/>
              </a:solidFill>
            </c:spPr>
            <c:extLst>
              <c:ext xmlns:c16="http://schemas.microsoft.com/office/drawing/2014/chart" uri="{C3380CC4-5D6E-409C-BE32-E72D297353CC}">
                <c16:uniqueId val="{00000009-2B7E-47AC-BF15-7A49F50B4E88}"/>
              </c:ext>
            </c:extLst>
          </c:dPt>
          <c:dPt>
            <c:idx val="5"/>
            <c:bubble3D val="0"/>
            <c:spPr>
              <a:solidFill>
                <a:srgbClr val="666666"/>
              </a:solidFill>
            </c:spPr>
            <c:extLst>
              <c:ext xmlns:c16="http://schemas.microsoft.com/office/drawing/2014/chart" uri="{C3380CC4-5D6E-409C-BE32-E72D297353CC}">
                <c16:uniqueId val="{0000000B-2B7E-47AC-BF15-7A49F50B4E88}"/>
              </c:ext>
            </c:extLst>
          </c:dPt>
          <c:dPt>
            <c:idx val="6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D-2B7E-47AC-BF15-7A49F50B4E88}"/>
              </c:ext>
            </c:extLst>
          </c:dPt>
          <c:dPt>
            <c:idx val="7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F-2B7E-47AC-BF15-7A49F50B4E88}"/>
              </c:ext>
            </c:extLst>
          </c:dPt>
          <c:dPt>
            <c:idx val="8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1-2B7E-47AC-BF15-7A49F50B4E88}"/>
              </c:ext>
            </c:extLst>
          </c:dPt>
          <c:dPt>
            <c:idx val="9"/>
            <c:bubble3D val="0"/>
            <c:spPr>
              <a:solidFill>
                <a:srgbClr val="9A5CBC"/>
              </a:solidFill>
            </c:spPr>
            <c:extLst>
              <c:ext xmlns:c16="http://schemas.microsoft.com/office/drawing/2014/chart" uri="{C3380CC4-5D6E-409C-BE32-E72D297353CC}">
                <c16:uniqueId val="{00000013-2B7E-47AC-BF15-7A49F50B4E88}"/>
              </c:ext>
            </c:extLst>
          </c:dPt>
          <c:dLbls>
            <c:dLbl>
              <c:idx val="0"/>
              <c:layout>
                <c:manualLayout>
                  <c:x val="0.15609756097560964"/>
                  <c:y val="-0.1027450980392156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7E-47AC-BF15-7A49F50B4E88}"/>
                </c:ext>
              </c:extLst>
            </c:dLbl>
            <c:dLbl>
              <c:idx val="1"/>
              <c:layout>
                <c:manualLayout>
                  <c:x val="0.17235772357723578"/>
                  <c:y val="2.94117647058823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7E-47AC-BF15-7A49F50B4E88}"/>
                </c:ext>
              </c:extLst>
            </c:dLbl>
            <c:dLbl>
              <c:idx val="2"/>
              <c:layout>
                <c:manualLayout>
                  <c:x val="0.16422764227642275"/>
                  <c:y val="0.1476661417322833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821138211382115"/>
                      <c:h val="0.1647015748031496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B7E-47AC-BF15-7A49F50B4E88}"/>
                </c:ext>
              </c:extLst>
            </c:dLbl>
            <c:dLbl>
              <c:idx val="3"/>
              <c:layout>
                <c:manualLayout>
                  <c:x val="-0.16585365853658537"/>
                  <c:y val="0.139607677165354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785365853658536"/>
                      <c:h val="0.1254168596572487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B7E-47AC-BF15-7A49F50B4E88}"/>
                </c:ext>
              </c:extLst>
            </c:dLbl>
            <c:dLbl>
              <c:idx val="4"/>
              <c:layout>
                <c:manualLayout>
                  <c:x val="-0.17235772357723578"/>
                  <c:y val="8.333333333333332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7E-47AC-BF15-7A49F50B4E8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7E-47AC-BF15-7A49F50B4E88}"/>
                </c:ext>
              </c:extLst>
            </c:dLbl>
            <c:dLbl>
              <c:idx val="6"/>
              <c:layout>
                <c:manualLayout>
                  <c:x val="-0.1886178861788618"/>
                  <c:y val="-1.480393700787401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7E-47AC-BF15-7A49F50B4E88}"/>
                </c:ext>
              </c:extLst>
            </c:dLbl>
            <c:dLbl>
              <c:idx val="7"/>
              <c:layout>
                <c:manualLayout>
                  <c:x val="-0.16260162601626016"/>
                  <c:y val="-8.784330708661422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7E-47AC-BF15-7A49F50B4E88}"/>
                </c:ext>
              </c:extLst>
            </c:dLbl>
            <c:dLbl>
              <c:idx val="8"/>
              <c:layout>
                <c:manualLayout>
                  <c:x val="-0.14796760770757317"/>
                  <c:y val="-0.1345098425196850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49606299212591"/>
                      <c:h val="0.1658090551181102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2B7E-47AC-BF15-7A49F50B4E88}"/>
                </c:ext>
              </c:extLst>
            </c:dLbl>
            <c:dLbl>
              <c:idx val="9"/>
              <c:layout>
                <c:manualLayout>
                  <c:x val="7.4796747967479621E-2"/>
                  <c:y val="-0.1463248803458391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134959349593495"/>
                      <c:h val="0.1529251968503937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2B7E-47AC-BF15-7A49F50B4E8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Dat_01!$F$52:$F$61</c:f>
              <c:strCache>
                <c:ptCount val="10"/>
                <c:pt idx="0">
                  <c:v>Motores diésel</c:v>
                </c:pt>
                <c:pt idx="1">
                  <c:v>Turbina de gas</c:v>
                </c:pt>
                <c:pt idx="2">
                  <c:v>Turbina de vapor</c:v>
                </c:pt>
                <c:pt idx="3">
                  <c:v>Ciclo combinado</c:v>
                </c:pt>
                <c:pt idx="4">
                  <c:v>Cogeneración</c:v>
                </c:pt>
                <c:pt idx="5">
                  <c:v>Hidráulica</c:v>
                </c:pt>
                <c:pt idx="6">
                  <c:v>Hidroeólica</c:v>
                </c:pt>
                <c:pt idx="7">
                  <c:v>Eólica</c:v>
                </c:pt>
                <c:pt idx="8">
                  <c:v>Solar fotovoltaica</c:v>
                </c:pt>
                <c:pt idx="9">
                  <c:v>Otras renovables</c:v>
                </c:pt>
              </c:strCache>
            </c:strRef>
          </c:cat>
          <c:val>
            <c:numRef>
              <c:f>Dat_01!$H$52:$H$61</c:f>
              <c:numCache>
                <c:formatCode>#,##0.0</c:formatCode>
                <c:ptCount val="10"/>
                <c:pt idx="0">
                  <c:v>14.180729680403173</c:v>
                </c:pt>
                <c:pt idx="1">
                  <c:v>15.143579240976853</c:v>
                </c:pt>
                <c:pt idx="2">
                  <c:v>14.035328055429799</c:v>
                </c:pt>
                <c:pt idx="3">
                  <c:v>25.166113250391493</c:v>
                </c:pt>
                <c:pt idx="4">
                  <c:v>1.1108684147965737</c:v>
                </c:pt>
                <c:pt idx="5">
                  <c:v>2.2188287970936801E-2</c:v>
                </c:pt>
                <c:pt idx="6">
                  <c:v>0.32918927893971767</c:v>
                </c:pt>
                <c:pt idx="7">
                  <c:v>19.700029962767456</c:v>
                </c:pt>
                <c:pt idx="8">
                  <c:v>10.055892486420905</c:v>
                </c:pt>
                <c:pt idx="9">
                  <c:v>0.25608134190310539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B7E-47AC-BF15-7A49F50B4E8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338108955892703"/>
          <c:y val="0.10657897174617879"/>
          <c:w val="0.4868981499263812"/>
          <c:h val="0.7828558489012403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8DA69F"/>
              </a:solidFill>
            </c:spPr>
            <c:extLst>
              <c:ext xmlns:c16="http://schemas.microsoft.com/office/drawing/2014/chart" uri="{C3380CC4-5D6E-409C-BE32-E72D297353CC}">
                <c16:uniqueId val="{00000001-B8D8-4D1B-8FB2-029AD8CC36A9}"/>
              </c:ext>
            </c:extLst>
          </c:dPt>
          <c:dPt>
            <c:idx val="1"/>
            <c:bubble3D val="0"/>
            <c:spPr>
              <a:solidFill>
                <a:srgbClr val="BA0F16"/>
              </a:solidFill>
            </c:spPr>
            <c:extLst>
              <c:ext xmlns:c16="http://schemas.microsoft.com/office/drawing/2014/chart" uri="{C3380CC4-5D6E-409C-BE32-E72D297353CC}">
                <c16:uniqueId val="{00000003-B8D8-4D1B-8FB2-029AD8CC36A9}"/>
              </c:ext>
            </c:extLst>
          </c:dPt>
          <c:dPt>
            <c:idx val="2"/>
            <c:bubble3D val="0"/>
            <c:spPr>
              <a:solidFill>
                <a:srgbClr val="AF8E00"/>
              </a:solidFill>
            </c:spPr>
            <c:extLst>
              <c:ext xmlns:c16="http://schemas.microsoft.com/office/drawing/2014/chart" uri="{C3380CC4-5D6E-409C-BE32-E72D297353CC}">
                <c16:uniqueId val="{00000005-B8D8-4D1B-8FB2-029AD8CC36A9}"/>
              </c:ext>
            </c:extLst>
          </c:dPt>
          <c:dPt>
            <c:idx val="3"/>
            <c:bubble3D val="0"/>
            <c:spPr>
              <a:solidFill>
                <a:srgbClr val="FFCC66"/>
              </a:solidFill>
            </c:spPr>
            <c:extLst>
              <c:ext xmlns:c16="http://schemas.microsoft.com/office/drawing/2014/chart" uri="{C3380CC4-5D6E-409C-BE32-E72D297353CC}">
                <c16:uniqueId val="{00000007-B8D8-4D1B-8FB2-029AD8CC36A9}"/>
              </c:ext>
            </c:extLst>
          </c:dPt>
          <c:dPt>
            <c:idx val="6"/>
            <c:bubble3D val="0"/>
            <c:spPr>
              <a:solidFill>
                <a:srgbClr val="00FFFF"/>
              </a:solidFill>
            </c:spPr>
            <c:extLst>
              <c:ext xmlns:c16="http://schemas.microsoft.com/office/drawing/2014/chart" uri="{C3380CC4-5D6E-409C-BE32-E72D297353CC}">
                <c16:uniqueId val="{00000009-B8D8-4D1B-8FB2-029AD8CC36A9}"/>
              </c:ext>
            </c:extLst>
          </c:dPt>
          <c:dPt>
            <c:idx val="7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B-B8D8-4D1B-8FB2-029AD8CC36A9}"/>
              </c:ext>
            </c:extLst>
          </c:dPt>
          <c:dPt>
            <c:idx val="8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D-B8D8-4D1B-8FB2-029AD8CC36A9}"/>
              </c:ext>
            </c:extLst>
          </c:dPt>
          <c:dPt>
            <c:idx val="9"/>
            <c:bubble3D val="0"/>
            <c:spPr>
              <a:solidFill>
                <a:srgbClr val="9A5CBC"/>
              </a:solidFill>
            </c:spPr>
            <c:extLst>
              <c:ext xmlns:c16="http://schemas.microsoft.com/office/drawing/2014/chart" uri="{C3380CC4-5D6E-409C-BE32-E72D297353CC}">
                <c16:uniqueId val="{0000000F-B8D8-4D1B-8FB2-029AD8CC36A9}"/>
              </c:ext>
            </c:extLst>
          </c:dPt>
          <c:dLbls>
            <c:dLbl>
              <c:idx val="0"/>
              <c:layout>
                <c:manualLayout>
                  <c:x val="0.17886178861788618"/>
                  <c:y val="-7.99162420873861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D8-4D1B-8FB2-029AD8CC36A9}"/>
                </c:ext>
              </c:extLst>
            </c:dLbl>
            <c:dLbl>
              <c:idx val="1"/>
              <c:layout>
                <c:manualLayout>
                  <c:x val="0.17561308494974701"/>
                  <c:y val="-4.175814420256291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D8-4D1B-8FB2-029AD8CC36A9}"/>
                </c:ext>
              </c:extLst>
            </c:dLbl>
            <c:dLbl>
              <c:idx val="2"/>
              <c:layout>
                <c:manualLayout>
                  <c:x val="0.18049074963190576"/>
                  <c:y val="4.5196078431372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097560975609752"/>
                      <c:h val="0.1107109773043075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8D8-4D1B-8FB2-029AD8CC36A9}"/>
                </c:ext>
              </c:extLst>
            </c:dLbl>
            <c:dLbl>
              <c:idx val="3"/>
              <c:layout>
                <c:manualLayout>
                  <c:x val="-0.19613545867742144"/>
                  <c:y val="9.644935927126756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386991869918702"/>
                      <c:h val="0.1254168596572487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8D8-4D1B-8FB2-029AD8CC36A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D8-4D1B-8FB2-029AD8CC36A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D8-4D1B-8FB2-029AD8CC36A9}"/>
                </c:ext>
              </c:extLst>
            </c:dLbl>
            <c:dLbl>
              <c:idx val="6"/>
              <c:layout>
                <c:manualLayout>
                  <c:x val="-0.15284552845528454"/>
                  <c:y val="2.916010498687655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D8-4D1B-8FB2-029AD8CC36A9}"/>
                </c:ext>
              </c:extLst>
            </c:dLbl>
            <c:dLbl>
              <c:idx val="7"/>
              <c:layout>
                <c:manualLayout>
                  <c:x val="-0.12357723577235773"/>
                  <c:y val="-0.132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D8-4D1B-8FB2-029AD8CC36A9}"/>
                </c:ext>
              </c:extLst>
            </c:dLbl>
            <c:dLbl>
              <c:idx val="8"/>
              <c:layout>
                <c:manualLayout>
                  <c:x val="-4.3902567057166636E-2"/>
                  <c:y val="-0.1531061834182491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195134754497145"/>
                      <c:h val="0.1414952910297977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B8D8-4D1B-8FB2-029AD8CC36A9}"/>
                </c:ext>
              </c:extLst>
            </c:dLbl>
            <c:dLbl>
              <c:idx val="9"/>
              <c:layout>
                <c:manualLayout>
                  <c:x val="0.15284565648806089"/>
                  <c:y val="-0.1421566697545159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35772357723573"/>
                      <c:h val="0.1529251968503937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B8D8-4D1B-8FB2-029AD8CC36A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Dat_01!$F$68:$F$77</c:f>
              <c:strCache>
                <c:ptCount val="10"/>
                <c:pt idx="0">
                  <c:v>Motores diésel</c:v>
                </c:pt>
                <c:pt idx="1">
                  <c:v>Turbina de gas</c:v>
                </c:pt>
                <c:pt idx="2">
                  <c:v>Turbina de vapor</c:v>
                </c:pt>
                <c:pt idx="3">
                  <c:v>Ciclo combinado</c:v>
                </c:pt>
                <c:pt idx="4">
                  <c:v>Cogeneración</c:v>
                </c:pt>
                <c:pt idx="5">
                  <c:v>Hidráulica</c:v>
                </c:pt>
                <c:pt idx="6">
                  <c:v>Hidroeólica</c:v>
                </c:pt>
                <c:pt idx="7">
                  <c:v>Eólica</c:v>
                </c:pt>
                <c:pt idx="8">
                  <c:v>Solar fotovoltaica</c:v>
                </c:pt>
                <c:pt idx="9">
                  <c:v>Otras renovables</c:v>
                </c:pt>
              </c:strCache>
            </c:strRef>
          </c:cat>
          <c:val>
            <c:numRef>
              <c:f>Dat_01!$G$68:$G$77</c:f>
              <c:numCache>
                <c:formatCode>#,##0.0</c:formatCode>
                <c:ptCount val="10"/>
                <c:pt idx="0">
                  <c:v>19.027073032962356</c:v>
                </c:pt>
                <c:pt idx="1">
                  <c:v>3.0156186121123292</c:v>
                </c:pt>
                <c:pt idx="2">
                  <c:v>14.390116554851334</c:v>
                </c:pt>
                <c:pt idx="3">
                  <c:v>38.055427769828924</c:v>
                </c:pt>
                <c:pt idx="4">
                  <c:v>0</c:v>
                </c:pt>
                <c:pt idx="5">
                  <c:v>2.7247438497669575E-2</c:v>
                </c:pt>
                <c:pt idx="6">
                  <c:v>0.31268365285820604</c:v>
                </c:pt>
                <c:pt idx="7">
                  <c:v>18.586068135471127</c:v>
                </c:pt>
                <c:pt idx="8">
                  <c:v>6.4644001778129345</c:v>
                </c:pt>
                <c:pt idx="9">
                  <c:v>0.12136462560511332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8D8-4D1B-8FB2-029AD8CC36A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</c:spPr>
    </c:plotArea>
    <c:plotVisOnly val="1"/>
    <c:dispBlanksAs val="zero"/>
    <c:showDLblsOverMax val="0"/>
  </c:chart>
  <c:spPr>
    <a:solidFill>
      <a:srgbClr val="F5F5F5"/>
    </a:solidFill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4895178776271617E-2"/>
          <c:y val="1.9491768074445252E-2"/>
          <c:w val="0.83037196338937813"/>
          <c:h val="0.8964232879980912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9D9D9"/>
              </a:solidFill>
            </c:spPr>
            <c:extLst>
              <c:ext xmlns:c16="http://schemas.microsoft.com/office/drawing/2014/chart" uri="{C3380CC4-5D6E-409C-BE32-E72D297353CC}">
                <c16:uniqueId val="{00000001-205D-430C-91F1-C8681903F108}"/>
              </c:ext>
            </c:extLst>
          </c:dPt>
          <c:dPt>
            <c:idx val="1"/>
            <c:bubble3D val="0"/>
            <c:spPr>
              <a:solidFill>
                <a:srgbClr val="CCFF99"/>
              </a:solidFill>
            </c:spPr>
            <c:extLst>
              <c:ext xmlns:c16="http://schemas.microsoft.com/office/drawing/2014/chart" uri="{C3380CC4-5D6E-409C-BE32-E72D297353CC}">
                <c16:uniqueId val="{00000003-205D-430C-91F1-C8681903F108}"/>
              </c:ext>
            </c:extLst>
          </c:dPt>
          <c:dLbls>
            <c:dLbl>
              <c:idx val="0"/>
              <c:layout>
                <c:manualLayout>
                  <c:x val="-0.17543875805936185"/>
                  <c:y val="-7.843137254901960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4327526202998757"/>
                      <c:h val="0.399804436210179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205D-430C-91F1-C8681903F108}"/>
                </c:ext>
              </c:extLst>
            </c:dLbl>
            <c:dLbl>
              <c:idx val="1"/>
              <c:layout>
                <c:manualLayout>
                  <c:x val="0.14035100644748946"/>
                  <c:y val="0.15686274509803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8479567601020032"/>
                      <c:h val="0.399804436210179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205D-430C-91F1-C8681903F10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anchorCtr="0"/>
              <a:lstStyle/>
              <a:p>
                <a:pPr algn="ctr">
                  <a:defRPr lang="en-US" sz="800" b="0" i="0" u="none" strike="noStrike" kern="1200" baseline="0">
                    <a:solidFill>
                      <a:srgbClr val="004563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Dat_01!$J$52:$J$53</c:f>
              <c:strCache>
                <c:ptCount val="2"/>
                <c:pt idx="0">
                  <c:v>No renovables</c:v>
                </c:pt>
                <c:pt idx="1">
                  <c:v>Renovables</c:v>
                </c:pt>
              </c:strCache>
            </c:strRef>
          </c:cat>
          <c:val>
            <c:numRef>
              <c:f>Dat_01!$L$52:$L$53</c:f>
              <c:numCache>
                <c:formatCode>#,##0.0</c:formatCode>
                <c:ptCount val="2"/>
                <c:pt idx="0">
                  <c:v>69.636618641997885</c:v>
                </c:pt>
                <c:pt idx="1">
                  <c:v>30.363381358002119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5D-430C-91F1-C8681903F10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3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7619</xdr:colOff>
      <xdr:row>3</xdr:row>
      <xdr:rowOff>26670</xdr:rowOff>
    </xdr:from>
    <xdr:to>
      <xdr:col>4</xdr:col>
      <xdr:colOff>6380369</xdr:colOff>
      <xdr:row>3</xdr:row>
      <xdr:rowOff>26670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H="1">
          <a:off x="198119" y="493395"/>
          <a:ext cx="778245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16510</xdr:colOff>
      <xdr:row>5</xdr:row>
      <xdr:rowOff>38097</xdr:rowOff>
    </xdr:from>
    <xdr:to>
      <xdr:col>2</xdr:col>
      <xdr:colOff>1060510</xdr:colOff>
      <xdr:row>16</xdr:row>
      <xdr:rowOff>95249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grayscl/>
          <a:lum bright="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10" y="866772"/>
          <a:ext cx="1044000" cy="1571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</xdr:row>
      <xdr:rowOff>114300</xdr:rowOff>
    </xdr:from>
    <xdr:to>
      <xdr:col>4</xdr:col>
      <xdr:colOff>409574</xdr:colOff>
      <xdr:row>2</xdr:row>
      <xdr:rowOff>65399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A2057E3-2298-458F-BD8F-FE7D60DC3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200023" y="495300"/>
    <xdr:ext cx="8701950" cy="0"/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80E9DEC4-F220-4640-A6BC-D099B2EDA940}"/>
            </a:ext>
          </a:extLst>
        </xdr:cNvPr>
        <xdr:cNvSpPr>
          <a:spLocks noChangeShapeType="1"/>
        </xdr:cNvSpPr>
      </xdr:nvSpPr>
      <xdr:spPr bwMode="auto">
        <a:xfrm flipH="1">
          <a:off x="200023" y="495300"/>
          <a:ext cx="870195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absoluteAnchor>
  <xdr:twoCellAnchor>
    <xdr:from>
      <xdr:col>4</xdr:col>
      <xdr:colOff>9525</xdr:colOff>
      <xdr:row>6</xdr:row>
      <xdr:rowOff>9526</xdr:rowOff>
    </xdr:from>
    <xdr:to>
      <xdr:col>5</xdr:col>
      <xdr:colOff>0</xdr:colOff>
      <xdr:row>23</xdr:row>
      <xdr:rowOff>161926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DE0B2FAF-F0B8-4164-9C9B-2977B9AAC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28575</xdr:colOff>
      <xdr:row>1</xdr:row>
      <xdr:rowOff>123825</xdr:rowOff>
    </xdr:from>
    <xdr:to>
      <xdr:col>4</xdr:col>
      <xdr:colOff>123824</xdr:colOff>
      <xdr:row>2</xdr:row>
      <xdr:rowOff>74924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5A45532-8650-47C5-84F8-592744FAE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16508</xdr:colOff>
      <xdr:row>3</xdr:row>
      <xdr:rowOff>21590</xdr:rowOff>
    </xdr:from>
    <xdr:to>
      <xdr:col>5</xdr:col>
      <xdr:colOff>1573</xdr:colOff>
      <xdr:row>3</xdr:row>
      <xdr:rowOff>21590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63AD3A0-A11D-4BD3-854C-E208A3725606}"/>
            </a:ext>
          </a:extLst>
        </xdr:cNvPr>
        <xdr:cNvSpPr>
          <a:spLocks noChangeShapeType="1"/>
        </xdr:cNvSpPr>
      </xdr:nvSpPr>
      <xdr:spPr bwMode="auto">
        <a:xfrm flipH="1">
          <a:off x="218438" y="490220"/>
          <a:ext cx="571911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114300</xdr:rowOff>
    </xdr:from>
    <xdr:to>
      <xdr:col>4</xdr:col>
      <xdr:colOff>114299</xdr:colOff>
      <xdr:row>2</xdr:row>
      <xdr:rowOff>66669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BA18C0-DA1E-4D83-929D-041785CF2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" y="121920"/>
          <a:ext cx="1809749" cy="22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15240</xdr:colOff>
      <xdr:row>6</xdr:row>
      <xdr:rowOff>15240</xdr:rowOff>
    </xdr:from>
    <xdr:to>
      <xdr:col>4</xdr:col>
      <xdr:colOff>3904615</xdr:colOff>
      <xdr:row>21</xdr:row>
      <xdr:rowOff>91440</xdr:rowOff>
    </xdr:to>
    <xdr:graphicFrame macro="">
      <xdr:nvGraphicFramePr>
        <xdr:cNvPr id="4" name="Graf3_and">
          <a:extLst>
            <a:ext uri="{FF2B5EF4-FFF2-40B4-BE49-F238E27FC236}">
              <a16:creationId xmlns:a16="http://schemas.microsoft.com/office/drawing/2014/main" id="{B8556212-3511-422C-9631-D15B4B3B2A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493395</xdr:colOff>
      <xdr:row>8</xdr:row>
      <xdr:rowOff>85725</xdr:rowOff>
    </xdr:from>
    <xdr:to>
      <xdr:col>4</xdr:col>
      <xdr:colOff>1120751</xdr:colOff>
      <xdr:row>11</xdr:row>
      <xdr:rowOff>19050</xdr:rowOff>
    </xdr:to>
    <xdr:sp macro="" textlink="Dat_01!E48">
      <xdr:nvSpPr>
        <xdr:cNvPr id="6" name="CuadroTexto 1">
          <a:extLst>
            <a:ext uri="{FF2B5EF4-FFF2-40B4-BE49-F238E27FC236}">
              <a16:creationId xmlns:a16="http://schemas.microsoft.com/office/drawing/2014/main" id="{88233CCD-0987-990C-7E30-FE6F9990A65B}"/>
            </a:ext>
          </a:extLst>
        </xdr:cNvPr>
        <xdr:cNvSpPr txBox="1"/>
      </xdr:nvSpPr>
      <xdr:spPr>
        <a:xfrm>
          <a:off x="2360295" y="1466850"/>
          <a:ext cx="627356" cy="419100"/>
        </a:xfrm>
        <a:prstGeom prst="rect">
          <a:avLst/>
        </a:prstGeom>
      </xdr:spPr>
      <xdr:txBody>
        <a:bodyPr vertOverflow="clip"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/>
          <a:fld id="{C0E9936F-0463-4EBD-B1C1-C14BE8A28FE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Baterías 1,2 MW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0.07053</cdr:x>
      <cdr:y>0.11384</cdr:y>
    </cdr:from>
    <cdr:to>
      <cdr:x>0.37616</cdr:x>
      <cdr:y>0.25846</cdr:y>
    </cdr:to>
    <cdr:sp macro="" textlink="Dat_01!$K$33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6316B14-D5BF-98E1-2DD7-56787175119D}"/>
            </a:ext>
          </a:extLst>
        </cdr:cNvPr>
        <cdr:cNvSpPr txBox="1"/>
      </cdr:nvSpPr>
      <cdr:spPr>
        <a:xfrm xmlns:a="http://schemas.openxmlformats.org/drawingml/2006/main">
          <a:off x="274318" y="281934"/>
          <a:ext cx="1188722" cy="3581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1DF8CCD-B3AA-41DF-B855-73B23BDD0B4E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0.06988</cdr:x>
      <cdr:y>0.50052</cdr:y>
    </cdr:from>
    <cdr:to>
      <cdr:x>0.23118</cdr:x>
      <cdr:y>0.62462</cdr:y>
    </cdr:to>
    <cdr:sp macro="" textlink="Dat_01!$K$3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177DC23-929F-8E88-059B-6DAB475E0B34}"/>
            </a:ext>
          </a:extLst>
        </cdr:cNvPr>
        <cdr:cNvSpPr txBox="1"/>
      </cdr:nvSpPr>
      <cdr:spPr>
        <a:xfrm xmlns:a="http://schemas.openxmlformats.org/drawingml/2006/main">
          <a:off x="271793" y="1239526"/>
          <a:ext cx="627367" cy="3073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895287B-148C-4E4E-B5F2-B3814893D12A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6</xdr:row>
      <xdr:rowOff>19050</xdr:rowOff>
    </xdr:from>
    <xdr:to>
      <xdr:col>3</xdr:col>
      <xdr:colOff>7029450</xdr:colOff>
      <xdr:row>24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F7517D-B9D2-42AA-974F-4C7351DC8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0</xdr:colOff>
      <xdr:row>2</xdr:row>
      <xdr:rowOff>0</xdr:rowOff>
    </xdr:from>
    <xdr:to>
      <xdr:col>3</xdr:col>
      <xdr:colOff>7041855</xdr:colOff>
      <xdr:row>2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C8140316-B562-4CF9-982D-D1C431492125}"/>
            </a:ext>
          </a:extLst>
        </xdr:cNvPr>
        <xdr:cNvSpPr>
          <a:spLocks noChangeShapeType="1"/>
        </xdr:cNvSpPr>
      </xdr:nvSpPr>
      <xdr:spPr bwMode="auto">
        <a:xfrm flipH="1">
          <a:off x="190500" y="457200"/>
          <a:ext cx="875826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9525</xdr:colOff>
      <xdr:row>0</xdr:row>
      <xdr:rowOff>123825</xdr:rowOff>
    </xdr:from>
    <xdr:to>
      <xdr:col>3</xdr:col>
      <xdr:colOff>102869</xdr:colOff>
      <xdr:row>1</xdr:row>
      <xdr:rowOff>74924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EBE55CD-E404-474C-857B-642988E5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23825"/>
          <a:ext cx="1809749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10160</xdr:colOff>
      <xdr:row>3</xdr:row>
      <xdr:rowOff>17780</xdr:rowOff>
    </xdr:from>
    <xdr:to>
      <xdr:col>7</xdr:col>
      <xdr:colOff>18530</xdr:colOff>
      <xdr:row>3</xdr:row>
      <xdr:rowOff>17780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B7CF0382-B55F-4155-A4C5-B86F97234CDB}"/>
            </a:ext>
          </a:extLst>
        </xdr:cNvPr>
        <xdr:cNvSpPr>
          <a:spLocks noChangeShapeType="1"/>
        </xdr:cNvSpPr>
      </xdr:nvSpPr>
      <xdr:spPr bwMode="auto">
        <a:xfrm flipH="1">
          <a:off x="206375" y="492125"/>
          <a:ext cx="601293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93339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C65460-AF0C-44E5-AF2E-3E78F8B5E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1762124" cy="22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11</xdr:row>
      <xdr:rowOff>152400</xdr:rowOff>
    </xdr:from>
    <xdr:to>
      <xdr:col>5</xdr:col>
      <xdr:colOff>1813559</xdr:colOff>
      <xdr:row>20</xdr:row>
      <xdr:rowOff>160020</xdr:rowOff>
    </xdr:to>
    <xdr:graphicFrame macro="">
      <xdr:nvGraphicFramePr>
        <xdr:cNvPr id="7" name="Graf3_and">
          <a:extLst>
            <a:ext uri="{FF2B5EF4-FFF2-40B4-BE49-F238E27FC236}">
              <a16:creationId xmlns:a16="http://schemas.microsoft.com/office/drawing/2014/main" id="{5A46E420-4AB2-46B5-A34F-FC789C8CD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24</xdr:row>
      <xdr:rowOff>0</xdr:rowOff>
    </xdr:from>
    <xdr:to>
      <xdr:col>5</xdr:col>
      <xdr:colOff>1813559</xdr:colOff>
      <xdr:row>33</xdr:row>
      <xdr:rowOff>7620</xdr:rowOff>
    </xdr:to>
    <xdr:graphicFrame macro="">
      <xdr:nvGraphicFramePr>
        <xdr:cNvPr id="8" name="Graf3_and">
          <a:extLst>
            <a:ext uri="{FF2B5EF4-FFF2-40B4-BE49-F238E27FC236}">
              <a16:creationId xmlns:a16="http://schemas.microsoft.com/office/drawing/2014/main" id="{58EEC424-1C71-4286-8CD8-852B1E09D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0.06465</cdr:x>
      <cdr:y>0.05784</cdr:y>
    </cdr:from>
    <cdr:to>
      <cdr:x>0.43644</cdr:x>
      <cdr:y>0.38729</cdr:y>
    </cdr:to>
    <cdr:sp macro="" textlink="Dat_01!$K$4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6316B14-D5BF-98E1-2DD7-56787175119D}"/>
            </a:ext>
          </a:extLst>
        </cdr:cNvPr>
        <cdr:cNvSpPr txBox="1"/>
      </cdr:nvSpPr>
      <cdr:spPr>
        <a:xfrm xmlns:a="http://schemas.openxmlformats.org/drawingml/2006/main">
          <a:off x="236468" y="87713"/>
          <a:ext cx="1359856" cy="4995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520F4AC-ABB1-423A-8110-0F7063729207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0.06762</cdr:x>
      <cdr:y>0.4545</cdr:y>
    </cdr:from>
    <cdr:to>
      <cdr:x>0.33958</cdr:x>
      <cdr:y>0.77431</cdr:y>
    </cdr:to>
    <cdr:sp macro="" textlink="Dat_01!$K$5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177DC23-929F-8E88-059B-6DAB475E0B34}"/>
            </a:ext>
          </a:extLst>
        </cdr:cNvPr>
        <cdr:cNvSpPr txBox="1"/>
      </cdr:nvSpPr>
      <cdr:spPr>
        <a:xfrm xmlns:a="http://schemas.openxmlformats.org/drawingml/2006/main">
          <a:off x="247328" y="689199"/>
          <a:ext cx="994732" cy="4849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99BEB720-8C92-4C52-87B3-A35CA412D1FA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0.06834</cdr:x>
      <cdr:y>0.0536</cdr:y>
    </cdr:from>
    <cdr:to>
      <cdr:x>0.3403</cdr:x>
      <cdr:y>0.37341</cdr:y>
    </cdr:to>
    <cdr:sp macro="" textlink="Dat_01!$M$73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F1BEC6C7-79E0-EB4F-9A92-6BCAF6D3ECBF}"/>
            </a:ext>
          </a:extLst>
        </cdr:cNvPr>
        <cdr:cNvSpPr txBox="1"/>
      </cdr:nvSpPr>
      <cdr:spPr>
        <a:xfrm xmlns:a="http://schemas.openxmlformats.org/drawingml/2006/main">
          <a:off x="248920" y="81280"/>
          <a:ext cx="990576" cy="4849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A1FF3861-6ABF-4718-BC29-5CC50C1885B8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Entrega baterías 0,00 MWh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0.06465</cdr:x>
      <cdr:y>0.05784</cdr:y>
    </cdr:from>
    <cdr:to>
      <cdr:x>0.43644</cdr:x>
      <cdr:y>0.38729</cdr:y>
    </cdr:to>
    <cdr:sp macro="" textlink="Dat_01!$K$4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6316B14-D5BF-98E1-2DD7-56787175119D}"/>
            </a:ext>
          </a:extLst>
        </cdr:cNvPr>
        <cdr:cNvSpPr txBox="1"/>
      </cdr:nvSpPr>
      <cdr:spPr>
        <a:xfrm xmlns:a="http://schemas.openxmlformats.org/drawingml/2006/main">
          <a:off x="236468" y="87713"/>
          <a:ext cx="1359856" cy="4995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520F4AC-ABB1-423A-8110-0F7063729207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0.06762</cdr:x>
      <cdr:y>0.4545</cdr:y>
    </cdr:from>
    <cdr:to>
      <cdr:x>0.33958</cdr:x>
      <cdr:y>0.77431</cdr:y>
    </cdr:to>
    <cdr:sp macro="" textlink="Dat_01!$K$5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177DC23-929F-8E88-059B-6DAB475E0B34}"/>
            </a:ext>
          </a:extLst>
        </cdr:cNvPr>
        <cdr:cNvSpPr txBox="1"/>
      </cdr:nvSpPr>
      <cdr:spPr>
        <a:xfrm xmlns:a="http://schemas.openxmlformats.org/drawingml/2006/main">
          <a:off x="247328" y="689199"/>
          <a:ext cx="994732" cy="4849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99BEB720-8C92-4C52-87B3-A35CA412D1FA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0.06834</cdr:x>
      <cdr:y>0.0536</cdr:y>
    </cdr:from>
    <cdr:to>
      <cdr:x>0.3125</cdr:x>
      <cdr:y>0.37341</cdr:y>
    </cdr:to>
    <cdr:sp macro="" textlink="Dat_01!$M$7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F1BEC6C7-79E0-EB4F-9A92-6BCAF6D3ECBF}"/>
            </a:ext>
          </a:extLst>
        </cdr:cNvPr>
        <cdr:cNvSpPr txBox="1"/>
      </cdr:nvSpPr>
      <cdr:spPr>
        <a:xfrm xmlns:a="http://schemas.openxmlformats.org/drawingml/2006/main">
          <a:off x="243711" y="78521"/>
          <a:ext cx="870714" cy="4685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6EB3CB67-413F-4F41-894D-AEE8FFB245B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Carga baterías 0,00 MWh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16508</xdr:colOff>
      <xdr:row>3</xdr:row>
      <xdr:rowOff>21590</xdr:rowOff>
    </xdr:from>
    <xdr:to>
      <xdr:col>5</xdr:col>
      <xdr:colOff>1573</xdr:colOff>
      <xdr:row>3</xdr:row>
      <xdr:rowOff>21590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3C065DB-D69E-407D-A427-6BEB85816BC9}"/>
            </a:ext>
          </a:extLst>
        </xdr:cNvPr>
        <xdr:cNvSpPr>
          <a:spLocks noChangeShapeType="1"/>
        </xdr:cNvSpPr>
      </xdr:nvSpPr>
      <xdr:spPr bwMode="auto">
        <a:xfrm flipH="1">
          <a:off x="216533" y="488315"/>
          <a:ext cx="571911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114300</xdr:rowOff>
    </xdr:from>
    <xdr:to>
      <xdr:col>4</xdr:col>
      <xdr:colOff>114299</xdr:colOff>
      <xdr:row>2</xdr:row>
      <xdr:rowOff>57144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C145AE-6B3A-448A-988E-E9F97BAC0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" y="123825"/>
          <a:ext cx="1813559" cy="219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15240</xdr:colOff>
      <xdr:row>6</xdr:row>
      <xdr:rowOff>15240</xdr:rowOff>
    </xdr:from>
    <xdr:to>
      <xdr:col>4</xdr:col>
      <xdr:colOff>3904615</xdr:colOff>
      <xdr:row>21</xdr:row>
      <xdr:rowOff>91440</xdr:rowOff>
    </xdr:to>
    <xdr:graphicFrame macro="">
      <xdr:nvGraphicFramePr>
        <xdr:cNvPr id="4" name="Graf3_and">
          <a:extLst>
            <a:ext uri="{FF2B5EF4-FFF2-40B4-BE49-F238E27FC236}">
              <a16:creationId xmlns:a16="http://schemas.microsoft.com/office/drawing/2014/main" id="{846CDD70-5C82-496E-A1D2-DE9355737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493395</xdr:colOff>
      <xdr:row>8</xdr:row>
      <xdr:rowOff>85725</xdr:rowOff>
    </xdr:from>
    <xdr:to>
      <xdr:col>4</xdr:col>
      <xdr:colOff>1120751</xdr:colOff>
      <xdr:row>11</xdr:row>
      <xdr:rowOff>19050</xdr:rowOff>
    </xdr:to>
    <xdr:sp macro="" textlink="Dat_01!E47">
      <xdr:nvSpPr>
        <xdr:cNvPr id="5" name="CuadroTexto 1">
          <a:extLst>
            <a:ext uri="{FF2B5EF4-FFF2-40B4-BE49-F238E27FC236}">
              <a16:creationId xmlns:a16="http://schemas.microsoft.com/office/drawing/2014/main" id="{18F5699A-6899-41A0-8F70-327DBA57117A}"/>
            </a:ext>
          </a:extLst>
        </xdr:cNvPr>
        <xdr:cNvSpPr txBox="1"/>
      </xdr:nvSpPr>
      <xdr:spPr>
        <a:xfrm>
          <a:off x="2407920" y="1459230"/>
          <a:ext cx="631166" cy="413385"/>
        </a:xfrm>
        <a:prstGeom prst="rect">
          <a:avLst/>
        </a:prstGeom>
      </xdr:spPr>
      <xdr:txBody>
        <a:bodyPr vertOverflow="clip"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/>
          <a:fld id="{D5C98716-3E6A-4DDF-8536-CF453E576FC4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Baterías 5,1 MW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0.07053</cdr:x>
      <cdr:y>0.11384</cdr:y>
    </cdr:from>
    <cdr:to>
      <cdr:x>0.37616</cdr:x>
      <cdr:y>0.25846</cdr:y>
    </cdr:to>
    <cdr:sp macro="" textlink="Dat_01!$K$33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6316B14-D5BF-98E1-2DD7-56787175119D}"/>
            </a:ext>
          </a:extLst>
        </cdr:cNvPr>
        <cdr:cNvSpPr txBox="1"/>
      </cdr:nvSpPr>
      <cdr:spPr>
        <a:xfrm xmlns:a="http://schemas.openxmlformats.org/drawingml/2006/main">
          <a:off x="274318" y="281934"/>
          <a:ext cx="1188722" cy="3581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1DF8CCD-B3AA-41DF-B855-73B23BDD0B4E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0.06988</cdr:x>
      <cdr:y>0.50052</cdr:y>
    </cdr:from>
    <cdr:to>
      <cdr:x>0.23118</cdr:x>
      <cdr:y>0.62462</cdr:y>
    </cdr:to>
    <cdr:sp macro="" textlink="Dat_01!$K$3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177DC23-929F-8E88-059B-6DAB475E0B34}"/>
            </a:ext>
          </a:extLst>
        </cdr:cNvPr>
        <cdr:cNvSpPr txBox="1"/>
      </cdr:nvSpPr>
      <cdr:spPr>
        <a:xfrm xmlns:a="http://schemas.openxmlformats.org/drawingml/2006/main">
          <a:off x="271793" y="1239526"/>
          <a:ext cx="627367" cy="3073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895287B-148C-4E4E-B5F2-B3814893D12A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6</xdr:row>
      <xdr:rowOff>19050</xdr:rowOff>
    </xdr:from>
    <xdr:to>
      <xdr:col>3</xdr:col>
      <xdr:colOff>7029450</xdr:colOff>
      <xdr:row>24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6B7F2F3-6D02-4F9F-8755-60AFF2A01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0</xdr:colOff>
      <xdr:row>2</xdr:row>
      <xdr:rowOff>0</xdr:rowOff>
    </xdr:from>
    <xdr:to>
      <xdr:col>3</xdr:col>
      <xdr:colOff>7039950</xdr:colOff>
      <xdr:row>2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7DE2E272-FE18-47ED-9AE4-23E5D180D3C3}"/>
            </a:ext>
          </a:extLst>
        </xdr:cNvPr>
        <xdr:cNvSpPr>
          <a:spLocks noChangeShapeType="1"/>
        </xdr:cNvSpPr>
      </xdr:nvSpPr>
      <xdr:spPr bwMode="auto">
        <a:xfrm flipH="1">
          <a:off x="180975" y="457200"/>
          <a:ext cx="875635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9525</xdr:colOff>
      <xdr:row>0</xdr:row>
      <xdr:rowOff>123825</xdr:rowOff>
    </xdr:from>
    <xdr:to>
      <xdr:col>3</xdr:col>
      <xdr:colOff>95249</xdr:colOff>
      <xdr:row>1</xdr:row>
      <xdr:rowOff>74924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96D2463-19B9-49B7-889C-47DAD0E3D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" y="125730"/>
          <a:ext cx="1805939" cy="215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3</xdr:row>
      <xdr:rowOff>9525</xdr:rowOff>
    </xdr:from>
    <xdr:to>
      <xdr:col>10</xdr:col>
      <xdr:colOff>745275</xdr:colOff>
      <xdr:row>3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 flipH="1">
          <a:off x="190500" y="466725"/>
          <a:ext cx="730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123825</xdr:rowOff>
    </xdr:from>
    <xdr:to>
      <xdr:col>4</xdr:col>
      <xdr:colOff>114299</xdr:colOff>
      <xdr:row>2</xdr:row>
      <xdr:rowOff>74924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B212E58-FDCF-4976-A0A4-FFEEF133A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19685</xdr:colOff>
      <xdr:row>3</xdr:row>
      <xdr:rowOff>21590</xdr:rowOff>
    </xdr:from>
    <xdr:to>
      <xdr:col>7</xdr:col>
      <xdr:colOff>22340</xdr:colOff>
      <xdr:row>3</xdr:row>
      <xdr:rowOff>21590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124D9F4A-EE65-47AA-8919-FD1AB9731DD1}"/>
            </a:ext>
          </a:extLst>
        </xdr:cNvPr>
        <xdr:cNvSpPr>
          <a:spLocks noChangeShapeType="1"/>
        </xdr:cNvSpPr>
      </xdr:nvSpPr>
      <xdr:spPr bwMode="auto">
        <a:xfrm flipH="1">
          <a:off x="208280" y="488315"/>
          <a:ext cx="61672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93339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0486A0-EF85-4B73-B3EA-D4699EE5F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265" y="139065"/>
          <a:ext cx="1813559" cy="2266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11</xdr:row>
      <xdr:rowOff>152400</xdr:rowOff>
    </xdr:from>
    <xdr:to>
      <xdr:col>5</xdr:col>
      <xdr:colOff>1813559</xdr:colOff>
      <xdr:row>20</xdr:row>
      <xdr:rowOff>160020</xdr:rowOff>
    </xdr:to>
    <xdr:graphicFrame macro="">
      <xdr:nvGraphicFramePr>
        <xdr:cNvPr id="4" name="Graf3_and">
          <a:extLst>
            <a:ext uri="{FF2B5EF4-FFF2-40B4-BE49-F238E27FC236}">
              <a16:creationId xmlns:a16="http://schemas.microsoft.com/office/drawing/2014/main" id="{1D654894-0F99-41EA-BA9F-18707FAE8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24</xdr:row>
      <xdr:rowOff>0</xdr:rowOff>
    </xdr:from>
    <xdr:to>
      <xdr:col>5</xdr:col>
      <xdr:colOff>1813559</xdr:colOff>
      <xdr:row>33</xdr:row>
      <xdr:rowOff>7620</xdr:rowOff>
    </xdr:to>
    <xdr:graphicFrame macro="">
      <xdr:nvGraphicFramePr>
        <xdr:cNvPr id="5" name="Graf3_and">
          <a:extLst>
            <a:ext uri="{FF2B5EF4-FFF2-40B4-BE49-F238E27FC236}">
              <a16:creationId xmlns:a16="http://schemas.microsoft.com/office/drawing/2014/main" id="{6DBD27D0-F4CB-4D18-84C8-92A786685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0.06465</cdr:x>
      <cdr:y>0.05784</cdr:y>
    </cdr:from>
    <cdr:to>
      <cdr:x>0.43644</cdr:x>
      <cdr:y>0.38729</cdr:y>
    </cdr:to>
    <cdr:sp macro="" textlink="Dat_01!$K$4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6316B14-D5BF-98E1-2DD7-56787175119D}"/>
            </a:ext>
          </a:extLst>
        </cdr:cNvPr>
        <cdr:cNvSpPr txBox="1"/>
      </cdr:nvSpPr>
      <cdr:spPr>
        <a:xfrm xmlns:a="http://schemas.openxmlformats.org/drawingml/2006/main">
          <a:off x="236468" y="87713"/>
          <a:ext cx="1359856" cy="4995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520F4AC-ABB1-423A-8110-0F7063729207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0.06762</cdr:x>
      <cdr:y>0.4545</cdr:y>
    </cdr:from>
    <cdr:to>
      <cdr:x>0.33958</cdr:x>
      <cdr:y>0.77431</cdr:y>
    </cdr:to>
    <cdr:sp macro="" textlink="Dat_01!$K$5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177DC23-929F-8E88-059B-6DAB475E0B34}"/>
            </a:ext>
          </a:extLst>
        </cdr:cNvPr>
        <cdr:cNvSpPr txBox="1"/>
      </cdr:nvSpPr>
      <cdr:spPr>
        <a:xfrm xmlns:a="http://schemas.openxmlformats.org/drawingml/2006/main">
          <a:off x="247328" y="689199"/>
          <a:ext cx="994732" cy="4849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99BEB720-8C92-4C52-87B3-A35CA412D1FA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0.06834</cdr:x>
      <cdr:y>0.0536</cdr:y>
    </cdr:from>
    <cdr:to>
      <cdr:x>0.3403</cdr:x>
      <cdr:y>0.37341</cdr:y>
    </cdr:to>
    <cdr:sp macro="" textlink="Dat_01!$M$79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F1BEC6C7-79E0-EB4F-9A92-6BCAF6D3ECBF}"/>
            </a:ext>
          </a:extLst>
        </cdr:cNvPr>
        <cdr:cNvSpPr txBox="1"/>
      </cdr:nvSpPr>
      <cdr:spPr>
        <a:xfrm xmlns:a="http://schemas.openxmlformats.org/drawingml/2006/main">
          <a:off x="248920" y="81280"/>
          <a:ext cx="990576" cy="4849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B75A10F7-067B-4CE4-B5A2-7B2F6B18D91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Entrega baterías 0,00 MWh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0.06465</cdr:x>
      <cdr:y>0.05784</cdr:y>
    </cdr:from>
    <cdr:to>
      <cdr:x>0.43644</cdr:x>
      <cdr:y>0.38729</cdr:y>
    </cdr:to>
    <cdr:sp macro="" textlink="Dat_01!$K$49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6316B14-D5BF-98E1-2DD7-56787175119D}"/>
            </a:ext>
          </a:extLst>
        </cdr:cNvPr>
        <cdr:cNvSpPr txBox="1"/>
      </cdr:nvSpPr>
      <cdr:spPr>
        <a:xfrm xmlns:a="http://schemas.openxmlformats.org/drawingml/2006/main">
          <a:off x="236468" y="87713"/>
          <a:ext cx="1359856" cy="4995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520F4AC-ABB1-423A-8110-0F7063729207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0.06762</cdr:x>
      <cdr:y>0.4545</cdr:y>
    </cdr:from>
    <cdr:to>
      <cdr:x>0.33958</cdr:x>
      <cdr:y>0.77431</cdr:y>
    </cdr:to>
    <cdr:sp macro="" textlink="Dat_01!$K$50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177DC23-929F-8E88-059B-6DAB475E0B34}"/>
            </a:ext>
          </a:extLst>
        </cdr:cNvPr>
        <cdr:cNvSpPr txBox="1"/>
      </cdr:nvSpPr>
      <cdr:spPr>
        <a:xfrm xmlns:a="http://schemas.openxmlformats.org/drawingml/2006/main">
          <a:off x="247328" y="689199"/>
          <a:ext cx="994732" cy="4849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99BEB720-8C92-4C52-87B3-A35CA412D1FA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0.06834</cdr:x>
      <cdr:y>0.0536</cdr:y>
    </cdr:from>
    <cdr:to>
      <cdr:x>0.3125</cdr:x>
      <cdr:y>0.37341</cdr:y>
    </cdr:to>
    <cdr:sp macro="" textlink="Dat_01!$M$80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F1BEC6C7-79E0-EB4F-9A92-6BCAF6D3ECBF}"/>
            </a:ext>
          </a:extLst>
        </cdr:cNvPr>
        <cdr:cNvSpPr txBox="1"/>
      </cdr:nvSpPr>
      <cdr:spPr>
        <a:xfrm xmlns:a="http://schemas.openxmlformats.org/drawingml/2006/main">
          <a:off x="243711" y="78521"/>
          <a:ext cx="870714" cy="4685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336CEE53-396F-443E-A587-982F0C862A5C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Carga baterías -18,02 MWh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7621</xdr:colOff>
      <xdr:row>6</xdr:row>
      <xdr:rowOff>3810</xdr:rowOff>
    </xdr:from>
    <xdr:to>
      <xdr:col>4</xdr:col>
      <xdr:colOff>7038975</xdr:colOff>
      <xdr:row>25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5C14628-CEC4-424C-AACA-941420357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10795</xdr:colOff>
      <xdr:row>3</xdr:row>
      <xdr:rowOff>29845</xdr:rowOff>
    </xdr:from>
    <xdr:to>
      <xdr:col>5</xdr:col>
      <xdr:colOff>1170</xdr:colOff>
      <xdr:row>3</xdr:row>
      <xdr:rowOff>29845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DBB0ACCE-8E5A-430C-A8C9-E48F0654454A}"/>
            </a:ext>
          </a:extLst>
        </xdr:cNvPr>
        <xdr:cNvSpPr>
          <a:spLocks noChangeShapeType="1"/>
        </xdr:cNvSpPr>
      </xdr:nvSpPr>
      <xdr:spPr bwMode="auto">
        <a:xfrm flipH="1">
          <a:off x="210820" y="487045"/>
          <a:ext cx="869622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87624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C3D538B-9937-4FCA-AFF9-4BADC434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2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6350</xdr:colOff>
      <xdr:row>3</xdr:row>
      <xdr:rowOff>25400</xdr:rowOff>
    </xdr:from>
    <xdr:to>
      <xdr:col>7</xdr:col>
      <xdr:colOff>28055</xdr:colOff>
      <xdr:row>3</xdr:row>
      <xdr:rowOff>25400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DC9E7605-0793-43E4-9AFE-050BFC8F60E6}"/>
            </a:ext>
          </a:extLst>
        </xdr:cNvPr>
        <xdr:cNvSpPr>
          <a:spLocks noChangeShapeType="1"/>
        </xdr:cNvSpPr>
      </xdr:nvSpPr>
      <xdr:spPr bwMode="auto">
        <a:xfrm flipH="1">
          <a:off x="206375" y="492125"/>
          <a:ext cx="601293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87624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2E9DDF-EFC5-48C7-AA4A-DF5F6D2BD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1762124" cy="22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</xdr:colOff>
      <xdr:row>6</xdr:row>
      <xdr:rowOff>0</xdr:rowOff>
    </xdr:from>
    <xdr:to>
      <xdr:col>7</xdr:col>
      <xdr:colOff>7620</xdr:colOff>
      <xdr:row>29</xdr:row>
      <xdr:rowOff>7620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EA53AE6-7484-4FB0-A080-E390523FD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0.04698</cdr:x>
      <cdr:y>0.05591</cdr:y>
    </cdr:from>
    <cdr:to>
      <cdr:x>0.26667</cdr:x>
      <cdr:y>0.14226</cdr:y>
    </cdr:to>
    <cdr:sp macro="" textlink="Dat_01!$G$47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B1C5275-A12B-D406-FEA3-1EF584877CB4}"/>
            </a:ext>
          </a:extLst>
        </cdr:cNvPr>
        <cdr:cNvSpPr txBox="1"/>
      </cdr:nvSpPr>
      <cdr:spPr>
        <a:xfrm xmlns:a="http://schemas.openxmlformats.org/drawingml/2006/main">
          <a:off x="209405" y="215159"/>
          <a:ext cx="979314" cy="332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7D0EB60-CA31-4AFD-A73B-0B25EA0632E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0.04729</cdr:x>
      <cdr:y>0.15578</cdr:y>
    </cdr:from>
    <cdr:to>
      <cdr:x>0.26698</cdr:x>
      <cdr:y>0.24212</cdr:y>
    </cdr:to>
    <cdr:sp macro="" textlink="Dat_01!$G$4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5C9B03-92B0-0012-119F-C4A94E296C33}"/>
            </a:ext>
          </a:extLst>
        </cdr:cNvPr>
        <cdr:cNvSpPr txBox="1"/>
      </cdr:nvSpPr>
      <cdr:spPr>
        <a:xfrm xmlns:a="http://schemas.openxmlformats.org/drawingml/2006/main">
          <a:off x="210820" y="599440"/>
          <a:ext cx="979314" cy="332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8F7ED5A-CE57-4682-9EDD-0FF3DCA54F78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0.04729</cdr:x>
      <cdr:y>0.25281</cdr:y>
    </cdr:from>
    <cdr:to>
      <cdr:x>0.26698</cdr:x>
      <cdr:y>0.33915</cdr:y>
    </cdr:to>
    <cdr:sp macro="" textlink="Dat_01!$G$49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E457840E-FC97-5286-0FC5-D4AF648AD1BB}"/>
            </a:ext>
          </a:extLst>
        </cdr:cNvPr>
        <cdr:cNvSpPr txBox="1"/>
      </cdr:nvSpPr>
      <cdr:spPr>
        <a:xfrm xmlns:a="http://schemas.openxmlformats.org/drawingml/2006/main">
          <a:off x="210820" y="972820"/>
          <a:ext cx="979314" cy="332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BE10A346-20F3-4327-BC4E-62704AE787D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0.04842</cdr:x>
      <cdr:y>0.34829</cdr:y>
    </cdr:from>
    <cdr:to>
      <cdr:x>0.35175</cdr:x>
      <cdr:y>0.43464</cdr:y>
    </cdr:to>
    <cdr:sp macro="" textlink="Dat_01!$G$50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6F08CFFC-DD67-2E7C-1634-DB70092CA82A}"/>
            </a:ext>
          </a:extLst>
        </cdr:cNvPr>
        <cdr:cNvSpPr txBox="1"/>
      </cdr:nvSpPr>
      <cdr:spPr>
        <a:xfrm xmlns:a="http://schemas.openxmlformats.org/drawingml/2006/main">
          <a:off x="215900" y="1320800"/>
          <a:ext cx="1352549" cy="327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059705ED-2AD8-4831-96BF-13FA83EFD0E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0.05071</cdr:x>
      <cdr:y>0.07063</cdr:y>
    </cdr:from>
    <cdr:to>
      <cdr:x>0.34664</cdr:x>
      <cdr:y>0.15698</cdr:y>
    </cdr:to>
    <cdr:sp macro="" textlink="Dat_02!$G$92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6EAA6129-5196-F417-8266-3022B8B90038}"/>
            </a:ext>
          </a:extLst>
        </cdr:cNvPr>
        <cdr:cNvSpPr txBox="1"/>
      </cdr:nvSpPr>
      <cdr:spPr>
        <a:xfrm xmlns:a="http://schemas.openxmlformats.org/drawingml/2006/main">
          <a:off x="220157" y="263584"/>
          <a:ext cx="1284792" cy="322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B36B71D9-F122-41B6-B317-FF819FCA30B1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 marL="0" indent="0"/>
            <a:t>Solar fotovoltaica 30.305,1 MWh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0.05273</cdr:x>
      <cdr:y>0.36456</cdr:y>
    </cdr:from>
    <cdr:to>
      <cdr:x>0.27242</cdr:x>
      <cdr:y>0.4509</cdr:y>
    </cdr:to>
    <cdr:sp macro="" textlink="Dat_02!$G$94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DD07BE16-42C5-B106-81AD-0DF32FFB267E}"/>
            </a:ext>
          </a:extLst>
        </cdr:cNvPr>
        <cdr:cNvSpPr txBox="1"/>
      </cdr:nvSpPr>
      <cdr:spPr>
        <a:xfrm xmlns:a="http://schemas.openxmlformats.org/drawingml/2006/main">
          <a:off x="235049" y="1402868"/>
          <a:ext cx="979312" cy="3322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/>
          <a:fld id="{4EAB5180-E7CA-455D-B741-F3E0F9B4018D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 marL="0" indent="0"/>
            <a:t>Cogeneración 570,7 MWh</a:t>
          </a:fld>
          <a:endParaRPr lang="en-U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0.04931</cdr:x>
      <cdr:y>0.21803</cdr:y>
    </cdr:from>
    <cdr:to>
      <cdr:x>0.34226</cdr:x>
      <cdr:y>0.30437</cdr:y>
    </cdr:to>
    <cdr:sp macro="" textlink="Dat_02!$G$93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FB21C581-B143-F1CF-F092-BC3206B9F71C}"/>
            </a:ext>
          </a:extLst>
        </cdr:cNvPr>
        <cdr:cNvSpPr txBox="1"/>
      </cdr:nvSpPr>
      <cdr:spPr>
        <a:xfrm xmlns:a="http://schemas.openxmlformats.org/drawingml/2006/main">
          <a:off x="214080" y="813665"/>
          <a:ext cx="1271820" cy="3222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/>
          <a:fld id="{141E1C6A-D938-4C01-9195-934015C73A67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 marL="0" indent="0"/>
            <a:t>Otras renovables 2.988,7 MWh</a:t>
          </a:fld>
          <a:endParaRPr lang="en-U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0.05215</cdr:x>
      <cdr:y>0.78296</cdr:y>
    </cdr:from>
    <cdr:to>
      <cdr:x>0.45195</cdr:x>
      <cdr:y>0.86931</cdr:y>
    </cdr:to>
    <cdr:sp macro="" textlink="Dat_02!$G$97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85D0A028-D7A5-04AA-6ED6-CE9949B3DA9A}"/>
            </a:ext>
          </a:extLst>
        </cdr:cNvPr>
        <cdr:cNvSpPr txBox="1"/>
      </cdr:nvSpPr>
      <cdr:spPr>
        <a:xfrm xmlns:a="http://schemas.openxmlformats.org/drawingml/2006/main">
          <a:off x="226409" y="2921925"/>
          <a:ext cx="1735740" cy="322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/>
          <a:fld id="{A72796E1-DA33-48BF-B3F6-84722397932C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 marL="0" indent="0"/>
            <a:t>Generación total autoconsumo 33.864,4 MWh</a:t>
          </a:fld>
          <a:endParaRPr lang="en-U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7621</xdr:colOff>
      <xdr:row>6</xdr:row>
      <xdr:rowOff>3810</xdr:rowOff>
    </xdr:from>
    <xdr:to>
      <xdr:col>4</xdr:col>
      <xdr:colOff>7038975</xdr:colOff>
      <xdr:row>25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509E584-5C42-4CE0-9D2F-B6DA202E6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10795</xdr:colOff>
      <xdr:row>3</xdr:row>
      <xdr:rowOff>29845</xdr:rowOff>
    </xdr:from>
    <xdr:to>
      <xdr:col>5</xdr:col>
      <xdr:colOff>1170</xdr:colOff>
      <xdr:row>3</xdr:row>
      <xdr:rowOff>29845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CBCAB9C8-86F0-4D6A-BC26-E3D07689A84F}"/>
            </a:ext>
          </a:extLst>
        </xdr:cNvPr>
        <xdr:cNvSpPr>
          <a:spLocks noChangeShapeType="1"/>
        </xdr:cNvSpPr>
      </xdr:nvSpPr>
      <xdr:spPr bwMode="auto">
        <a:xfrm flipH="1">
          <a:off x="210820" y="487045"/>
          <a:ext cx="869622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87624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9B77D0-DF19-47C0-AB59-005440236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2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6350</xdr:colOff>
      <xdr:row>3</xdr:row>
      <xdr:rowOff>25400</xdr:rowOff>
    </xdr:from>
    <xdr:to>
      <xdr:col>7</xdr:col>
      <xdr:colOff>28055</xdr:colOff>
      <xdr:row>3</xdr:row>
      <xdr:rowOff>25400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8DEA6B5-91F7-45B4-A8D5-B698126DDC80}"/>
            </a:ext>
          </a:extLst>
        </xdr:cNvPr>
        <xdr:cNvSpPr>
          <a:spLocks noChangeShapeType="1"/>
        </xdr:cNvSpPr>
      </xdr:nvSpPr>
      <xdr:spPr bwMode="auto">
        <a:xfrm flipH="1">
          <a:off x="206375" y="492125"/>
          <a:ext cx="601293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87624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B2EB2C-FBCB-44B1-A2D0-EADB8AED7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1762124" cy="22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</xdr:colOff>
      <xdr:row>6</xdr:row>
      <xdr:rowOff>0</xdr:rowOff>
    </xdr:from>
    <xdr:to>
      <xdr:col>7</xdr:col>
      <xdr:colOff>7620</xdr:colOff>
      <xdr:row>29</xdr:row>
      <xdr:rowOff>7620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A57E7B4-E81A-40D8-9853-4090417A76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0.04698</cdr:x>
      <cdr:y>0.05591</cdr:y>
    </cdr:from>
    <cdr:to>
      <cdr:x>0.26667</cdr:x>
      <cdr:y>0.14226</cdr:y>
    </cdr:to>
    <cdr:sp macro="" textlink="Dat_01!$G$47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B1C5275-A12B-D406-FEA3-1EF584877CB4}"/>
            </a:ext>
          </a:extLst>
        </cdr:cNvPr>
        <cdr:cNvSpPr txBox="1"/>
      </cdr:nvSpPr>
      <cdr:spPr>
        <a:xfrm xmlns:a="http://schemas.openxmlformats.org/drawingml/2006/main">
          <a:off x="209405" y="215159"/>
          <a:ext cx="979314" cy="332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7D0EB60-CA31-4AFD-A73B-0B25EA0632E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0.04729</cdr:x>
      <cdr:y>0.15578</cdr:y>
    </cdr:from>
    <cdr:to>
      <cdr:x>0.26698</cdr:x>
      <cdr:y>0.24212</cdr:y>
    </cdr:to>
    <cdr:sp macro="" textlink="Dat_01!$G$4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5C9B03-92B0-0012-119F-C4A94E296C33}"/>
            </a:ext>
          </a:extLst>
        </cdr:cNvPr>
        <cdr:cNvSpPr txBox="1"/>
      </cdr:nvSpPr>
      <cdr:spPr>
        <a:xfrm xmlns:a="http://schemas.openxmlformats.org/drawingml/2006/main">
          <a:off x="210820" y="599440"/>
          <a:ext cx="979314" cy="332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8F7ED5A-CE57-4682-9EDD-0FF3DCA54F78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pPr/>
            <a:t> </a:t>
          </a:fld>
          <a:endParaRPr lang="es-ES" sz="800" kern="1200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0.04729</cdr:x>
      <cdr:y>0.25281</cdr:y>
    </cdr:from>
    <cdr:to>
      <cdr:x>0.26698</cdr:x>
      <cdr:y>0.33915</cdr:y>
    </cdr:to>
    <cdr:sp macro="" textlink="Dat_01!$G$49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E457840E-FC97-5286-0FC5-D4AF648AD1BB}"/>
            </a:ext>
          </a:extLst>
        </cdr:cNvPr>
        <cdr:cNvSpPr txBox="1"/>
      </cdr:nvSpPr>
      <cdr:spPr>
        <a:xfrm xmlns:a="http://schemas.openxmlformats.org/drawingml/2006/main">
          <a:off x="210820" y="972820"/>
          <a:ext cx="979314" cy="3322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BE10A346-20F3-4327-BC4E-62704AE787D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0.04842</cdr:x>
      <cdr:y>0.34829</cdr:y>
    </cdr:from>
    <cdr:to>
      <cdr:x>0.35175</cdr:x>
      <cdr:y>0.43464</cdr:y>
    </cdr:to>
    <cdr:sp macro="" textlink="Dat_01!$G$50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6F08CFFC-DD67-2E7C-1634-DB70092CA82A}"/>
            </a:ext>
          </a:extLst>
        </cdr:cNvPr>
        <cdr:cNvSpPr txBox="1"/>
      </cdr:nvSpPr>
      <cdr:spPr>
        <a:xfrm xmlns:a="http://schemas.openxmlformats.org/drawingml/2006/main">
          <a:off x="215900" y="1320800"/>
          <a:ext cx="1352549" cy="327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059705ED-2AD8-4831-96BF-13FA83EFD0E3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pPr marL="0" indent="0"/>
            <a:t> 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0.05071</cdr:x>
      <cdr:y>0.07063</cdr:y>
    </cdr:from>
    <cdr:to>
      <cdr:x>0.30935</cdr:x>
      <cdr:y>0.15698</cdr:y>
    </cdr:to>
    <cdr:sp macro="" textlink="Dat_02!$G$13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6EAA6129-5196-F417-8266-3022B8B90038}"/>
            </a:ext>
          </a:extLst>
        </cdr:cNvPr>
        <cdr:cNvSpPr txBox="1"/>
      </cdr:nvSpPr>
      <cdr:spPr>
        <a:xfrm xmlns:a="http://schemas.openxmlformats.org/drawingml/2006/main">
          <a:off x="220157" y="263584"/>
          <a:ext cx="1122867" cy="322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/>
          <a:fld id="{B66B0DC6-8C5F-458F-BE48-58B914372165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 marL="0" indent="0"/>
            <a:t>Solar fotovoltaica 22.370,6 GWh</a:t>
          </a:fld>
          <a:endParaRPr lang="es-E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0.05273</cdr:x>
      <cdr:y>0.36456</cdr:y>
    </cdr:from>
    <cdr:to>
      <cdr:x>0.30496</cdr:x>
      <cdr:y>0.4509</cdr:y>
    </cdr:to>
    <cdr:sp macro="" textlink="Dat_02!$G$139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DD07BE16-42C5-B106-81AD-0DF32FFB267E}"/>
            </a:ext>
          </a:extLst>
        </cdr:cNvPr>
        <cdr:cNvSpPr txBox="1"/>
      </cdr:nvSpPr>
      <cdr:spPr>
        <a:xfrm xmlns:a="http://schemas.openxmlformats.org/drawingml/2006/main">
          <a:off x="228927" y="1360500"/>
          <a:ext cx="1095047" cy="3222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/>
          <a:fld id="{B8091383-4E79-4E6C-BBF3-9CFBEB77B152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 marL="0" indent="0"/>
            <a:t>Otras renovables 1.281,3 GWh</a:t>
          </a:fld>
          <a:endParaRPr lang="en-U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Calibri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0.04931</cdr:x>
      <cdr:y>0.21803</cdr:y>
    </cdr:from>
    <cdr:to>
      <cdr:x>0.23475</cdr:x>
      <cdr:y>0.30437</cdr:y>
    </cdr:to>
    <cdr:sp macro="" textlink="Dat_02!$G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FB21C581-B143-F1CF-F092-BC3206B9F71C}"/>
            </a:ext>
          </a:extLst>
        </cdr:cNvPr>
        <cdr:cNvSpPr txBox="1"/>
      </cdr:nvSpPr>
      <cdr:spPr>
        <a:xfrm xmlns:a="http://schemas.openxmlformats.org/drawingml/2006/main">
          <a:off x="214079" y="813665"/>
          <a:ext cx="805095" cy="3222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/>
          <a:fld id="{A80B5CA5-1E0E-41E9-96BA-DE37822100C5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 marL="0" indent="0"/>
            <a:t>Eólica 4.324,4 GWh</a:t>
          </a:fld>
          <a:endParaRPr lang="en-U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0.05215</cdr:x>
      <cdr:y>0.78296</cdr:y>
    </cdr:from>
    <cdr:to>
      <cdr:x>0.46073</cdr:x>
      <cdr:y>0.86931</cdr:y>
    </cdr:to>
    <cdr:sp macro="" textlink="Dat_02!$G$142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85D0A028-D7A5-04AA-6ED6-CE9949B3DA9A}"/>
            </a:ext>
          </a:extLst>
        </cdr:cNvPr>
        <cdr:cNvSpPr txBox="1"/>
      </cdr:nvSpPr>
      <cdr:spPr>
        <a:xfrm xmlns:a="http://schemas.openxmlformats.org/drawingml/2006/main">
          <a:off x="226409" y="2921925"/>
          <a:ext cx="1773840" cy="322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/>
          <a:fld id="{4414F37F-7BD7-4D1F-9F9F-A762528B290F}" type="TxLink">
            <a:rPr lang="en-US" sz="800" b="0" i="0" u="none" strike="noStrike" kern="1200">
              <a:solidFill>
                <a:srgbClr val="004563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rPr>
            <a:pPr marL="0" indent="0"/>
            <a:t>Generación total autoconsumo 27.976,2 GWh</a:t>
          </a:fld>
          <a:endParaRPr lang="en-US" sz="800" b="0" i="0" u="none" strike="noStrike" kern="1200">
            <a:solidFill>
              <a:srgbClr val="004563"/>
            </a:solidFill>
            <a:latin typeface="Arial" panose="020B0604020202020204" pitchFamily="34" charset="0"/>
            <a:ea typeface="Calibri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3</xdr:row>
      <xdr:rowOff>9525</xdr:rowOff>
    </xdr:from>
    <xdr:to>
      <xdr:col>10</xdr:col>
      <xdr:colOff>745275</xdr:colOff>
      <xdr:row>3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>
          <a:off x="190500" y="466725"/>
          <a:ext cx="7308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114300</xdr:rowOff>
    </xdr:from>
    <xdr:to>
      <xdr:col>4</xdr:col>
      <xdr:colOff>114299</xdr:colOff>
      <xdr:row>2</xdr:row>
      <xdr:rowOff>65399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A55EFE-58DA-4458-9D10-BF763A8A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120650"/>
          <a:ext cx="1841499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00024" y="495300"/>
    <xdr:ext cx="7704000" cy="9525"/>
    <xdr:sp macro="" textlink="">
      <xdr:nvSpPr>
        <xdr:cNvPr id="3" name="Line 8">
          <a:extLst>
            <a:ext uri="{FF2B5EF4-FFF2-40B4-BE49-F238E27FC236}">
              <a16:creationId xmlns:a16="http://schemas.microsoft.com/office/drawing/2014/main" id="{DD808A1B-637E-49A0-9B3F-DE1FFEC744CE}"/>
            </a:ext>
          </a:extLst>
        </xdr:cNvPr>
        <xdr:cNvSpPr>
          <a:spLocks noChangeShapeType="1"/>
        </xdr:cNvSpPr>
      </xdr:nvSpPr>
      <xdr:spPr bwMode="auto">
        <a:xfrm flipH="1" flipV="1">
          <a:off x="200024" y="495300"/>
          <a:ext cx="7704000" cy="9525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absoluteAnchor>
  <xdr:twoCellAnchor editAs="oneCell">
    <xdr:from>
      <xdr:col>2</xdr:col>
      <xdr:colOff>28575</xdr:colOff>
      <xdr:row>1</xdr:row>
      <xdr:rowOff>123825</xdr:rowOff>
    </xdr:from>
    <xdr:to>
      <xdr:col>4</xdr:col>
      <xdr:colOff>135254</xdr:colOff>
      <xdr:row>2</xdr:row>
      <xdr:rowOff>74924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067006B-9AA2-4202-99DE-36455673D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00024" y="495300"/>
    <xdr:ext cx="5580000" cy="0"/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 flipH="1">
          <a:off x="200024" y="495300"/>
          <a:ext cx="5580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absoluteAnchor>
  <xdr:twoCellAnchor editAs="oneCell">
    <xdr:from>
      <xdr:col>2</xdr:col>
      <xdr:colOff>38100</xdr:colOff>
      <xdr:row>1</xdr:row>
      <xdr:rowOff>133350</xdr:rowOff>
    </xdr:from>
    <xdr:to>
      <xdr:col>4</xdr:col>
      <xdr:colOff>133349</xdr:colOff>
      <xdr:row>2</xdr:row>
      <xdr:rowOff>87624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FF1BC4B-2F3F-49AF-BC0F-C83FAD0EC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19050</xdr:colOff>
      <xdr:row>6</xdr:row>
      <xdr:rowOff>9525</xdr:rowOff>
    </xdr:from>
    <xdr:to>
      <xdr:col>4</xdr:col>
      <xdr:colOff>3908425</xdr:colOff>
      <xdr:row>21</xdr:row>
      <xdr:rowOff>9525</xdr:rowOff>
    </xdr:to>
    <xdr:graphicFrame macro="">
      <xdr:nvGraphicFramePr>
        <xdr:cNvPr id="7" name="Graf3_and">
          <a:extLst>
            <a:ext uri="{FF2B5EF4-FFF2-40B4-BE49-F238E27FC236}">
              <a16:creationId xmlns:a16="http://schemas.microsoft.com/office/drawing/2014/main" id="{6F987AC8-21FA-423C-8FBF-B74C02D45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1508124</xdr:colOff>
      <xdr:row>10</xdr:row>
      <xdr:rowOff>130175</xdr:rowOff>
    </xdr:from>
    <xdr:to>
      <xdr:col>4</xdr:col>
      <xdr:colOff>2593973</xdr:colOff>
      <xdr:row>16</xdr:row>
      <xdr:rowOff>130175</xdr:rowOff>
    </xdr:to>
    <xdr:graphicFrame macro="">
      <xdr:nvGraphicFramePr>
        <xdr:cNvPr id="8" name="Graf3_and">
          <a:extLst>
            <a:ext uri="{FF2B5EF4-FFF2-40B4-BE49-F238E27FC236}">
              <a16:creationId xmlns:a16="http://schemas.microsoft.com/office/drawing/2014/main" id="{F3A5E5AA-0C4A-499B-8C11-64D8EC47A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23</xdr:row>
      <xdr:rowOff>0</xdr:rowOff>
    </xdr:from>
    <xdr:to>
      <xdr:col>4</xdr:col>
      <xdr:colOff>3889375</xdr:colOff>
      <xdr:row>38</xdr:row>
      <xdr:rowOff>0</xdr:rowOff>
    </xdr:to>
    <xdr:graphicFrame macro="">
      <xdr:nvGraphicFramePr>
        <xdr:cNvPr id="9" name="Graf3_and">
          <a:extLst>
            <a:ext uri="{FF2B5EF4-FFF2-40B4-BE49-F238E27FC236}">
              <a16:creationId xmlns:a16="http://schemas.microsoft.com/office/drawing/2014/main" id="{E44A95AA-1F53-4D42-B9B5-F2B706D8F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1495425</xdr:colOff>
      <xdr:row>27</xdr:row>
      <xdr:rowOff>104775</xdr:rowOff>
    </xdr:from>
    <xdr:to>
      <xdr:col>4</xdr:col>
      <xdr:colOff>2581274</xdr:colOff>
      <xdr:row>33</xdr:row>
      <xdr:rowOff>104775</xdr:rowOff>
    </xdr:to>
    <xdr:graphicFrame macro="">
      <xdr:nvGraphicFramePr>
        <xdr:cNvPr id="11" name="Graf3_and">
          <a:extLst>
            <a:ext uri="{FF2B5EF4-FFF2-40B4-BE49-F238E27FC236}">
              <a16:creationId xmlns:a16="http://schemas.microsoft.com/office/drawing/2014/main" id="{DDBC1733-BD3E-4AEA-877A-4B11C6FED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200023" y="490171"/>
    <xdr:ext cx="8705613" cy="0"/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8548079-1BF3-4B21-ABF3-3CD8492B7AFC}"/>
            </a:ext>
          </a:extLst>
        </xdr:cNvPr>
        <xdr:cNvSpPr>
          <a:spLocks noChangeShapeType="1"/>
        </xdr:cNvSpPr>
      </xdr:nvSpPr>
      <xdr:spPr bwMode="auto">
        <a:xfrm flipH="1">
          <a:off x="200023" y="490171"/>
          <a:ext cx="8705613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absoluteAnchor>
  <xdr:twoCellAnchor>
    <xdr:from>
      <xdr:col>4</xdr:col>
      <xdr:colOff>9525</xdr:colOff>
      <xdr:row>6</xdr:row>
      <xdr:rowOff>1</xdr:rowOff>
    </xdr:from>
    <xdr:to>
      <xdr:col>5</xdr:col>
      <xdr:colOff>0</xdr:colOff>
      <xdr:row>24</xdr:row>
      <xdr:rowOff>0</xdr:rowOff>
    </xdr:to>
    <xdr:graphicFrame macro="">
      <xdr:nvGraphicFramePr>
        <xdr:cNvPr id="3" name="4 Gráfico">
          <a:extLst>
            <a:ext uri="{FF2B5EF4-FFF2-40B4-BE49-F238E27FC236}">
              <a16:creationId xmlns:a16="http://schemas.microsoft.com/office/drawing/2014/main" id="{230C8224-B287-40B9-B39E-4E86D9C5E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38100</xdr:colOff>
      <xdr:row>1</xdr:row>
      <xdr:rowOff>123825</xdr:rowOff>
    </xdr:from>
    <xdr:to>
      <xdr:col>4</xdr:col>
      <xdr:colOff>137159</xdr:colOff>
      <xdr:row>2</xdr:row>
      <xdr:rowOff>74924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EC8647D-5B8C-4B96-8E73-D65022D4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200023" y="490171"/>
    <xdr:ext cx="8705613" cy="0"/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 flipH="1">
          <a:off x="200023" y="490171"/>
          <a:ext cx="8705613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absoluteAnchor>
  <xdr:twoCellAnchor>
    <xdr:from>
      <xdr:col>4</xdr:col>
      <xdr:colOff>9525</xdr:colOff>
      <xdr:row>6</xdr:row>
      <xdr:rowOff>1</xdr:rowOff>
    </xdr:from>
    <xdr:to>
      <xdr:col>5</xdr:col>
      <xdr:colOff>0</xdr:colOff>
      <xdr:row>24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38100</xdr:colOff>
      <xdr:row>1</xdr:row>
      <xdr:rowOff>123825</xdr:rowOff>
    </xdr:from>
    <xdr:to>
      <xdr:col>4</xdr:col>
      <xdr:colOff>133349</xdr:colOff>
      <xdr:row>2</xdr:row>
      <xdr:rowOff>74924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7C4B017-3165-4D21-9E84-1E7CFF5EC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200024" y="495300"/>
    <xdr:ext cx="5580000" cy="0"/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 flipH="1">
          <a:off x="200024" y="495300"/>
          <a:ext cx="5580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absoluteAnchor>
  <xdr:twoCellAnchor>
    <xdr:from>
      <xdr:col>4</xdr:col>
      <xdr:colOff>9525</xdr:colOff>
      <xdr:row>6</xdr:row>
      <xdr:rowOff>0</xdr:rowOff>
    </xdr:from>
    <xdr:to>
      <xdr:col>4</xdr:col>
      <xdr:colOff>3914775</xdr:colOff>
      <xdr:row>22</xdr:row>
      <xdr:rowOff>0</xdr:rowOff>
    </xdr:to>
    <xdr:graphicFrame macro="">
      <xdr:nvGraphicFramePr>
        <xdr:cNvPr id="4" name="Graf3_and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23</xdr:row>
      <xdr:rowOff>0</xdr:rowOff>
    </xdr:from>
    <xdr:to>
      <xdr:col>4</xdr:col>
      <xdr:colOff>3905250</xdr:colOff>
      <xdr:row>39</xdr:row>
      <xdr:rowOff>0</xdr:rowOff>
    </xdr:to>
    <xdr:graphicFrame macro="">
      <xdr:nvGraphicFramePr>
        <xdr:cNvPr id="5" name="Graf3_and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47625</xdr:colOff>
      <xdr:row>1</xdr:row>
      <xdr:rowOff>123825</xdr:rowOff>
    </xdr:from>
    <xdr:to>
      <xdr:col>4</xdr:col>
      <xdr:colOff>146049</xdr:colOff>
      <xdr:row>2</xdr:row>
      <xdr:rowOff>74924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166A40C-C5EB-40FA-A0C9-45EE1492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1514475</xdr:colOff>
      <xdr:row>11</xdr:row>
      <xdr:rowOff>38100</xdr:rowOff>
    </xdr:from>
    <xdr:to>
      <xdr:col>4</xdr:col>
      <xdr:colOff>2600324</xdr:colOff>
      <xdr:row>17</xdr:row>
      <xdr:rowOff>38100</xdr:rowOff>
    </xdr:to>
    <xdr:graphicFrame macro="">
      <xdr:nvGraphicFramePr>
        <xdr:cNvPr id="8" name="Graf3_and">
          <a:extLst>
            <a:ext uri="{FF2B5EF4-FFF2-40B4-BE49-F238E27FC236}">
              <a16:creationId xmlns:a16="http://schemas.microsoft.com/office/drawing/2014/main" id="{36795096-4057-444F-ADB0-B4F0CD9D9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1504950</xdr:colOff>
      <xdr:row>28</xdr:row>
      <xdr:rowOff>28575</xdr:rowOff>
    </xdr:from>
    <xdr:to>
      <xdr:col>4</xdr:col>
      <xdr:colOff>2590799</xdr:colOff>
      <xdr:row>34</xdr:row>
      <xdr:rowOff>28575</xdr:rowOff>
    </xdr:to>
    <xdr:graphicFrame macro="">
      <xdr:nvGraphicFramePr>
        <xdr:cNvPr id="9" name="Graf3_and">
          <a:extLst>
            <a:ext uri="{FF2B5EF4-FFF2-40B4-BE49-F238E27FC236}">
              <a16:creationId xmlns:a16="http://schemas.microsoft.com/office/drawing/2014/main" id="{128389D5-ECCB-40A0-83A3-26545E516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200023" y="495300"/>
    <xdr:ext cx="8701950" cy="0"/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 flipH="1">
          <a:off x="200023" y="495300"/>
          <a:ext cx="870195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absoluteAnchor>
  <xdr:twoCellAnchor>
    <xdr:from>
      <xdr:col>4</xdr:col>
      <xdr:colOff>9525</xdr:colOff>
      <xdr:row>6</xdr:row>
      <xdr:rowOff>9526</xdr:rowOff>
    </xdr:from>
    <xdr:to>
      <xdr:col>5</xdr:col>
      <xdr:colOff>0</xdr:colOff>
      <xdr:row>23</xdr:row>
      <xdr:rowOff>161926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28575</xdr:colOff>
      <xdr:row>1</xdr:row>
      <xdr:rowOff>123825</xdr:rowOff>
    </xdr:from>
    <xdr:to>
      <xdr:col>4</xdr:col>
      <xdr:colOff>131444</xdr:colOff>
      <xdr:row>2</xdr:row>
      <xdr:rowOff>74924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011151C-71A4-4DF0-8BA0-9FD9F1261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autoPageBreaks="0" fitToPage="1"/>
  </sheetPr>
  <dimension ref="B1:O18"/>
  <sheetViews>
    <sheetView showGridLines="0" showRowColHeaders="0" tabSelected="1" showOutlineSymbols="0" zoomScaleNormal="100" workbookViewId="0">
      <selection activeCell="E3" sqref="E3"/>
    </sheetView>
  </sheetViews>
  <sheetFormatPr baseColWidth="10" defaultColWidth="11.42578125" defaultRowHeight="12.75"/>
  <cols>
    <col min="1" max="1" width="0.140625" style="81" customWidth="1"/>
    <col min="2" max="2" width="2.5703125" style="81" customWidth="1"/>
    <col min="3" max="3" width="16.42578125" style="81" customWidth="1"/>
    <col min="4" max="4" width="4.5703125" style="81" customWidth="1"/>
    <col min="5" max="5" width="95.5703125" style="81" customWidth="1"/>
    <col min="6" max="16384" width="11.42578125" style="81"/>
  </cols>
  <sheetData>
    <row r="1" spans="2:15" ht="0.75" customHeight="1"/>
    <row r="2" spans="2:15" ht="21" customHeight="1">
      <c r="B2" s="81" t="s">
        <v>42</v>
      </c>
      <c r="C2" s="82"/>
      <c r="D2" s="82"/>
      <c r="E2" s="27" t="s">
        <v>19</v>
      </c>
    </row>
    <row r="3" spans="2:15" ht="15" customHeight="1">
      <c r="C3" s="82"/>
      <c r="D3" s="82"/>
      <c r="E3" s="43" t="str">
        <f>Dat_01!A2</f>
        <v>Julio 2026</v>
      </c>
    </row>
    <row r="4" spans="2:15" s="84" customFormat="1" ht="20.25" customHeight="1">
      <c r="B4" s="83"/>
      <c r="C4" s="25" t="s">
        <v>39</v>
      </c>
    </row>
    <row r="5" spans="2:15" s="84" customFormat="1" ht="8.25" customHeight="1">
      <c r="B5" s="83"/>
      <c r="C5" s="85"/>
    </row>
    <row r="6" spans="2:15" s="84" customFormat="1" ht="3" customHeight="1">
      <c r="B6" s="83"/>
      <c r="C6" s="85"/>
    </row>
    <row r="7" spans="2:15" s="84" customFormat="1" ht="7.5" customHeight="1">
      <c r="B7" s="83"/>
      <c r="C7" s="86"/>
      <c r="D7" s="87"/>
      <c r="E7" s="87"/>
    </row>
    <row r="8" spans="2:15" ht="12.6" customHeight="1">
      <c r="D8" s="88" t="s">
        <v>43</v>
      </c>
      <c r="E8" s="89" t="str">
        <f>'SN1'!C7</f>
        <v>Componentes de la variación de la demanda Islas Baleares</v>
      </c>
    </row>
    <row r="9" spans="2:15" s="84" customFormat="1" ht="12.6" customHeight="1">
      <c r="B9" s="83"/>
      <c r="C9" s="90"/>
      <c r="D9" s="88" t="s">
        <v>43</v>
      </c>
      <c r="E9" s="89" t="str">
        <f>'SN2'!C7</f>
        <v>Componentes de la variación de la demanda Islas Canarias</v>
      </c>
      <c r="F9" s="81"/>
      <c r="G9" s="81"/>
      <c r="H9" s="81"/>
      <c r="I9" s="81"/>
      <c r="J9" s="81"/>
      <c r="K9" s="81"/>
      <c r="L9" s="81"/>
      <c r="M9" s="81"/>
      <c r="N9" s="81"/>
      <c r="O9" s="81"/>
    </row>
    <row r="10" spans="2:15" s="84" customFormat="1" ht="12.6" customHeight="1">
      <c r="B10" s="83"/>
      <c r="C10" s="90"/>
      <c r="D10" s="88" t="s">
        <v>43</v>
      </c>
      <c r="E10" s="89" t="s">
        <v>45</v>
      </c>
      <c r="F10" s="81"/>
      <c r="G10" s="81"/>
      <c r="H10" s="81"/>
      <c r="I10" s="81"/>
      <c r="J10" s="81"/>
      <c r="K10" s="81"/>
      <c r="L10" s="81"/>
      <c r="M10" s="81"/>
      <c r="N10" s="81"/>
      <c r="O10" s="81"/>
    </row>
    <row r="11" spans="2:15" ht="12.6" customHeight="1">
      <c r="D11" s="88" t="s">
        <v>43</v>
      </c>
      <c r="E11" s="89" t="str">
        <f>'SN4'!C7</f>
        <v>Estructura de potencia instalada de generación Islas Baleares</v>
      </c>
    </row>
    <row r="12" spans="2:15" ht="12.6" customHeight="1">
      <c r="D12" s="88" t="s">
        <v>43</v>
      </c>
      <c r="E12" s="89" t="str">
        <f>'SN4'!C24</f>
        <v>Estructura de generación mensual Islas Baleares</v>
      </c>
    </row>
    <row r="13" spans="2:15" ht="12.6" customHeight="1">
      <c r="D13" s="88" t="s">
        <v>43</v>
      </c>
      <c r="E13" s="89" t="str">
        <f>'SN5 FUEL GAS'!C7</f>
        <v xml:space="preserve">Evolución de la estructura de generación de las Islas Baleares
</v>
      </c>
    </row>
    <row r="14" spans="2:15" ht="12.6" customHeight="1">
      <c r="D14" s="88" t="s">
        <v>43</v>
      </c>
      <c r="E14" s="89" t="str">
        <f>'SN6'!C7</f>
        <v>Estructura de potencia instalada de generación Islas Canarias</v>
      </c>
    </row>
    <row r="15" spans="2:15" ht="12.6" customHeight="1">
      <c r="D15" s="88" t="s">
        <v>43</v>
      </c>
      <c r="E15" s="89" t="str">
        <f>'SN6'!C24</f>
        <v>Estructura de generación mensual Islas Canarias</v>
      </c>
    </row>
    <row r="16" spans="2:15" ht="12.75" customHeight="1">
      <c r="D16" s="88" t="s">
        <v>43</v>
      </c>
      <c r="E16" s="89" t="str">
        <f>'SN7'!C7</f>
        <v xml:space="preserve">Evolución de la estructura de generación de las Islas Canarias
</v>
      </c>
    </row>
    <row r="17" spans="2:5" s="84" customFormat="1" ht="7.5" customHeight="1">
      <c r="B17" s="83"/>
      <c r="C17" s="86"/>
      <c r="D17" s="87"/>
      <c r="E17" s="87"/>
    </row>
    <row r="18" spans="2:5" ht="12.75" customHeight="1"/>
  </sheetData>
  <hyperlinks>
    <hyperlink ref="E10" location="'SN3'!A1" display="'SN3'!A1" xr:uid="{00000000-0004-0000-0000-000000000000}"/>
    <hyperlink ref="E13" location="'SN5'!A1" display="'SN5'!A1" xr:uid="{00000000-0004-0000-0000-000001000000}"/>
    <hyperlink ref="E11" location="'SN4'!A1" display="'SN4'!A1" xr:uid="{00000000-0004-0000-0000-000002000000}"/>
    <hyperlink ref="E9" location="'SN2'!A1" display="'SN2'!A1" xr:uid="{00000000-0004-0000-0000-000003000000}"/>
    <hyperlink ref="E8" location="'SN1'!A1" display="'SN1'!A1" xr:uid="{00000000-0004-0000-0000-000004000000}"/>
    <hyperlink ref="E16" location="'SN7 A'!A1" display="'SN7 A'!A1" xr:uid="{00000000-0004-0000-0000-000005000000}"/>
    <hyperlink ref="E12" location="'SN4'!A1" display="'SN4'!A1" xr:uid="{00000000-0004-0000-0000-000006000000}"/>
    <hyperlink ref="E14" location="'SN6'!A1" display="'SN6'!A1" xr:uid="{00000000-0004-0000-0000-000007000000}"/>
    <hyperlink ref="E15" location="'SN6'!A1" display="'SN6'!A1" xr:uid="{00000000-0004-0000-0000-000008000000}"/>
  </hyperlinks>
  <printOptions horizontalCentered="1" verticalCentered="1"/>
  <pageMargins left="0.39370078740157483" right="0.78740157480314965" top="0.39370078740157483" bottom="0.98425196850393704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8B9B1-B8B6-4809-BDB4-4BCAA12D470B}">
  <sheetPr codeName="Hoja13"/>
  <dimension ref="A1:T45"/>
  <sheetViews>
    <sheetView showGridLines="0" showRowColHeaders="0" zoomScaleNormal="100" workbookViewId="0">
      <selection activeCell="E34" sqref="E34"/>
    </sheetView>
  </sheetViews>
  <sheetFormatPr baseColWidth="10" defaultRowHeight="15"/>
  <cols>
    <col min="1" max="1" width="0.140625" style="47" customWidth="1"/>
    <col min="2" max="2" width="2.5703125" style="47" customWidth="1"/>
    <col min="3" max="3" width="23.5703125" style="47" customWidth="1"/>
    <col min="4" max="4" width="1.42578125" style="47" customWidth="1"/>
    <col min="5" max="5" width="105.5703125" style="47" customWidth="1"/>
    <col min="6" max="6" width="10.5703125" style="47" customWidth="1"/>
    <col min="7" max="7" width="21" style="47" bestFit="1" customWidth="1"/>
    <col min="8" max="244" width="11.42578125" style="47"/>
    <col min="245" max="245" width="0.140625" style="47" customWidth="1"/>
    <col min="246" max="246" width="2.5703125" style="47" customWidth="1"/>
    <col min="247" max="247" width="18.5703125" style="47" customWidth="1"/>
    <col min="248" max="248" width="1.42578125" style="47" customWidth="1"/>
    <col min="249" max="249" width="30.5703125" style="47" customWidth="1"/>
    <col min="250" max="254" width="10.5703125" style="47" customWidth="1"/>
    <col min="255" max="500" width="11.42578125" style="47"/>
    <col min="501" max="501" width="0.140625" style="47" customWidth="1"/>
    <col min="502" max="502" width="2.5703125" style="47" customWidth="1"/>
    <col min="503" max="503" width="18.5703125" style="47" customWidth="1"/>
    <col min="504" max="504" width="1.42578125" style="47" customWidth="1"/>
    <col min="505" max="505" width="30.5703125" style="47" customWidth="1"/>
    <col min="506" max="510" width="10.5703125" style="47" customWidth="1"/>
    <col min="511" max="756" width="11.42578125" style="47"/>
    <col min="757" max="757" width="0.140625" style="47" customWidth="1"/>
    <col min="758" max="758" width="2.5703125" style="47" customWidth="1"/>
    <col min="759" max="759" width="18.5703125" style="47" customWidth="1"/>
    <col min="760" max="760" width="1.42578125" style="47" customWidth="1"/>
    <col min="761" max="761" width="30.5703125" style="47" customWidth="1"/>
    <col min="762" max="766" width="10.5703125" style="47" customWidth="1"/>
    <col min="767" max="1012" width="11.42578125" style="47"/>
    <col min="1013" max="1013" width="0.140625" style="47" customWidth="1"/>
    <col min="1014" max="1014" width="2.5703125" style="47" customWidth="1"/>
    <col min="1015" max="1015" width="18.5703125" style="47" customWidth="1"/>
    <col min="1016" max="1016" width="1.42578125" style="47" customWidth="1"/>
    <col min="1017" max="1017" width="30.5703125" style="47" customWidth="1"/>
    <col min="1018" max="1022" width="10.5703125" style="47" customWidth="1"/>
    <col min="1023" max="1268" width="11.42578125" style="47"/>
    <col min="1269" max="1269" width="0.140625" style="47" customWidth="1"/>
    <col min="1270" max="1270" width="2.5703125" style="47" customWidth="1"/>
    <col min="1271" max="1271" width="18.5703125" style="47" customWidth="1"/>
    <col min="1272" max="1272" width="1.42578125" style="47" customWidth="1"/>
    <col min="1273" max="1273" width="30.5703125" style="47" customWidth="1"/>
    <col min="1274" max="1278" width="10.5703125" style="47" customWidth="1"/>
    <col min="1279" max="1524" width="11.42578125" style="47"/>
    <col min="1525" max="1525" width="0.140625" style="47" customWidth="1"/>
    <col min="1526" max="1526" width="2.5703125" style="47" customWidth="1"/>
    <col min="1527" max="1527" width="18.5703125" style="47" customWidth="1"/>
    <col min="1528" max="1528" width="1.42578125" style="47" customWidth="1"/>
    <col min="1529" max="1529" width="30.5703125" style="47" customWidth="1"/>
    <col min="1530" max="1534" width="10.5703125" style="47" customWidth="1"/>
    <col min="1535" max="1780" width="11.42578125" style="47"/>
    <col min="1781" max="1781" width="0.140625" style="47" customWidth="1"/>
    <col min="1782" max="1782" width="2.5703125" style="47" customWidth="1"/>
    <col min="1783" max="1783" width="18.5703125" style="47" customWidth="1"/>
    <col min="1784" max="1784" width="1.42578125" style="47" customWidth="1"/>
    <col min="1785" max="1785" width="30.5703125" style="47" customWidth="1"/>
    <col min="1786" max="1790" width="10.5703125" style="47" customWidth="1"/>
    <col min="1791" max="2036" width="11.42578125" style="47"/>
    <col min="2037" max="2037" width="0.140625" style="47" customWidth="1"/>
    <col min="2038" max="2038" width="2.5703125" style="47" customWidth="1"/>
    <col min="2039" max="2039" width="18.5703125" style="47" customWidth="1"/>
    <col min="2040" max="2040" width="1.42578125" style="47" customWidth="1"/>
    <col min="2041" max="2041" width="30.5703125" style="47" customWidth="1"/>
    <col min="2042" max="2046" width="10.5703125" style="47" customWidth="1"/>
    <col min="2047" max="2292" width="11.42578125" style="47"/>
    <col min="2293" max="2293" width="0.140625" style="47" customWidth="1"/>
    <col min="2294" max="2294" width="2.5703125" style="47" customWidth="1"/>
    <col min="2295" max="2295" width="18.5703125" style="47" customWidth="1"/>
    <col min="2296" max="2296" width="1.42578125" style="47" customWidth="1"/>
    <col min="2297" max="2297" width="30.5703125" style="47" customWidth="1"/>
    <col min="2298" max="2302" width="10.5703125" style="47" customWidth="1"/>
    <col min="2303" max="2548" width="11.42578125" style="47"/>
    <col min="2549" max="2549" width="0.140625" style="47" customWidth="1"/>
    <col min="2550" max="2550" width="2.5703125" style="47" customWidth="1"/>
    <col min="2551" max="2551" width="18.5703125" style="47" customWidth="1"/>
    <col min="2552" max="2552" width="1.42578125" style="47" customWidth="1"/>
    <col min="2553" max="2553" width="30.5703125" style="47" customWidth="1"/>
    <col min="2554" max="2558" width="10.5703125" style="47" customWidth="1"/>
    <col min="2559" max="2804" width="11.42578125" style="47"/>
    <col min="2805" max="2805" width="0.140625" style="47" customWidth="1"/>
    <col min="2806" max="2806" width="2.5703125" style="47" customWidth="1"/>
    <col min="2807" max="2807" width="18.5703125" style="47" customWidth="1"/>
    <col min="2808" max="2808" width="1.42578125" style="47" customWidth="1"/>
    <col min="2809" max="2809" width="30.5703125" style="47" customWidth="1"/>
    <col min="2810" max="2814" width="10.5703125" style="47" customWidth="1"/>
    <col min="2815" max="3060" width="11.42578125" style="47"/>
    <col min="3061" max="3061" width="0.140625" style="47" customWidth="1"/>
    <col min="3062" max="3062" width="2.5703125" style="47" customWidth="1"/>
    <col min="3063" max="3063" width="18.5703125" style="47" customWidth="1"/>
    <col min="3064" max="3064" width="1.42578125" style="47" customWidth="1"/>
    <col min="3065" max="3065" width="30.5703125" style="47" customWidth="1"/>
    <col min="3066" max="3070" width="10.5703125" style="47" customWidth="1"/>
    <col min="3071" max="3316" width="11.42578125" style="47"/>
    <col min="3317" max="3317" width="0.140625" style="47" customWidth="1"/>
    <col min="3318" max="3318" width="2.5703125" style="47" customWidth="1"/>
    <col min="3319" max="3319" width="18.5703125" style="47" customWidth="1"/>
    <col min="3320" max="3320" width="1.42578125" style="47" customWidth="1"/>
    <col min="3321" max="3321" width="30.5703125" style="47" customWidth="1"/>
    <col min="3322" max="3326" width="10.5703125" style="47" customWidth="1"/>
    <col min="3327" max="3572" width="11.42578125" style="47"/>
    <col min="3573" max="3573" width="0.140625" style="47" customWidth="1"/>
    <col min="3574" max="3574" width="2.5703125" style="47" customWidth="1"/>
    <col min="3575" max="3575" width="18.5703125" style="47" customWidth="1"/>
    <col min="3576" max="3576" width="1.42578125" style="47" customWidth="1"/>
    <col min="3577" max="3577" width="30.5703125" style="47" customWidth="1"/>
    <col min="3578" max="3582" width="10.5703125" style="47" customWidth="1"/>
    <col min="3583" max="3828" width="11.42578125" style="47"/>
    <col min="3829" max="3829" width="0.140625" style="47" customWidth="1"/>
    <col min="3830" max="3830" width="2.5703125" style="47" customWidth="1"/>
    <col min="3831" max="3831" width="18.5703125" style="47" customWidth="1"/>
    <col min="3832" max="3832" width="1.42578125" style="47" customWidth="1"/>
    <col min="3833" max="3833" width="30.5703125" style="47" customWidth="1"/>
    <col min="3834" max="3838" width="10.5703125" style="47" customWidth="1"/>
    <col min="3839" max="4084" width="11.42578125" style="47"/>
    <col min="4085" max="4085" width="0.140625" style="47" customWidth="1"/>
    <col min="4086" max="4086" width="2.5703125" style="47" customWidth="1"/>
    <col min="4087" max="4087" width="18.5703125" style="47" customWidth="1"/>
    <col min="4088" max="4088" width="1.42578125" style="47" customWidth="1"/>
    <col min="4089" max="4089" width="30.5703125" style="47" customWidth="1"/>
    <col min="4090" max="4094" width="10.5703125" style="47" customWidth="1"/>
    <col min="4095" max="4340" width="11.42578125" style="47"/>
    <col min="4341" max="4341" width="0.140625" style="47" customWidth="1"/>
    <col min="4342" max="4342" width="2.5703125" style="47" customWidth="1"/>
    <col min="4343" max="4343" width="18.5703125" style="47" customWidth="1"/>
    <col min="4344" max="4344" width="1.42578125" style="47" customWidth="1"/>
    <col min="4345" max="4345" width="30.5703125" style="47" customWidth="1"/>
    <col min="4346" max="4350" width="10.5703125" style="47" customWidth="1"/>
    <col min="4351" max="4596" width="11.42578125" style="47"/>
    <col min="4597" max="4597" width="0.140625" style="47" customWidth="1"/>
    <col min="4598" max="4598" width="2.5703125" style="47" customWidth="1"/>
    <col min="4599" max="4599" width="18.5703125" style="47" customWidth="1"/>
    <col min="4600" max="4600" width="1.42578125" style="47" customWidth="1"/>
    <col min="4601" max="4601" width="30.5703125" style="47" customWidth="1"/>
    <col min="4602" max="4606" width="10.5703125" style="47" customWidth="1"/>
    <col min="4607" max="4852" width="11.42578125" style="47"/>
    <col min="4853" max="4853" width="0.140625" style="47" customWidth="1"/>
    <col min="4854" max="4854" width="2.5703125" style="47" customWidth="1"/>
    <col min="4855" max="4855" width="18.5703125" style="47" customWidth="1"/>
    <col min="4856" max="4856" width="1.42578125" style="47" customWidth="1"/>
    <col min="4857" max="4857" width="30.5703125" style="47" customWidth="1"/>
    <col min="4858" max="4862" width="10.5703125" style="47" customWidth="1"/>
    <col min="4863" max="5108" width="11.42578125" style="47"/>
    <col min="5109" max="5109" width="0.140625" style="47" customWidth="1"/>
    <col min="5110" max="5110" width="2.5703125" style="47" customWidth="1"/>
    <col min="5111" max="5111" width="18.5703125" style="47" customWidth="1"/>
    <col min="5112" max="5112" width="1.42578125" style="47" customWidth="1"/>
    <col min="5113" max="5113" width="30.5703125" style="47" customWidth="1"/>
    <col min="5114" max="5118" width="10.5703125" style="47" customWidth="1"/>
    <col min="5119" max="5364" width="11.42578125" style="47"/>
    <col min="5365" max="5365" width="0.140625" style="47" customWidth="1"/>
    <col min="5366" max="5366" width="2.5703125" style="47" customWidth="1"/>
    <col min="5367" max="5367" width="18.5703125" style="47" customWidth="1"/>
    <col min="5368" max="5368" width="1.42578125" style="47" customWidth="1"/>
    <col min="5369" max="5369" width="30.5703125" style="47" customWidth="1"/>
    <col min="5370" max="5374" width="10.5703125" style="47" customWidth="1"/>
    <col min="5375" max="5620" width="11.42578125" style="47"/>
    <col min="5621" max="5621" width="0.140625" style="47" customWidth="1"/>
    <col min="5622" max="5622" width="2.5703125" style="47" customWidth="1"/>
    <col min="5623" max="5623" width="18.5703125" style="47" customWidth="1"/>
    <col min="5624" max="5624" width="1.42578125" style="47" customWidth="1"/>
    <col min="5625" max="5625" width="30.5703125" style="47" customWidth="1"/>
    <col min="5626" max="5630" width="10.5703125" style="47" customWidth="1"/>
    <col min="5631" max="5876" width="11.42578125" style="47"/>
    <col min="5877" max="5877" width="0.140625" style="47" customWidth="1"/>
    <col min="5878" max="5878" width="2.5703125" style="47" customWidth="1"/>
    <col min="5879" max="5879" width="18.5703125" style="47" customWidth="1"/>
    <col min="5880" max="5880" width="1.42578125" style="47" customWidth="1"/>
    <col min="5881" max="5881" width="30.5703125" style="47" customWidth="1"/>
    <col min="5882" max="5886" width="10.5703125" style="47" customWidth="1"/>
    <col min="5887" max="6132" width="11.42578125" style="47"/>
    <col min="6133" max="6133" width="0.140625" style="47" customWidth="1"/>
    <col min="6134" max="6134" width="2.5703125" style="47" customWidth="1"/>
    <col min="6135" max="6135" width="18.5703125" style="47" customWidth="1"/>
    <col min="6136" max="6136" width="1.42578125" style="47" customWidth="1"/>
    <col min="6137" max="6137" width="30.5703125" style="47" customWidth="1"/>
    <col min="6138" max="6142" width="10.5703125" style="47" customWidth="1"/>
    <col min="6143" max="6388" width="11.42578125" style="47"/>
    <col min="6389" max="6389" width="0.140625" style="47" customWidth="1"/>
    <col min="6390" max="6390" width="2.5703125" style="47" customWidth="1"/>
    <col min="6391" max="6391" width="18.5703125" style="47" customWidth="1"/>
    <col min="6392" max="6392" width="1.42578125" style="47" customWidth="1"/>
    <col min="6393" max="6393" width="30.5703125" style="47" customWidth="1"/>
    <col min="6394" max="6398" width="10.5703125" style="47" customWidth="1"/>
    <col min="6399" max="6644" width="11.42578125" style="47"/>
    <col min="6645" max="6645" width="0.140625" style="47" customWidth="1"/>
    <col min="6646" max="6646" width="2.5703125" style="47" customWidth="1"/>
    <col min="6647" max="6647" width="18.5703125" style="47" customWidth="1"/>
    <col min="6648" max="6648" width="1.42578125" style="47" customWidth="1"/>
    <col min="6649" max="6649" width="30.5703125" style="47" customWidth="1"/>
    <col min="6650" max="6654" width="10.5703125" style="47" customWidth="1"/>
    <col min="6655" max="6900" width="11.42578125" style="47"/>
    <col min="6901" max="6901" width="0.140625" style="47" customWidth="1"/>
    <col min="6902" max="6902" width="2.5703125" style="47" customWidth="1"/>
    <col min="6903" max="6903" width="18.5703125" style="47" customWidth="1"/>
    <col min="6904" max="6904" width="1.42578125" style="47" customWidth="1"/>
    <col min="6905" max="6905" width="30.5703125" style="47" customWidth="1"/>
    <col min="6906" max="6910" width="10.5703125" style="47" customWidth="1"/>
    <col min="6911" max="7156" width="11.42578125" style="47"/>
    <col min="7157" max="7157" width="0.140625" style="47" customWidth="1"/>
    <col min="7158" max="7158" width="2.5703125" style="47" customWidth="1"/>
    <col min="7159" max="7159" width="18.5703125" style="47" customWidth="1"/>
    <col min="7160" max="7160" width="1.42578125" style="47" customWidth="1"/>
    <col min="7161" max="7161" width="30.5703125" style="47" customWidth="1"/>
    <col min="7162" max="7166" width="10.5703125" style="47" customWidth="1"/>
    <col min="7167" max="7412" width="11.42578125" style="47"/>
    <col min="7413" max="7413" width="0.140625" style="47" customWidth="1"/>
    <col min="7414" max="7414" width="2.5703125" style="47" customWidth="1"/>
    <col min="7415" max="7415" width="18.5703125" style="47" customWidth="1"/>
    <col min="7416" max="7416" width="1.42578125" style="47" customWidth="1"/>
    <col min="7417" max="7417" width="30.5703125" style="47" customWidth="1"/>
    <col min="7418" max="7422" width="10.5703125" style="47" customWidth="1"/>
    <col min="7423" max="7668" width="11.42578125" style="47"/>
    <col min="7669" max="7669" width="0.140625" style="47" customWidth="1"/>
    <col min="7670" max="7670" width="2.5703125" style="47" customWidth="1"/>
    <col min="7671" max="7671" width="18.5703125" style="47" customWidth="1"/>
    <col min="7672" max="7672" width="1.42578125" style="47" customWidth="1"/>
    <col min="7673" max="7673" width="30.5703125" style="47" customWidth="1"/>
    <col min="7674" max="7678" width="10.5703125" style="47" customWidth="1"/>
    <col min="7679" max="7924" width="11.42578125" style="47"/>
    <col min="7925" max="7925" width="0.140625" style="47" customWidth="1"/>
    <col min="7926" max="7926" width="2.5703125" style="47" customWidth="1"/>
    <col min="7927" max="7927" width="18.5703125" style="47" customWidth="1"/>
    <col min="7928" max="7928" width="1.42578125" style="47" customWidth="1"/>
    <col min="7929" max="7929" width="30.5703125" style="47" customWidth="1"/>
    <col min="7930" max="7934" width="10.5703125" style="47" customWidth="1"/>
    <col min="7935" max="8180" width="11.42578125" style="47"/>
    <col min="8181" max="8181" width="0.140625" style="47" customWidth="1"/>
    <col min="8182" max="8182" width="2.5703125" style="47" customWidth="1"/>
    <col min="8183" max="8183" width="18.5703125" style="47" customWidth="1"/>
    <col min="8184" max="8184" width="1.42578125" style="47" customWidth="1"/>
    <col min="8185" max="8185" width="30.5703125" style="47" customWidth="1"/>
    <col min="8186" max="8190" width="10.5703125" style="47" customWidth="1"/>
    <col min="8191" max="8436" width="11.42578125" style="47"/>
    <col min="8437" max="8437" width="0.140625" style="47" customWidth="1"/>
    <col min="8438" max="8438" width="2.5703125" style="47" customWidth="1"/>
    <col min="8439" max="8439" width="18.5703125" style="47" customWidth="1"/>
    <col min="8440" max="8440" width="1.42578125" style="47" customWidth="1"/>
    <col min="8441" max="8441" width="30.5703125" style="47" customWidth="1"/>
    <col min="8442" max="8446" width="10.5703125" style="47" customWidth="1"/>
    <col min="8447" max="8692" width="11.42578125" style="47"/>
    <col min="8693" max="8693" width="0.140625" style="47" customWidth="1"/>
    <col min="8694" max="8694" width="2.5703125" style="47" customWidth="1"/>
    <col min="8695" max="8695" width="18.5703125" style="47" customWidth="1"/>
    <col min="8696" max="8696" width="1.42578125" style="47" customWidth="1"/>
    <col min="8697" max="8697" width="30.5703125" style="47" customWidth="1"/>
    <col min="8698" max="8702" width="10.5703125" style="47" customWidth="1"/>
    <col min="8703" max="8948" width="11.42578125" style="47"/>
    <col min="8949" max="8949" width="0.140625" style="47" customWidth="1"/>
    <col min="8950" max="8950" width="2.5703125" style="47" customWidth="1"/>
    <col min="8951" max="8951" width="18.5703125" style="47" customWidth="1"/>
    <col min="8952" max="8952" width="1.42578125" style="47" customWidth="1"/>
    <col min="8953" max="8953" width="30.5703125" style="47" customWidth="1"/>
    <col min="8954" max="8958" width="10.5703125" style="47" customWidth="1"/>
    <col min="8959" max="9204" width="11.42578125" style="47"/>
    <col min="9205" max="9205" width="0.140625" style="47" customWidth="1"/>
    <col min="9206" max="9206" width="2.5703125" style="47" customWidth="1"/>
    <col min="9207" max="9207" width="18.5703125" style="47" customWidth="1"/>
    <col min="9208" max="9208" width="1.42578125" style="47" customWidth="1"/>
    <col min="9209" max="9209" width="30.5703125" style="47" customWidth="1"/>
    <col min="9210" max="9214" width="10.5703125" style="47" customWidth="1"/>
    <col min="9215" max="9460" width="11.42578125" style="47"/>
    <col min="9461" max="9461" width="0.140625" style="47" customWidth="1"/>
    <col min="9462" max="9462" width="2.5703125" style="47" customWidth="1"/>
    <col min="9463" max="9463" width="18.5703125" style="47" customWidth="1"/>
    <col min="9464" max="9464" width="1.42578125" style="47" customWidth="1"/>
    <col min="9465" max="9465" width="30.5703125" style="47" customWidth="1"/>
    <col min="9466" max="9470" width="10.5703125" style="47" customWidth="1"/>
    <col min="9471" max="9716" width="11.42578125" style="47"/>
    <col min="9717" max="9717" width="0.140625" style="47" customWidth="1"/>
    <col min="9718" max="9718" width="2.5703125" style="47" customWidth="1"/>
    <col min="9719" max="9719" width="18.5703125" style="47" customWidth="1"/>
    <col min="9720" max="9720" width="1.42578125" style="47" customWidth="1"/>
    <col min="9721" max="9721" width="30.5703125" style="47" customWidth="1"/>
    <col min="9722" max="9726" width="10.5703125" style="47" customWidth="1"/>
    <col min="9727" max="9972" width="11.42578125" style="47"/>
    <col min="9973" max="9973" width="0.140625" style="47" customWidth="1"/>
    <col min="9974" max="9974" width="2.5703125" style="47" customWidth="1"/>
    <col min="9975" max="9975" width="18.5703125" style="47" customWidth="1"/>
    <col min="9976" max="9976" width="1.42578125" style="47" customWidth="1"/>
    <col min="9977" max="9977" width="30.5703125" style="47" customWidth="1"/>
    <col min="9978" max="9982" width="10.5703125" style="47" customWidth="1"/>
    <col min="9983" max="10228" width="11.42578125" style="47"/>
    <col min="10229" max="10229" width="0.140625" style="47" customWidth="1"/>
    <col min="10230" max="10230" width="2.5703125" style="47" customWidth="1"/>
    <col min="10231" max="10231" width="18.5703125" style="47" customWidth="1"/>
    <col min="10232" max="10232" width="1.42578125" style="47" customWidth="1"/>
    <col min="10233" max="10233" width="30.5703125" style="47" customWidth="1"/>
    <col min="10234" max="10238" width="10.5703125" style="47" customWidth="1"/>
    <col min="10239" max="10484" width="11.42578125" style="47"/>
    <col min="10485" max="10485" width="0.140625" style="47" customWidth="1"/>
    <col min="10486" max="10486" width="2.5703125" style="47" customWidth="1"/>
    <col min="10487" max="10487" width="18.5703125" style="47" customWidth="1"/>
    <col min="10488" max="10488" width="1.42578125" style="47" customWidth="1"/>
    <col min="10489" max="10489" width="30.5703125" style="47" customWidth="1"/>
    <col min="10490" max="10494" width="10.5703125" style="47" customWidth="1"/>
    <col min="10495" max="10740" width="11.42578125" style="47"/>
    <col min="10741" max="10741" width="0.140625" style="47" customWidth="1"/>
    <col min="10742" max="10742" width="2.5703125" style="47" customWidth="1"/>
    <col min="10743" max="10743" width="18.5703125" style="47" customWidth="1"/>
    <col min="10744" max="10744" width="1.42578125" style="47" customWidth="1"/>
    <col min="10745" max="10745" width="30.5703125" style="47" customWidth="1"/>
    <col min="10746" max="10750" width="10.5703125" style="47" customWidth="1"/>
    <col min="10751" max="10996" width="11.42578125" style="47"/>
    <col min="10997" max="10997" width="0.140625" style="47" customWidth="1"/>
    <col min="10998" max="10998" width="2.5703125" style="47" customWidth="1"/>
    <col min="10999" max="10999" width="18.5703125" style="47" customWidth="1"/>
    <col min="11000" max="11000" width="1.42578125" style="47" customWidth="1"/>
    <col min="11001" max="11001" width="30.5703125" style="47" customWidth="1"/>
    <col min="11002" max="11006" width="10.5703125" style="47" customWidth="1"/>
    <col min="11007" max="11252" width="11.42578125" style="47"/>
    <col min="11253" max="11253" width="0.140625" style="47" customWidth="1"/>
    <col min="11254" max="11254" width="2.5703125" style="47" customWidth="1"/>
    <col min="11255" max="11255" width="18.5703125" style="47" customWidth="1"/>
    <col min="11256" max="11256" width="1.42578125" style="47" customWidth="1"/>
    <col min="11257" max="11257" width="30.5703125" style="47" customWidth="1"/>
    <col min="11258" max="11262" width="10.5703125" style="47" customWidth="1"/>
    <col min="11263" max="11508" width="11.42578125" style="47"/>
    <col min="11509" max="11509" width="0.140625" style="47" customWidth="1"/>
    <col min="11510" max="11510" width="2.5703125" style="47" customWidth="1"/>
    <col min="11511" max="11511" width="18.5703125" style="47" customWidth="1"/>
    <col min="11512" max="11512" width="1.42578125" style="47" customWidth="1"/>
    <col min="11513" max="11513" width="30.5703125" style="47" customWidth="1"/>
    <col min="11514" max="11518" width="10.5703125" style="47" customWidth="1"/>
    <col min="11519" max="11764" width="11.42578125" style="47"/>
    <col min="11765" max="11765" width="0.140625" style="47" customWidth="1"/>
    <col min="11766" max="11766" width="2.5703125" style="47" customWidth="1"/>
    <col min="11767" max="11767" width="18.5703125" style="47" customWidth="1"/>
    <col min="11768" max="11768" width="1.42578125" style="47" customWidth="1"/>
    <col min="11769" max="11769" width="30.5703125" style="47" customWidth="1"/>
    <col min="11770" max="11774" width="10.5703125" style="47" customWidth="1"/>
    <col min="11775" max="12020" width="11.42578125" style="47"/>
    <col min="12021" max="12021" width="0.140625" style="47" customWidth="1"/>
    <col min="12022" max="12022" width="2.5703125" style="47" customWidth="1"/>
    <col min="12023" max="12023" width="18.5703125" style="47" customWidth="1"/>
    <col min="12024" max="12024" width="1.42578125" style="47" customWidth="1"/>
    <col min="12025" max="12025" width="30.5703125" style="47" customWidth="1"/>
    <col min="12026" max="12030" width="10.5703125" style="47" customWidth="1"/>
    <col min="12031" max="12276" width="11.42578125" style="47"/>
    <col min="12277" max="12277" width="0.140625" style="47" customWidth="1"/>
    <col min="12278" max="12278" width="2.5703125" style="47" customWidth="1"/>
    <col min="12279" max="12279" width="18.5703125" style="47" customWidth="1"/>
    <col min="12280" max="12280" width="1.42578125" style="47" customWidth="1"/>
    <col min="12281" max="12281" width="30.5703125" style="47" customWidth="1"/>
    <col min="12282" max="12286" width="10.5703125" style="47" customWidth="1"/>
    <col min="12287" max="12532" width="11.42578125" style="47"/>
    <col min="12533" max="12533" width="0.140625" style="47" customWidth="1"/>
    <col min="12534" max="12534" width="2.5703125" style="47" customWidth="1"/>
    <col min="12535" max="12535" width="18.5703125" style="47" customWidth="1"/>
    <col min="12536" max="12536" width="1.42578125" style="47" customWidth="1"/>
    <col min="12537" max="12537" width="30.5703125" style="47" customWidth="1"/>
    <col min="12538" max="12542" width="10.5703125" style="47" customWidth="1"/>
    <col min="12543" max="12788" width="11.42578125" style="47"/>
    <col min="12789" max="12789" width="0.140625" style="47" customWidth="1"/>
    <col min="12790" max="12790" width="2.5703125" style="47" customWidth="1"/>
    <col min="12791" max="12791" width="18.5703125" style="47" customWidth="1"/>
    <col min="12792" max="12792" width="1.42578125" style="47" customWidth="1"/>
    <col min="12793" max="12793" width="30.5703125" style="47" customWidth="1"/>
    <col min="12794" max="12798" width="10.5703125" style="47" customWidth="1"/>
    <col min="12799" max="13044" width="11.42578125" style="47"/>
    <col min="13045" max="13045" width="0.140625" style="47" customWidth="1"/>
    <col min="13046" max="13046" width="2.5703125" style="47" customWidth="1"/>
    <col min="13047" max="13047" width="18.5703125" style="47" customWidth="1"/>
    <col min="13048" max="13048" width="1.42578125" style="47" customWidth="1"/>
    <col min="13049" max="13049" width="30.5703125" style="47" customWidth="1"/>
    <col min="13050" max="13054" width="10.5703125" style="47" customWidth="1"/>
    <col min="13055" max="13300" width="11.42578125" style="47"/>
    <col min="13301" max="13301" width="0.140625" style="47" customWidth="1"/>
    <col min="13302" max="13302" width="2.5703125" style="47" customWidth="1"/>
    <col min="13303" max="13303" width="18.5703125" style="47" customWidth="1"/>
    <col min="13304" max="13304" width="1.42578125" style="47" customWidth="1"/>
    <col min="13305" max="13305" width="30.5703125" style="47" customWidth="1"/>
    <col min="13306" max="13310" width="10.5703125" style="47" customWidth="1"/>
    <col min="13311" max="13556" width="11.42578125" style="47"/>
    <col min="13557" max="13557" width="0.140625" style="47" customWidth="1"/>
    <col min="13558" max="13558" width="2.5703125" style="47" customWidth="1"/>
    <col min="13559" max="13559" width="18.5703125" style="47" customWidth="1"/>
    <col min="13560" max="13560" width="1.42578125" style="47" customWidth="1"/>
    <col min="13561" max="13561" width="30.5703125" style="47" customWidth="1"/>
    <col min="13562" max="13566" width="10.5703125" style="47" customWidth="1"/>
    <col min="13567" max="13812" width="11.42578125" style="47"/>
    <col min="13813" max="13813" width="0.140625" style="47" customWidth="1"/>
    <col min="13814" max="13814" width="2.5703125" style="47" customWidth="1"/>
    <col min="13815" max="13815" width="18.5703125" style="47" customWidth="1"/>
    <col min="13816" max="13816" width="1.42578125" style="47" customWidth="1"/>
    <col min="13817" max="13817" width="30.5703125" style="47" customWidth="1"/>
    <col min="13818" max="13822" width="10.5703125" style="47" customWidth="1"/>
    <col min="13823" max="14068" width="11.42578125" style="47"/>
    <col min="14069" max="14069" width="0.140625" style="47" customWidth="1"/>
    <col min="14070" max="14070" width="2.5703125" style="47" customWidth="1"/>
    <col min="14071" max="14071" width="18.5703125" style="47" customWidth="1"/>
    <col min="14072" max="14072" width="1.42578125" style="47" customWidth="1"/>
    <col min="14073" max="14073" width="30.5703125" style="47" customWidth="1"/>
    <col min="14074" max="14078" width="10.5703125" style="47" customWidth="1"/>
    <col min="14079" max="14324" width="11.42578125" style="47"/>
    <col min="14325" max="14325" width="0.140625" style="47" customWidth="1"/>
    <col min="14326" max="14326" width="2.5703125" style="47" customWidth="1"/>
    <col min="14327" max="14327" width="18.5703125" style="47" customWidth="1"/>
    <col min="14328" max="14328" width="1.42578125" style="47" customWidth="1"/>
    <col min="14329" max="14329" width="30.5703125" style="47" customWidth="1"/>
    <col min="14330" max="14334" width="10.5703125" style="47" customWidth="1"/>
    <col min="14335" max="14580" width="11.42578125" style="47"/>
    <col min="14581" max="14581" width="0.140625" style="47" customWidth="1"/>
    <col min="14582" max="14582" width="2.5703125" style="47" customWidth="1"/>
    <col min="14583" max="14583" width="18.5703125" style="47" customWidth="1"/>
    <col min="14584" max="14584" width="1.42578125" style="47" customWidth="1"/>
    <col min="14585" max="14585" width="30.5703125" style="47" customWidth="1"/>
    <col min="14586" max="14590" width="10.5703125" style="47" customWidth="1"/>
    <col min="14591" max="14836" width="11.42578125" style="47"/>
    <col min="14837" max="14837" width="0.140625" style="47" customWidth="1"/>
    <col min="14838" max="14838" width="2.5703125" style="47" customWidth="1"/>
    <col min="14839" max="14839" width="18.5703125" style="47" customWidth="1"/>
    <col min="14840" max="14840" width="1.42578125" style="47" customWidth="1"/>
    <col min="14841" max="14841" width="30.5703125" style="47" customWidth="1"/>
    <col min="14842" max="14846" width="10.5703125" style="47" customWidth="1"/>
    <col min="14847" max="15092" width="11.42578125" style="47"/>
    <col min="15093" max="15093" width="0.140625" style="47" customWidth="1"/>
    <col min="15094" max="15094" width="2.5703125" style="47" customWidth="1"/>
    <col min="15095" max="15095" width="18.5703125" style="47" customWidth="1"/>
    <col min="15096" max="15096" width="1.42578125" style="47" customWidth="1"/>
    <col min="15097" max="15097" width="30.5703125" style="47" customWidth="1"/>
    <col min="15098" max="15102" width="10.5703125" style="47" customWidth="1"/>
    <col min="15103" max="15348" width="11.42578125" style="47"/>
    <col min="15349" max="15349" width="0.140625" style="47" customWidth="1"/>
    <col min="15350" max="15350" width="2.5703125" style="47" customWidth="1"/>
    <col min="15351" max="15351" width="18.5703125" style="47" customWidth="1"/>
    <col min="15352" max="15352" width="1.42578125" style="47" customWidth="1"/>
    <col min="15353" max="15353" width="30.5703125" style="47" customWidth="1"/>
    <col min="15354" max="15358" width="10.5703125" style="47" customWidth="1"/>
    <col min="15359" max="15604" width="11.42578125" style="47"/>
    <col min="15605" max="15605" width="0.140625" style="47" customWidth="1"/>
    <col min="15606" max="15606" width="2.5703125" style="47" customWidth="1"/>
    <col min="15607" max="15607" width="18.5703125" style="47" customWidth="1"/>
    <col min="15608" max="15608" width="1.42578125" style="47" customWidth="1"/>
    <col min="15609" max="15609" width="30.5703125" style="47" customWidth="1"/>
    <col min="15610" max="15614" width="10.5703125" style="47" customWidth="1"/>
    <col min="15615" max="15860" width="11.42578125" style="47"/>
    <col min="15861" max="15861" width="0.140625" style="47" customWidth="1"/>
    <col min="15862" max="15862" width="2.5703125" style="47" customWidth="1"/>
    <col min="15863" max="15863" width="18.5703125" style="47" customWidth="1"/>
    <col min="15864" max="15864" width="1.42578125" style="47" customWidth="1"/>
    <col min="15865" max="15865" width="30.5703125" style="47" customWidth="1"/>
    <col min="15866" max="15870" width="10.5703125" style="47" customWidth="1"/>
    <col min="15871" max="16116" width="11.42578125" style="47"/>
    <col min="16117" max="16117" width="0.140625" style="47" customWidth="1"/>
    <col min="16118" max="16118" width="2.5703125" style="47" customWidth="1"/>
    <col min="16119" max="16119" width="18.5703125" style="47" customWidth="1"/>
    <col min="16120" max="16120" width="1.42578125" style="47" customWidth="1"/>
    <col min="16121" max="16121" width="30.5703125" style="47" customWidth="1"/>
    <col min="16122" max="16126" width="10.5703125" style="47" customWidth="1"/>
    <col min="16127" max="16384" width="11.42578125" style="47"/>
  </cols>
  <sheetData>
    <row r="1" spans="1:20" ht="0.75" customHeight="1"/>
    <row r="2" spans="1:20" ht="21" customHeight="1">
      <c r="E2" s="27" t="s">
        <v>19</v>
      </c>
      <c r="F2" s="63"/>
      <c r="G2" s="63"/>
    </row>
    <row r="3" spans="1:20" ht="15" customHeight="1">
      <c r="E3" s="43" t="str">
        <f>Indice!E3</f>
        <v>Julio 2026</v>
      </c>
      <c r="F3" s="62"/>
      <c r="G3" s="62"/>
    </row>
    <row r="4" spans="1:20" s="58" customFormat="1" ht="20.25" customHeight="1">
      <c r="B4" s="57"/>
      <c r="C4" s="25" t="s">
        <v>39</v>
      </c>
    </row>
    <row r="5" spans="1:20" s="58" customFormat="1" ht="12.75" customHeight="1">
      <c r="B5" s="57"/>
      <c r="C5" s="61"/>
    </row>
    <row r="6" spans="1:20" s="58" customFormat="1" ht="13.5" customHeight="1">
      <c r="B6" s="57"/>
      <c r="C6" s="56"/>
      <c r="D6" s="55"/>
      <c r="E6" s="55"/>
      <c r="G6" s="45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1:20" s="58" customFormat="1" ht="12.75" customHeight="1">
      <c r="B7" s="57"/>
      <c r="C7" s="264" t="s">
        <v>102</v>
      </c>
      <c r="D7" s="55"/>
      <c r="E7" s="59"/>
    </row>
    <row r="8" spans="1:20" ht="12.75" customHeight="1">
      <c r="A8" s="58"/>
      <c r="B8" s="57"/>
      <c r="C8" s="264"/>
      <c r="D8" s="55"/>
      <c r="E8" s="59"/>
      <c r="F8" s="54"/>
    </row>
    <row r="9" spans="1:20" ht="12.75" customHeight="1">
      <c r="A9" s="58"/>
      <c r="B9" s="57"/>
      <c r="C9" s="173"/>
      <c r="D9" s="55"/>
      <c r="E9" s="59"/>
      <c r="F9" s="54"/>
    </row>
    <row r="10" spans="1:20" ht="12.75" customHeight="1">
      <c r="A10" s="58"/>
      <c r="B10" s="57"/>
      <c r="C10" s="32"/>
      <c r="D10" s="55"/>
      <c r="E10" s="59"/>
      <c r="F10" s="54"/>
    </row>
    <row r="11" spans="1:20" ht="12.75" customHeight="1">
      <c r="A11" s="58"/>
      <c r="B11" s="57"/>
      <c r="D11" s="55"/>
      <c r="E11" s="55"/>
      <c r="F11" s="54"/>
    </row>
    <row r="12" spans="1:20" ht="12.75" customHeight="1">
      <c r="A12" s="58"/>
      <c r="B12" s="57"/>
      <c r="D12" s="55"/>
      <c r="E12" s="55"/>
      <c r="F12" s="54"/>
    </row>
    <row r="13" spans="1:20" ht="12.75" customHeight="1">
      <c r="A13" s="58"/>
      <c r="B13" s="57"/>
      <c r="C13" s="56"/>
      <c r="D13" s="55"/>
      <c r="E13" s="55"/>
      <c r="F13" s="54"/>
    </row>
    <row r="14" spans="1:20" ht="12.75" customHeight="1">
      <c r="A14" s="58"/>
      <c r="B14" s="57"/>
      <c r="C14" s="56"/>
      <c r="D14" s="55"/>
      <c r="E14" s="55"/>
      <c r="F14" s="54"/>
    </row>
    <row r="15" spans="1:20" ht="12.75" customHeight="1">
      <c r="A15" s="58"/>
      <c r="B15" s="57"/>
      <c r="C15" s="56"/>
      <c r="D15" s="55"/>
      <c r="E15" s="55"/>
      <c r="F15" s="54"/>
    </row>
    <row r="16" spans="1:20" ht="12.75" customHeight="1">
      <c r="A16" s="58"/>
      <c r="B16" s="57"/>
      <c r="C16" s="56"/>
      <c r="D16" s="55"/>
      <c r="E16" s="55"/>
      <c r="F16" s="54"/>
    </row>
    <row r="17" spans="1:7" ht="12.75" customHeight="1">
      <c r="A17" s="58"/>
      <c r="B17" s="57"/>
      <c r="C17" s="56"/>
      <c r="D17" s="55"/>
      <c r="E17" s="55"/>
      <c r="F17" s="54"/>
    </row>
    <row r="18" spans="1:7" ht="12.75" customHeight="1">
      <c r="A18" s="58"/>
      <c r="B18" s="57"/>
      <c r="C18" s="56"/>
      <c r="D18" s="55"/>
      <c r="E18" s="55"/>
      <c r="F18" s="141"/>
    </row>
    <row r="19" spans="1:7" ht="12.75" customHeight="1">
      <c r="A19" s="58"/>
      <c r="B19" s="57"/>
      <c r="C19" s="56"/>
      <c r="D19" s="55"/>
      <c r="E19" s="55"/>
      <c r="F19" s="54"/>
    </row>
    <row r="20" spans="1:7" ht="12.75" customHeight="1">
      <c r="A20" s="58"/>
      <c r="B20" s="57"/>
      <c r="C20" s="56"/>
      <c r="D20" s="55"/>
      <c r="E20" s="55"/>
      <c r="F20" s="54"/>
    </row>
    <row r="21" spans="1:7" ht="12.75" customHeight="1"/>
    <row r="22" spans="1:7" ht="12.75" customHeight="1"/>
    <row r="23" spans="1:7" ht="12.75" customHeight="1"/>
    <row r="24" spans="1:7" ht="12.75" customHeight="1">
      <c r="E24" s="51"/>
      <c r="F24" s="51"/>
      <c r="G24" s="51"/>
    </row>
    <row r="25" spans="1:7" ht="12.75" customHeight="1">
      <c r="E25" s="48" t="s">
        <v>79</v>
      </c>
      <c r="F25" s="53"/>
      <c r="G25" s="53"/>
    </row>
    <row r="26" spans="1:7" ht="12.75" customHeight="1">
      <c r="E26" s="48" t="s">
        <v>44</v>
      </c>
      <c r="F26" s="53"/>
      <c r="G26" s="53"/>
    </row>
    <row r="27" spans="1:7" ht="12.75" customHeight="1">
      <c r="E27" s="52"/>
      <c r="F27" s="51"/>
      <c r="G27" s="51"/>
    </row>
    <row r="28" spans="1:7" ht="12.75" customHeight="1">
      <c r="F28" s="51"/>
      <c r="G28" s="51"/>
    </row>
    <row r="29" spans="1:7" ht="12.75" customHeight="1">
      <c r="F29" s="51"/>
      <c r="G29" s="51"/>
    </row>
    <row r="30" spans="1:7" ht="12.75" customHeight="1">
      <c r="E30" s="50"/>
    </row>
    <row r="31" spans="1:7" ht="12.75" customHeight="1"/>
    <row r="32" spans="1:7" ht="12.75" customHeight="1"/>
    <row r="33" spans="5:5" ht="12.75" customHeight="1"/>
    <row r="34" spans="5:5" ht="12.75" customHeight="1"/>
    <row r="35" spans="5:5" ht="12.75" customHeight="1"/>
    <row r="36" spans="5:5" ht="12.75" customHeight="1"/>
    <row r="37" spans="5:5" ht="12.75" customHeight="1"/>
    <row r="38" spans="5:5" ht="12.75" customHeight="1"/>
    <row r="39" spans="5:5" ht="12.75" customHeight="1"/>
    <row r="40" spans="5:5" ht="12.75" customHeight="1"/>
    <row r="41" spans="5:5" ht="12.75" customHeight="1"/>
    <row r="42" spans="5:5" ht="12.75" customHeight="1"/>
    <row r="43" spans="5:5" ht="12.75" customHeight="1"/>
    <row r="44" spans="5:5" ht="12.75" customHeight="1">
      <c r="E44" s="48"/>
    </row>
    <row r="45" spans="5:5">
      <c r="E45" s="48"/>
    </row>
  </sheetData>
  <mergeCells count="1">
    <mergeCell ref="C7:C8"/>
  </mergeCells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F5EF5-C999-4B61-BB40-CF54795A1F78}">
  <sheetPr codeName="Hoja14">
    <pageSetUpPr fitToPage="1"/>
  </sheetPr>
  <dimension ref="A1:H40"/>
  <sheetViews>
    <sheetView showGridLines="0" showRowColHeaders="0" workbookViewId="0">
      <selection activeCell="B2" sqref="B2"/>
    </sheetView>
  </sheetViews>
  <sheetFormatPr baseColWidth="10" defaultRowHeight="12.75"/>
  <cols>
    <col min="1" max="1" width="0.42578125" style="29" customWidth="1"/>
    <col min="2" max="2" width="2.5703125" style="29" customWidth="1"/>
    <col min="3" max="3" width="23.5703125" style="29" customWidth="1"/>
    <col min="4" max="4" width="1.42578125" style="29" customWidth="1"/>
    <col min="5" max="5" width="58.5703125" style="29" customWidth="1"/>
    <col min="6" max="7" width="11.5703125" style="28"/>
    <col min="8" max="8" width="15.5703125" style="28" customWidth="1"/>
    <col min="9" max="252" width="11.5703125" style="28"/>
    <col min="253" max="253" width="0.42578125" style="28" customWidth="1"/>
    <col min="254" max="254" width="2.5703125" style="28" customWidth="1"/>
    <col min="255" max="255" width="18.5703125" style="28" customWidth="1"/>
    <col min="256" max="256" width="1.42578125" style="28" customWidth="1"/>
    <col min="257" max="257" width="58.5703125" style="28" customWidth="1"/>
    <col min="258" max="259" width="11.5703125" style="28"/>
    <col min="260" max="260" width="2.42578125" style="28" customWidth="1"/>
    <col min="261" max="261" width="11.5703125" style="28"/>
    <col min="262" max="262" width="9.5703125" style="28" customWidth="1"/>
    <col min="263" max="508" width="11.5703125" style="28"/>
    <col min="509" max="509" width="0.42578125" style="28" customWidth="1"/>
    <col min="510" max="510" width="2.5703125" style="28" customWidth="1"/>
    <col min="511" max="511" width="18.5703125" style="28" customWidth="1"/>
    <col min="512" max="512" width="1.42578125" style="28" customWidth="1"/>
    <col min="513" max="513" width="58.5703125" style="28" customWidth="1"/>
    <col min="514" max="515" width="11.5703125" style="28"/>
    <col min="516" max="516" width="2.42578125" style="28" customWidth="1"/>
    <col min="517" max="517" width="11.5703125" style="28"/>
    <col min="518" max="518" width="9.5703125" style="28" customWidth="1"/>
    <col min="519" max="764" width="11.5703125" style="28"/>
    <col min="765" max="765" width="0.42578125" style="28" customWidth="1"/>
    <col min="766" max="766" width="2.5703125" style="28" customWidth="1"/>
    <col min="767" max="767" width="18.5703125" style="28" customWidth="1"/>
    <col min="768" max="768" width="1.42578125" style="28" customWidth="1"/>
    <col min="769" max="769" width="58.5703125" style="28" customWidth="1"/>
    <col min="770" max="771" width="11.5703125" style="28"/>
    <col min="772" max="772" width="2.42578125" style="28" customWidth="1"/>
    <col min="773" max="773" width="11.5703125" style="28"/>
    <col min="774" max="774" width="9.5703125" style="28" customWidth="1"/>
    <col min="775" max="1020" width="11.5703125" style="28"/>
    <col min="1021" max="1021" width="0.42578125" style="28" customWidth="1"/>
    <col min="1022" max="1022" width="2.5703125" style="28" customWidth="1"/>
    <col min="1023" max="1023" width="18.5703125" style="28" customWidth="1"/>
    <col min="1024" max="1024" width="1.42578125" style="28" customWidth="1"/>
    <col min="1025" max="1025" width="58.5703125" style="28" customWidth="1"/>
    <col min="1026" max="1027" width="11.5703125" style="28"/>
    <col min="1028" max="1028" width="2.42578125" style="28" customWidth="1"/>
    <col min="1029" max="1029" width="11.5703125" style="28"/>
    <col min="1030" max="1030" width="9.5703125" style="28" customWidth="1"/>
    <col min="1031" max="1276" width="11.5703125" style="28"/>
    <col min="1277" max="1277" width="0.42578125" style="28" customWidth="1"/>
    <col min="1278" max="1278" width="2.5703125" style="28" customWidth="1"/>
    <col min="1279" max="1279" width="18.5703125" style="28" customWidth="1"/>
    <col min="1280" max="1280" width="1.42578125" style="28" customWidth="1"/>
    <col min="1281" max="1281" width="58.5703125" style="28" customWidth="1"/>
    <col min="1282" max="1283" width="11.5703125" style="28"/>
    <col min="1284" max="1284" width="2.42578125" style="28" customWidth="1"/>
    <col min="1285" max="1285" width="11.5703125" style="28"/>
    <col min="1286" max="1286" width="9.5703125" style="28" customWidth="1"/>
    <col min="1287" max="1532" width="11.5703125" style="28"/>
    <col min="1533" max="1533" width="0.42578125" style="28" customWidth="1"/>
    <col min="1534" max="1534" width="2.5703125" style="28" customWidth="1"/>
    <col min="1535" max="1535" width="18.5703125" style="28" customWidth="1"/>
    <col min="1536" max="1536" width="1.42578125" style="28" customWidth="1"/>
    <col min="1537" max="1537" width="58.5703125" style="28" customWidth="1"/>
    <col min="1538" max="1539" width="11.5703125" style="28"/>
    <col min="1540" max="1540" width="2.42578125" style="28" customWidth="1"/>
    <col min="1541" max="1541" width="11.5703125" style="28"/>
    <col min="1542" max="1542" width="9.5703125" style="28" customWidth="1"/>
    <col min="1543" max="1788" width="11.5703125" style="28"/>
    <col min="1789" max="1789" width="0.42578125" style="28" customWidth="1"/>
    <col min="1790" max="1790" width="2.5703125" style="28" customWidth="1"/>
    <col min="1791" max="1791" width="18.5703125" style="28" customWidth="1"/>
    <col min="1792" max="1792" width="1.42578125" style="28" customWidth="1"/>
    <col min="1793" max="1793" width="58.5703125" style="28" customWidth="1"/>
    <col min="1794" max="1795" width="11.5703125" style="28"/>
    <col min="1796" max="1796" width="2.42578125" style="28" customWidth="1"/>
    <col min="1797" max="1797" width="11.5703125" style="28"/>
    <col min="1798" max="1798" width="9.5703125" style="28" customWidth="1"/>
    <col min="1799" max="2044" width="11.5703125" style="28"/>
    <col min="2045" max="2045" width="0.42578125" style="28" customWidth="1"/>
    <col min="2046" max="2046" width="2.5703125" style="28" customWidth="1"/>
    <col min="2047" max="2047" width="18.5703125" style="28" customWidth="1"/>
    <col min="2048" max="2048" width="1.42578125" style="28" customWidth="1"/>
    <col min="2049" max="2049" width="58.5703125" style="28" customWidth="1"/>
    <col min="2050" max="2051" width="11.5703125" style="28"/>
    <col min="2052" max="2052" width="2.42578125" style="28" customWidth="1"/>
    <col min="2053" max="2053" width="11.5703125" style="28"/>
    <col min="2054" max="2054" width="9.5703125" style="28" customWidth="1"/>
    <col min="2055" max="2300" width="11.5703125" style="28"/>
    <col min="2301" max="2301" width="0.42578125" style="28" customWidth="1"/>
    <col min="2302" max="2302" width="2.5703125" style="28" customWidth="1"/>
    <col min="2303" max="2303" width="18.5703125" style="28" customWidth="1"/>
    <col min="2304" max="2304" width="1.42578125" style="28" customWidth="1"/>
    <col min="2305" max="2305" width="58.5703125" style="28" customWidth="1"/>
    <col min="2306" max="2307" width="11.5703125" style="28"/>
    <col min="2308" max="2308" width="2.42578125" style="28" customWidth="1"/>
    <col min="2309" max="2309" width="11.5703125" style="28"/>
    <col min="2310" max="2310" width="9.5703125" style="28" customWidth="1"/>
    <col min="2311" max="2556" width="11.5703125" style="28"/>
    <col min="2557" max="2557" width="0.42578125" style="28" customWidth="1"/>
    <col min="2558" max="2558" width="2.5703125" style="28" customWidth="1"/>
    <col min="2559" max="2559" width="18.5703125" style="28" customWidth="1"/>
    <col min="2560" max="2560" width="1.42578125" style="28" customWidth="1"/>
    <col min="2561" max="2561" width="58.5703125" style="28" customWidth="1"/>
    <col min="2562" max="2563" width="11.5703125" style="28"/>
    <col min="2564" max="2564" width="2.42578125" style="28" customWidth="1"/>
    <col min="2565" max="2565" width="11.5703125" style="28"/>
    <col min="2566" max="2566" width="9.5703125" style="28" customWidth="1"/>
    <col min="2567" max="2812" width="11.5703125" style="28"/>
    <col min="2813" max="2813" width="0.42578125" style="28" customWidth="1"/>
    <col min="2814" max="2814" width="2.5703125" style="28" customWidth="1"/>
    <col min="2815" max="2815" width="18.5703125" style="28" customWidth="1"/>
    <col min="2816" max="2816" width="1.42578125" style="28" customWidth="1"/>
    <col min="2817" max="2817" width="58.5703125" style="28" customWidth="1"/>
    <col min="2818" max="2819" width="11.5703125" style="28"/>
    <col min="2820" max="2820" width="2.42578125" style="28" customWidth="1"/>
    <col min="2821" max="2821" width="11.5703125" style="28"/>
    <col min="2822" max="2822" width="9.5703125" style="28" customWidth="1"/>
    <col min="2823" max="3068" width="11.5703125" style="28"/>
    <col min="3069" max="3069" width="0.42578125" style="28" customWidth="1"/>
    <col min="3070" max="3070" width="2.5703125" style="28" customWidth="1"/>
    <col min="3071" max="3071" width="18.5703125" style="28" customWidth="1"/>
    <col min="3072" max="3072" width="1.42578125" style="28" customWidth="1"/>
    <col min="3073" max="3073" width="58.5703125" style="28" customWidth="1"/>
    <col min="3074" max="3075" width="11.5703125" style="28"/>
    <col min="3076" max="3076" width="2.42578125" style="28" customWidth="1"/>
    <col min="3077" max="3077" width="11.5703125" style="28"/>
    <col min="3078" max="3078" width="9.5703125" style="28" customWidth="1"/>
    <col min="3079" max="3324" width="11.5703125" style="28"/>
    <col min="3325" max="3325" width="0.42578125" style="28" customWidth="1"/>
    <col min="3326" max="3326" width="2.5703125" style="28" customWidth="1"/>
    <col min="3327" max="3327" width="18.5703125" style="28" customWidth="1"/>
    <col min="3328" max="3328" width="1.42578125" style="28" customWidth="1"/>
    <col min="3329" max="3329" width="58.5703125" style="28" customWidth="1"/>
    <col min="3330" max="3331" width="11.5703125" style="28"/>
    <col min="3332" max="3332" width="2.42578125" style="28" customWidth="1"/>
    <col min="3333" max="3333" width="11.5703125" style="28"/>
    <col min="3334" max="3334" width="9.5703125" style="28" customWidth="1"/>
    <col min="3335" max="3580" width="11.5703125" style="28"/>
    <col min="3581" max="3581" width="0.42578125" style="28" customWidth="1"/>
    <col min="3582" max="3582" width="2.5703125" style="28" customWidth="1"/>
    <col min="3583" max="3583" width="18.5703125" style="28" customWidth="1"/>
    <col min="3584" max="3584" width="1.42578125" style="28" customWidth="1"/>
    <col min="3585" max="3585" width="58.5703125" style="28" customWidth="1"/>
    <col min="3586" max="3587" width="11.5703125" style="28"/>
    <col min="3588" max="3588" width="2.42578125" style="28" customWidth="1"/>
    <col min="3589" max="3589" width="11.5703125" style="28"/>
    <col min="3590" max="3590" width="9.5703125" style="28" customWidth="1"/>
    <col min="3591" max="3836" width="11.5703125" style="28"/>
    <col min="3837" max="3837" width="0.42578125" style="28" customWidth="1"/>
    <col min="3838" max="3838" width="2.5703125" style="28" customWidth="1"/>
    <col min="3839" max="3839" width="18.5703125" style="28" customWidth="1"/>
    <col min="3840" max="3840" width="1.42578125" style="28" customWidth="1"/>
    <col min="3841" max="3841" width="58.5703125" style="28" customWidth="1"/>
    <col min="3842" max="3843" width="11.5703125" style="28"/>
    <col min="3844" max="3844" width="2.42578125" style="28" customWidth="1"/>
    <col min="3845" max="3845" width="11.5703125" style="28"/>
    <col min="3846" max="3846" width="9.5703125" style="28" customWidth="1"/>
    <col min="3847" max="4092" width="11.5703125" style="28"/>
    <col min="4093" max="4093" width="0.42578125" style="28" customWidth="1"/>
    <col min="4094" max="4094" width="2.5703125" style="28" customWidth="1"/>
    <col min="4095" max="4095" width="18.5703125" style="28" customWidth="1"/>
    <col min="4096" max="4096" width="1.42578125" style="28" customWidth="1"/>
    <col min="4097" max="4097" width="58.5703125" style="28" customWidth="1"/>
    <col min="4098" max="4099" width="11.5703125" style="28"/>
    <col min="4100" max="4100" width="2.42578125" style="28" customWidth="1"/>
    <col min="4101" max="4101" width="11.5703125" style="28"/>
    <col min="4102" max="4102" width="9.5703125" style="28" customWidth="1"/>
    <col min="4103" max="4348" width="11.5703125" style="28"/>
    <col min="4349" max="4349" width="0.42578125" style="28" customWidth="1"/>
    <col min="4350" max="4350" width="2.5703125" style="28" customWidth="1"/>
    <col min="4351" max="4351" width="18.5703125" style="28" customWidth="1"/>
    <col min="4352" max="4352" width="1.42578125" style="28" customWidth="1"/>
    <col min="4353" max="4353" width="58.5703125" style="28" customWidth="1"/>
    <col min="4354" max="4355" width="11.5703125" style="28"/>
    <col min="4356" max="4356" width="2.42578125" style="28" customWidth="1"/>
    <col min="4357" max="4357" width="11.5703125" style="28"/>
    <col min="4358" max="4358" width="9.5703125" style="28" customWidth="1"/>
    <col min="4359" max="4604" width="11.5703125" style="28"/>
    <col min="4605" max="4605" width="0.42578125" style="28" customWidth="1"/>
    <col min="4606" max="4606" width="2.5703125" style="28" customWidth="1"/>
    <col min="4607" max="4607" width="18.5703125" style="28" customWidth="1"/>
    <col min="4608" max="4608" width="1.42578125" style="28" customWidth="1"/>
    <col min="4609" max="4609" width="58.5703125" style="28" customWidth="1"/>
    <col min="4610" max="4611" width="11.5703125" style="28"/>
    <col min="4612" max="4612" width="2.42578125" style="28" customWidth="1"/>
    <col min="4613" max="4613" width="11.5703125" style="28"/>
    <col min="4614" max="4614" width="9.5703125" style="28" customWidth="1"/>
    <col min="4615" max="4860" width="11.5703125" style="28"/>
    <col min="4861" max="4861" width="0.42578125" style="28" customWidth="1"/>
    <col min="4862" max="4862" width="2.5703125" style="28" customWidth="1"/>
    <col min="4863" max="4863" width="18.5703125" style="28" customWidth="1"/>
    <col min="4864" max="4864" width="1.42578125" style="28" customWidth="1"/>
    <col min="4865" max="4865" width="58.5703125" style="28" customWidth="1"/>
    <col min="4866" max="4867" width="11.5703125" style="28"/>
    <col min="4868" max="4868" width="2.42578125" style="28" customWidth="1"/>
    <col min="4869" max="4869" width="11.5703125" style="28"/>
    <col min="4870" max="4870" width="9.5703125" style="28" customWidth="1"/>
    <col min="4871" max="5116" width="11.5703125" style="28"/>
    <col min="5117" max="5117" width="0.42578125" style="28" customWidth="1"/>
    <col min="5118" max="5118" width="2.5703125" style="28" customWidth="1"/>
    <col min="5119" max="5119" width="18.5703125" style="28" customWidth="1"/>
    <col min="5120" max="5120" width="1.42578125" style="28" customWidth="1"/>
    <col min="5121" max="5121" width="58.5703125" style="28" customWidth="1"/>
    <col min="5122" max="5123" width="11.5703125" style="28"/>
    <col min="5124" max="5124" width="2.42578125" style="28" customWidth="1"/>
    <col min="5125" max="5125" width="11.5703125" style="28"/>
    <col min="5126" max="5126" width="9.5703125" style="28" customWidth="1"/>
    <col min="5127" max="5372" width="11.5703125" style="28"/>
    <col min="5373" max="5373" width="0.42578125" style="28" customWidth="1"/>
    <col min="5374" max="5374" width="2.5703125" style="28" customWidth="1"/>
    <col min="5375" max="5375" width="18.5703125" style="28" customWidth="1"/>
    <col min="5376" max="5376" width="1.42578125" style="28" customWidth="1"/>
    <col min="5377" max="5377" width="58.5703125" style="28" customWidth="1"/>
    <col min="5378" max="5379" width="11.5703125" style="28"/>
    <col min="5380" max="5380" width="2.42578125" style="28" customWidth="1"/>
    <col min="5381" max="5381" width="11.5703125" style="28"/>
    <col min="5382" max="5382" width="9.5703125" style="28" customWidth="1"/>
    <col min="5383" max="5628" width="11.5703125" style="28"/>
    <col min="5629" max="5629" width="0.42578125" style="28" customWidth="1"/>
    <col min="5630" max="5630" width="2.5703125" style="28" customWidth="1"/>
    <col min="5631" max="5631" width="18.5703125" style="28" customWidth="1"/>
    <col min="5632" max="5632" width="1.42578125" style="28" customWidth="1"/>
    <col min="5633" max="5633" width="58.5703125" style="28" customWidth="1"/>
    <col min="5634" max="5635" width="11.5703125" style="28"/>
    <col min="5636" max="5636" width="2.42578125" style="28" customWidth="1"/>
    <col min="5637" max="5637" width="11.5703125" style="28"/>
    <col min="5638" max="5638" width="9.5703125" style="28" customWidth="1"/>
    <col min="5639" max="5884" width="11.5703125" style="28"/>
    <col min="5885" max="5885" width="0.42578125" style="28" customWidth="1"/>
    <col min="5886" max="5886" width="2.5703125" style="28" customWidth="1"/>
    <col min="5887" max="5887" width="18.5703125" style="28" customWidth="1"/>
    <col min="5888" max="5888" width="1.42578125" style="28" customWidth="1"/>
    <col min="5889" max="5889" width="58.5703125" style="28" customWidth="1"/>
    <col min="5890" max="5891" width="11.5703125" style="28"/>
    <col min="5892" max="5892" width="2.42578125" style="28" customWidth="1"/>
    <col min="5893" max="5893" width="11.5703125" style="28"/>
    <col min="5894" max="5894" width="9.5703125" style="28" customWidth="1"/>
    <col min="5895" max="6140" width="11.5703125" style="28"/>
    <col min="6141" max="6141" width="0.42578125" style="28" customWidth="1"/>
    <col min="6142" max="6142" width="2.5703125" style="28" customWidth="1"/>
    <col min="6143" max="6143" width="18.5703125" style="28" customWidth="1"/>
    <col min="6144" max="6144" width="1.42578125" style="28" customWidth="1"/>
    <col min="6145" max="6145" width="58.5703125" style="28" customWidth="1"/>
    <col min="6146" max="6147" width="11.5703125" style="28"/>
    <col min="6148" max="6148" width="2.42578125" style="28" customWidth="1"/>
    <col min="6149" max="6149" width="11.5703125" style="28"/>
    <col min="6150" max="6150" width="9.5703125" style="28" customWidth="1"/>
    <col min="6151" max="6396" width="11.5703125" style="28"/>
    <col min="6397" max="6397" width="0.42578125" style="28" customWidth="1"/>
    <col min="6398" max="6398" width="2.5703125" style="28" customWidth="1"/>
    <col min="6399" max="6399" width="18.5703125" style="28" customWidth="1"/>
    <col min="6400" max="6400" width="1.42578125" style="28" customWidth="1"/>
    <col min="6401" max="6401" width="58.5703125" style="28" customWidth="1"/>
    <col min="6402" max="6403" width="11.5703125" style="28"/>
    <col min="6404" max="6404" width="2.42578125" style="28" customWidth="1"/>
    <col min="6405" max="6405" width="11.5703125" style="28"/>
    <col min="6406" max="6406" width="9.5703125" style="28" customWidth="1"/>
    <col min="6407" max="6652" width="11.5703125" style="28"/>
    <col min="6653" max="6653" width="0.42578125" style="28" customWidth="1"/>
    <col min="6654" max="6654" width="2.5703125" style="28" customWidth="1"/>
    <col min="6655" max="6655" width="18.5703125" style="28" customWidth="1"/>
    <col min="6656" max="6656" width="1.42578125" style="28" customWidth="1"/>
    <col min="6657" max="6657" width="58.5703125" style="28" customWidth="1"/>
    <col min="6658" max="6659" width="11.5703125" style="28"/>
    <col min="6660" max="6660" width="2.42578125" style="28" customWidth="1"/>
    <col min="6661" max="6661" width="11.5703125" style="28"/>
    <col min="6662" max="6662" width="9.5703125" style="28" customWidth="1"/>
    <col min="6663" max="6908" width="11.5703125" style="28"/>
    <col min="6909" max="6909" width="0.42578125" style="28" customWidth="1"/>
    <col min="6910" max="6910" width="2.5703125" style="28" customWidth="1"/>
    <col min="6911" max="6911" width="18.5703125" style="28" customWidth="1"/>
    <col min="6912" max="6912" width="1.42578125" style="28" customWidth="1"/>
    <col min="6913" max="6913" width="58.5703125" style="28" customWidth="1"/>
    <col min="6914" max="6915" width="11.5703125" style="28"/>
    <col min="6916" max="6916" width="2.42578125" style="28" customWidth="1"/>
    <col min="6917" max="6917" width="11.5703125" style="28"/>
    <col min="6918" max="6918" width="9.5703125" style="28" customWidth="1"/>
    <col min="6919" max="7164" width="11.5703125" style="28"/>
    <col min="7165" max="7165" width="0.42578125" style="28" customWidth="1"/>
    <col min="7166" max="7166" width="2.5703125" style="28" customWidth="1"/>
    <col min="7167" max="7167" width="18.5703125" style="28" customWidth="1"/>
    <col min="7168" max="7168" width="1.42578125" style="28" customWidth="1"/>
    <col min="7169" max="7169" width="58.5703125" style="28" customWidth="1"/>
    <col min="7170" max="7171" width="11.5703125" style="28"/>
    <col min="7172" max="7172" width="2.42578125" style="28" customWidth="1"/>
    <col min="7173" max="7173" width="11.5703125" style="28"/>
    <col min="7174" max="7174" width="9.5703125" style="28" customWidth="1"/>
    <col min="7175" max="7420" width="11.5703125" style="28"/>
    <col min="7421" max="7421" width="0.42578125" style="28" customWidth="1"/>
    <col min="7422" max="7422" width="2.5703125" style="28" customWidth="1"/>
    <col min="7423" max="7423" width="18.5703125" style="28" customWidth="1"/>
    <col min="7424" max="7424" width="1.42578125" style="28" customWidth="1"/>
    <col min="7425" max="7425" width="58.5703125" style="28" customWidth="1"/>
    <col min="7426" max="7427" width="11.5703125" style="28"/>
    <col min="7428" max="7428" width="2.42578125" style="28" customWidth="1"/>
    <col min="7429" max="7429" width="11.5703125" style="28"/>
    <col min="7430" max="7430" width="9.5703125" style="28" customWidth="1"/>
    <col min="7431" max="7676" width="11.5703125" style="28"/>
    <col min="7677" max="7677" width="0.42578125" style="28" customWidth="1"/>
    <col min="7678" max="7678" width="2.5703125" style="28" customWidth="1"/>
    <col min="7679" max="7679" width="18.5703125" style="28" customWidth="1"/>
    <col min="7680" max="7680" width="1.42578125" style="28" customWidth="1"/>
    <col min="7681" max="7681" width="58.5703125" style="28" customWidth="1"/>
    <col min="7682" max="7683" width="11.5703125" style="28"/>
    <col min="7684" max="7684" width="2.42578125" style="28" customWidth="1"/>
    <col min="7685" max="7685" width="11.5703125" style="28"/>
    <col min="7686" max="7686" width="9.5703125" style="28" customWidth="1"/>
    <col min="7687" max="7932" width="11.5703125" style="28"/>
    <col min="7933" max="7933" width="0.42578125" style="28" customWidth="1"/>
    <col min="7934" max="7934" width="2.5703125" style="28" customWidth="1"/>
    <col min="7935" max="7935" width="18.5703125" style="28" customWidth="1"/>
    <col min="7936" max="7936" width="1.42578125" style="28" customWidth="1"/>
    <col min="7937" max="7937" width="58.5703125" style="28" customWidth="1"/>
    <col min="7938" max="7939" width="11.5703125" style="28"/>
    <col min="7940" max="7940" width="2.42578125" style="28" customWidth="1"/>
    <col min="7941" max="7941" width="11.5703125" style="28"/>
    <col min="7942" max="7942" width="9.5703125" style="28" customWidth="1"/>
    <col min="7943" max="8188" width="11.5703125" style="28"/>
    <col min="8189" max="8189" width="0.42578125" style="28" customWidth="1"/>
    <col min="8190" max="8190" width="2.5703125" style="28" customWidth="1"/>
    <col min="8191" max="8191" width="18.5703125" style="28" customWidth="1"/>
    <col min="8192" max="8192" width="1.42578125" style="28" customWidth="1"/>
    <col min="8193" max="8193" width="58.5703125" style="28" customWidth="1"/>
    <col min="8194" max="8195" width="11.5703125" style="28"/>
    <col min="8196" max="8196" width="2.42578125" style="28" customWidth="1"/>
    <col min="8197" max="8197" width="11.5703125" style="28"/>
    <col min="8198" max="8198" width="9.5703125" style="28" customWidth="1"/>
    <col min="8199" max="8444" width="11.5703125" style="28"/>
    <col min="8445" max="8445" width="0.42578125" style="28" customWidth="1"/>
    <col min="8446" max="8446" width="2.5703125" style="28" customWidth="1"/>
    <col min="8447" max="8447" width="18.5703125" style="28" customWidth="1"/>
    <col min="8448" max="8448" width="1.42578125" style="28" customWidth="1"/>
    <col min="8449" max="8449" width="58.5703125" style="28" customWidth="1"/>
    <col min="8450" max="8451" width="11.5703125" style="28"/>
    <col min="8452" max="8452" width="2.42578125" style="28" customWidth="1"/>
    <col min="8453" max="8453" width="11.5703125" style="28"/>
    <col min="8454" max="8454" width="9.5703125" style="28" customWidth="1"/>
    <col min="8455" max="8700" width="11.5703125" style="28"/>
    <col min="8701" max="8701" width="0.42578125" style="28" customWidth="1"/>
    <col min="8702" max="8702" width="2.5703125" style="28" customWidth="1"/>
    <col min="8703" max="8703" width="18.5703125" style="28" customWidth="1"/>
    <col min="8704" max="8704" width="1.42578125" style="28" customWidth="1"/>
    <col min="8705" max="8705" width="58.5703125" style="28" customWidth="1"/>
    <col min="8706" max="8707" width="11.5703125" style="28"/>
    <col min="8708" max="8708" width="2.42578125" style="28" customWidth="1"/>
    <col min="8709" max="8709" width="11.5703125" style="28"/>
    <col min="8710" max="8710" width="9.5703125" style="28" customWidth="1"/>
    <col min="8711" max="8956" width="11.5703125" style="28"/>
    <col min="8957" max="8957" width="0.42578125" style="28" customWidth="1"/>
    <col min="8958" max="8958" width="2.5703125" style="28" customWidth="1"/>
    <col min="8959" max="8959" width="18.5703125" style="28" customWidth="1"/>
    <col min="8960" max="8960" width="1.42578125" style="28" customWidth="1"/>
    <col min="8961" max="8961" width="58.5703125" style="28" customWidth="1"/>
    <col min="8962" max="8963" width="11.5703125" style="28"/>
    <col min="8964" max="8964" width="2.42578125" style="28" customWidth="1"/>
    <col min="8965" max="8965" width="11.5703125" style="28"/>
    <col min="8966" max="8966" width="9.5703125" style="28" customWidth="1"/>
    <col min="8967" max="9212" width="11.5703125" style="28"/>
    <col min="9213" max="9213" width="0.42578125" style="28" customWidth="1"/>
    <col min="9214" max="9214" width="2.5703125" style="28" customWidth="1"/>
    <col min="9215" max="9215" width="18.5703125" style="28" customWidth="1"/>
    <col min="9216" max="9216" width="1.42578125" style="28" customWidth="1"/>
    <col min="9217" max="9217" width="58.5703125" style="28" customWidth="1"/>
    <col min="9218" max="9219" width="11.5703125" style="28"/>
    <col min="9220" max="9220" width="2.42578125" style="28" customWidth="1"/>
    <col min="9221" max="9221" width="11.5703125" style="28"/>
    <col min="9222" max="9222" width="9.5703125" style="28" customWidth="1"/>
    <col min="9223" max="9468" width="11.5703125" style="28"/>
    <col min="9469" max="9469" width="0.42578125" style="28" customWidth="1"/>
    <col min="9470" max="9470" width="2.5703125" style="28" customWidth="1"/>
    <col min="9471" max="9471" width="18.5703125" style="28" customWidth="1"/>
    <col min="9472" max="9472" width="1.42578125" style="28" customWidth="1"/>
    <col min="9473" max="9473" width="58.5703125" style="28" customWidth="1"/>
    <col min="9474" max="9475" width="11.5703125" style="28"/>
    <col min="9476" max="9476" width="2.42578125" style="28" customWidth="1"/>
    <col min="9477" max="9477" width="11.5703125" style="28"/>
    <col min="9478" max="9478" width="9.5703125" style="28" customWidth="1"/>
    <col min="9479" max="9724" width="11.5703125" style="28"/>
    <col min="9725" max="9725" width="0.42578125" style="28" customWidth="1"/>
    <col min="9726" max="9726" width="2.5703125" style="28" customWidth="1"/>
    <col min="9727" max="9727" width="18.5703125" style="28" customWidth="1"/>
    <col min="9728" max="9728" width="1.42578125" style="28" customWidth="1"/>
    <col min="9729" max="9729" width="58.5703125" style="28" customWidth="1"/>
    <col min="9730" max="9731" width="11.5703125" style="28"/>
    <col min="9732" max="9732" width="2.42578125" style="28" customWidth="1"/>
    <col min="9733" max="9733" width="11.5703125" style="28"/>
    <col min="9734" max="9734" width="9.5703125" style="28" customWidth="1"/>
    <col min="9735" max="9980" width="11.5703125" style="28"/>
    <col min="9981" max="9981" width="0.42578125" style="28" customWidth="1"/>
    <col min="9982" max="9982" width="2.5703125" style="28" customWidth="1"/>
    <col min="9983" max="9983" width="18.5703125" style="28" customWidth="1"/>
    <col min="9984" max="9984" width="1.42578125" style="28" customWidth="1"/>
    <col min="9985" max="9985" width="58.5703125" style="28" customWidth="1"/>
    <col min="9986" max="9987" width="11.5703125" style="28"/>
    <col min="9988" max="9988" width="2.42578125" style="28" customWidth="1"/>
    <col min="9989" max="9989" width="11.5703125" style="28"/>
    <col min="9990" max="9990" width="9.5703125" style="28" customWidth="1"/>
    <col min="9991" max="10236" width="11.5703125" style="28"/>
    <col min="10237" max="10237" width="0.42578125" style="28" customWidth="1"/>
    <col min="10238" max="10238" width="2.5703125" style="28" customWidth="1"/>
    <col min="10239" max="10239" width="18.5703125" style="28" customWidth="1"/>
    <col min="10240" max="10240" width="1.42578125" style="28" customWidth="1"/>
    <col min="10241" max="10241" width="58.5703125" style="28" customWidth="1"/>
    <col min="10242" max="10243" width="11.5703125" style="28"/>
    <col min="10244" max="10244" width="2.42578125" style="28" customWidth="1"/>
    <col min="10245" max="10245" width="11.5703125" style="28"/>
    <col min="10246" max="10246" width="9.5703125" style="28" customWidth="1"/>
    <col min="10247" max="10492" width="11.5703125" style="28"/>
    <col min="10493" max="10493" width="0.42578125" style="28" customWidth="1"/>
    <col min="10494" max="10494" width="2.5703125" style="28" customWidth="1"/>
    <col min="10495" max="10495" width="18.5703125" style="28" customWidth="1"/>
    <col min="10496" max="10496" width="1.42578125" style="28" customWidth="1"/>
    <col min="10497" max="10497" width="58.5703125" style="28" customWidth="1"/>
    <col min="10498" max="10499" width="11.5703125" style="28"/>
    <col min="10500" max="10500" width="2.42578125" style="28" customWidth="1"/>
    <col min="10501" max="10501" width="11.5703125" style="28"/>
    <col min="10502" max="10502" width="9.5703125" style="28" customWidth="1"/>
    <col min="10503" max="10748" width="11.5703125" style="28"/>
    <col min="10749" max="10749" width="0.42578125" style="28" customWidth="1"/>
    <col min="10750" max="10750" width="2.5703125" style="28" customWidth="1"/>
    <col min="10751" max="10751" width="18.5703125" style="28" customWidth="1"/>
    <col min="10752" max="10752" width="1.42578125" style="28" customWidth="1"/>
    <col min="10753" max="10753" width="58.5703125" style="28" customWidth="1"/>
    <col min="10754" max="10755" width="11.5703125" style="28"/>
    <col min="10756" max="10756" width="2.42578125" style="28" customWidth="1"/>
    <col min="10757" max="10757" width="11.5703125" style="28"/>
    <col min="10758" max="10758" width="9.5703125" style="28" customWidth="1"/>
    <col min="10759" max="11004" width="11.5703125" style="28"/>
    <col min="11005" max="11005" width="0.42578125" style="28" customWidth="1"/>
    <col min="11006" max="11006" width="2.5703125" style="28" customWidth="1"/>
    <col min="11007" max="11007" width="18.5703125" style="28" customWidth="1"/>
    <col min="11008" max="11008" width="1.42578125" style="28" customWidth="1"/>
    <col min="11009" max="11009" width="58.5703125" style="28" customWidth="1"/>
    <col min="11010" max="11011" width="11.5703125" style="28"/>
    <col min="11012" max="11012" width="2.42578125" style="28" customWidth="1"/>
    <col min="11013" max="11013" width="11.5703125" style="28"/>
    <col min="11014" max="11014" width="9.5703125" style="28" customWidth="1"/>
    <col min="11015" max="11260" width="11.5703125" style="28"/>
    <col min="11261" max="11261" width="0.42578125" style="28" customWidth="1"/>
    <col min="11262" max="11262" width="2.5703125" style="28" customWidth="1"/>
    <col min="11263" max="11263" width="18.5703125" style="28" customWidth="1"/>
    <col min="11264" max="11264" width="1.42578125" style="28" customWidth="1"/>
    <col min="11265" max="11265" width="58.5703125" style="28" customWidth="1"/>
    <col min="11266" max="11267" width="11.5703125" style="28"/>
    <col min="11268" max="11268" width="2.42578125" style="28" customWidth="1"/>
    <col min="11269" max="11269" width="11.5703125" style="28"/>
    <col min="11270" max="11270" width="9.5703125" style="28" customWidth="1"/>
    <col min="11271" max="11516" width="11.5703125" style="28"/>
    <col min="11517" max="11517" width="0.42578125" style="28" customWidth="1"/>
    <col min="11518" max="11518" width="2.5703125" style="28" customWidth="1"/>
    <col min="11519" max="11519" width="18.5703125" style="28" customWidth="1"/>
    <col min="11520" max="11520" width="1.42578125" style="28" customWidth="1"/>
    <col min="11521" max="11521" width="58.5703125" style="28" customWidth="1"/>
    <col min="11522" max="11523" width="11.5703125" style="28"/>
    <col min="11524" max="11524" width="2.42578125" style="28" customWidth="1"/>
    <col min="11525" max="11525" width="11.5703125" style="28"/>
    <col min="11526" max="11526" width="9.5703125" style="28" customWidth="1"/>
    <col min="11527" max="11772" width="11.5703125" style="28"/>
    <col min="11773" max="11773" width="0.42578125" style="28" customWidth="1"/>
    <col min="11774" max="11774" width="2.5703125" style="28" customWidth="1"/>
    <col min="11775" max="11775" width="18.5703125" style="28" customWidth="1"/>
    <col min="11776" max="11776" width="1.42578125" style="28" customWidth="1"/>
    <col min="11777" max="11777" width="58.5703125" style="28" customWidth="1"/>
    <col min="11778" max="11779" width="11.5703125" style="28"/>
    <col min="11780" max="11780" width="2.42578125" style="28" customWidth="1"/>
    <col min="11781" max="11781" width="11.5703125" style="28"/>
    <col min="11782" max="11782" width="9.5703125" style="28" customWidth="1"/>
    <col min="11783" max="12028" width="11.5703125" style="28"/>
    <col min="12029" max="12029" width="0.42578125" style="28" customWidth="1"/>
    <col min="12030" max="12030" width="2.5703125" style="28" customWidth="1"/>
    <col min="12031" max="12031" width="18.5703125" style="28" customWidth="1"/>
    <col min="12032" max="12032" width="1.42578125" style="28" customWidth="1"/>
    <col min="12033" max="12033" width="58.5703125" style="28" customWidth="1"/>
    <col min="12034" max="12035" width="11.5703125" style="28"/>
    <col min="12036" max="12036" width="2.42578125" style="28" customWidth="1"/>
    <col min="12037" max="12037" width="11.5703125" style="28"/>
    <col min="12038" max="12038" width="9.5703125" style="28" customWidth="1"/>
    <col min="12039" max="12284" width="11.5703125" style="28"/>
    <col min="12285" max="12285" width="0.42578125" style="28" customWidth="1"/>
    <col min="12286" max="12286" width="2.5703125" style="28" customWidth="1"/>
    <col min="12287" max="12287" width="18.5703125" style="28" customWidth="1"/>
    <col min="12288" max="12288" width="1.42578125" style="28" customWidth="1"/>
    <col min="12289" max="12289" width="58.5703125" style="28" customWidth="1"/>
    <col min="12290" max="12291" width="11.5703125" style="28"/>
    <col min="12292" max="12292" width="2.42578125" style="28" customWidth="1"/>
    <col min="12293" max="12293" width="11.5703125" style="28"/>
    <col min="12294" max="12294" width="9.5703125" style="28" customWidth="1"/>
    <col min="12295" max="12540" width="11.5703125" style="28"/>
    <col min="12541" max="12541" width="0.42578125" style="28" customWidth="1"/>
    <col min="12542" max="12542" width="2.5703125" style="28" customWidth="1"/>
    <col min="12543" max="12543" width="18.5703125" style="28" customWidth="1"/>
    <col min="12544" max="12544" width="1.42578125" style="28" customWidth="1"/>
    <col min="12545" max="12545" width="58.5703125" style="28" customWidth="1"/>
    <col min="12546" max="12547" width="11.5703125" style="28"/>
    <col min="12548" max="12548" width="2.42578125" style="28" customWidth="1"/>
    <col min="12549" max="12549" width="11.5703125" style="28"/>
    <col min="12550" max="12550" width="9.5703125" style="28" customWidth="1"/>
    <col min="12551" max="12796" width="11.5703125" style="28"/>
    <col min="12797" max="12797" width="0.42578125" style="28" customWidth="1"/>
    <col min="12798" max="12798" width="2.5703125" style="28" customWidth="1"/>
    <col min="12799" max="12799" width="18.5703125" style="28" customWidth="1"/>
    <col min="12800" max="12800" width="1.42578125" style="28" customWidth="1"/>
    <col min="12801" max="12801" width="58.5703125" style="28" customWidth="1"/>
    <col min="12802" max="12803" width="11.5703125" style="28"/>
    <col min="12804" max="12804" width="2.42578125" style="28" customWidth="1"/>
    <col min="12805" max="12805" width="11.5703125" style="28"/>
    <col min="12806" max="12806" width="9.5703125" style="28" customWidth="1"/>
    <col min="12807" max="13052" width="11.5703125" style="28"/>
    <col min="13053" max="13053" width="0.42578125" style="28" customWidth="1"/>
    <col min="13054" max="13054" width="2.5703125" style="28" customWidth="1"/>
    <col min="13055" max="13055" width="18.5703125" style="28" customWidth="1"/>
    <col min="13056" max="13056" width="1.42578125" style="28" customWidth="1"/>
    <col min="13057" max="13057" width="58.5703125" style="28" customWidth="1"/>
    <col min="13058" max="13059" width="11.5703125" style="28"/>
    <col min="13060" max="13060" width="2.42578125" style="28" customWidth="1"/>
    <col min="13061" max="13061" width="11.5703125" style="28"/>
    <col min="13062" max="13062" width="9.5703125" style="28" customWidth="1"/>
    <col min="13063" max="13308" width="11.5703125" style="28"/>
    <col min="13309" max="13309" width="0.42578125" style="28" customWidth="1"/>
    <col min="13310" max="13310" width="2.5703125" style="28" customWidth="1"/>
    <col min="13311" max="13311" width="18.5703125" style="28" customWidth="1"/>
    <col min="13312" max="13312" width="1.42578125" style="28" customWidth="1"/>
    <col min="13313" max="13313" width="58.5703125" style="28" customWidth="1"/>
    <col min="13314" max="13315" width="11.5703125" style="28"/>
    <col min="13316" max="13316" width="2.42578125" style="28" customWidth="1"/>
    <col min="13317" max="13317" width="11.5703125" style="28"/>
    <col min="13318" max="13318" width="9.5703125" style="28" customWidth="1"/>
    <col min="13319" max="13564" width="11.5703125" style="28"/>
    <col min="13565" max="13565" width="0.42578125" style="28" customWidth="1"/>
    <col min="13566" max="13566" width="2.5703125" style="28" customWidth="1"/>
    <col min="13567" max="13567" width="18.5703125" style="28" customWidth="1"/>
    <col min="13568" max="13568" width="1.42578125" style="28" customWidth="1"/>
    <col min="13569" max="13569" width="58.5703125" style="28" customWidth="1"/>
    <col min="13570" max="13571" width="11.5703125" style="28"/>
    <col min="13572" max="13572" width="2.42578125" style="28" customWidth="1"/>
    <col min="13573" max="13573" width="11.5703125" style="28"/>
    <col min="13574" max="13574" width="9.5703125" style="28" customWidth="1"/>
    <col min="13575" max="13820" width="11.5703125" style="28"/>
    <col min="13821" max="13821" width="0.42578125" style="28" customWidth="1"/>
    <col min="13822" max="13822" width="2.5703125" style="28" customWidth="1"/>
    <col min="13823" max="13823" width="18.5703125" style="28" customWidth="1"/>
    <col min="13824" max="13824" width="1.42578125" style="28" customWidth="1"/>
    <col min="13825" max="13825" width="58.5703125" style="28" customWidth="1"/>
    <col min="13826" max="13827" width="11.5703125" style="28"/>
    <col min="13828" max="13828" width="2.42578125" style="28" customWidth="1"/>
    <col min="13829" max="13829" width="11.5703125" style="28"/>
    <col min="13830" max="13830" width="9.5703125" style="28" customWidth="1"/>
    <col min="13831" max="14076" width="11.5703125" style="28"/>
    <col min="14077" max="14077" width="0.42578125" style="28" customWidth="1"/>
    <col min="14078" max="14078" width="2.5703125" style="28" customWidth="1"/>
    <col min="14079" max="14079" width="18.5703125" style="28" customWidth="1"/>
    <col min="14080" max="14080" width="1.42578125" style="28" customWidth="1"/>
    <col min="14081" max="14081" width="58.5703125" style="28" customWidth="1"/>
    <col min="14082" max="14083" width="11.5703125" style="28"/>
    <col min="14084" max="14084" width="2.42578125" style="28" customWidth="1"/>
    <col min="14085" max="14085" width="11.5703125" style="28"/>
    <col min="14086" max="14086" width="9.5703125" style="28" customWidth="1"/>
    <col min="14087" max="14332" width="11.5703125" style="28"/>
    <col min="14333" max="14333" width="0.42578125" style="28" customWidth="1"/>
    <col min="14334" max="14334" width="2.5703125" style="28" customWidth="1"/>
    <col min="14335" max="14335" width="18.5703125" style="28" customWidth="1"/>
    <col min="14336" max="14336" width="1.42578125" style="28" customWidth="1"/>
    <col min="14337" max="14337" width="58.5703125" style="28" customWidth="1"/>
    <col min="14338" max="14339" width="11.5703125" style="28"/>
    <col min="14340" max="14340" width="2.42578125" style="28" customWidth="1"/>
    <col min="14341" max="14341" width="11.5703125" style="28"/>
    <col min="14342" max="14342" width="9.5703125" style="28" customWidth="1"/>
    <col min="14343" max="14588" width="11.5703125" style="28"/>
    <col min="14589" max="14589" width="0.42578125" style="28" customWidth="1"/>
    <col min="14590" max="14590" width="2.5703125" style="28" customWidth="1"/>
    <col min="14591" max="14591" width="18.5703125" style="28" customWidth="1"/>
    <col min="14592" max="14592" width="1.42578125" style="28" customWidth="1"/>
    <col min="14593" max="14593" width="58.5703125" style="28" customWidth="1"/>
    <col min="14594" max="14595" width="11.5703125" style="28"/>
    <col min="14596" max="14596" width="2.42578125" style="28" customWidth="1"/>
    <col min="14597" max="14597" width="11.5703125" style="28"/>
    <col min="14598" max="14598" width="9.5703125" style="28" customWidth="1"/>
    <col min="14599" max="14844" width="11.5703125" style="28"/>
    <col min="14845" max="14845" width="0.42578125" style="28" customWidth="1"/>
    <col min="14846" max="14846" width="2.5703125" style="28" customWidth="1"/>
    <col min="14847" max="14847" width="18.5703125" style="28" customWidth="1"/>
    <col min="14848" max="14848" width="1.42578125" style="28" customWidth="1"/>
    <col min="14849" max="14849" width="58.5703125" style="28" customWidth="1"/>
    <col min="14850" max="14851" width="11.5703125" style="28"/>
    <col min="14852" max="14852" width="2.42578125" style="28" customWidth="1"/>
    <col min="14853" max="14853" width="11.5703125" style="28"/>
    <col min="14854" max="14854" width="9.5703125" style="28" customWidth="1"/>
    <col min="14855" max="15100" width="11.5703125" style="28"/>
    <col min="15101" max="15101" width="0.42578125" style="28" customWidth="1"/>
    <col min="15102" max="15102" width="2.5703125" style="28" customWidth="1"/>
    <col min="15103" max="15103" width="18.5703125" style="28" customWidth="1"/>
    <col min="15104" max="15104" width="1.42578125" style="28" customWidth="1"/>
    <col min="15105" max="15105" width="58.5703125" style="28" customWidth="1"/>
    <col min="15106" max="15107" width="11.5703125" style="28"/>
    <col min="15108" max="15108" width="2.42578125" style="28" customWidth="1"/>
    <col min="15109" max="15109" width="11.5703125" style="28"/>
    <col min="15110" max="15110" width="9.5703125" style="28" customWidth="1"/>
    <col min="15111" max="15356" width="11.5703125" style="28"/>
    <col min="15357" max="15357" width="0.42578125" style="28" customWidth="1"/>
    <col min="15358" max="15358" width="2.5703125" style="28" customWidth="1"/>
    <col min="15359" max="15359" width="18.5703125" style="28" customWidth="1"/>
    <col min="15360" max="15360" width="1.42578125" style="28" customWidth="1"/>
    <col min="15361" max="15361" width="58.5703125" style="28" customWidth="1"/>
    <col min="15362" max="15363" width="11.5703125" style="28"/>
    <col min="15364" max="15364" width="2.42578125" style="28" customWidth="1"/>
    <col min="15365" max="15365" width="11.5703125" style="28"/>
    <col min="15366" max="15366" width="9.5703125" style="28" customWidth="1"/>
    <col min="15367" max="15612" width="11.5703125" style="28"/>
    <col min="15613" max="15613" width="0.42578125" style="28" customWidth="1"/>
    <col min="15614" max="15614" width="2.5703125" style="28" customWidth="1"/>
    <col min="15615" max="15615" width="18.5703125" style="28" customWidth="1"/>
    <col min="15616" max="15616" width="1.42578125" style="28" customWidth="1"/>
    <col min="15617" max="15617" width="58.5703125" style="28" customWidth="1"/>
    <col min="15618" max="15619" width="11.5703125" style="28"/>
    <col min="15620" max="15620" width="2.42578125" style="28" customWidth="1"/>
    <col min="15621" max="15621" width="11.5703125" style="28"/>
    <col min="15622" max="15622" width="9.5703125" style="28" customWidth="1"/>
    <col min="15623" max="15868" width="11.5703125" style="28"/>
    <col min="15869" max="15869" width="0.42578125" style="28" customWidth="1"/>
    <col min="15870" max="15870" width="2.5703125" style="28" customWidth="1"/>
    <col min="15871" max="15871" width="18.5703125" style="28" customWidth="1"/>
    <col min="15872" max="15872" width="1.42578125" style="28" customWidth="1"/>
    <col min="15873" max="15873" width="58.5703125" style="28" customWidth="1"/>
    <col min="15874" max="15875" width="11.5703125" style="28"/>
    <col min="15876" max="15876" width="2.42578125" style="28" customWidth="1"/>
    <col min="15877" max="15877" width="11.5703125" style="28"/>
    <col min="15878" max="15878" width="9.5703125" style="28" customWidth="1"/>
    <col min="15879" max="16124" width="11.5703125" style="28"/>
    <col min="16125" max="16125" width="0.42578125" style="28" customWidth="1"/>
    <col min="16126" max="16126" width="2.5703125" style="28" customWidth="1"/>
    <col min="16127" max="16127" width="18.5703125" style="28" customWidth="1"/>
    <col min="16128" max="16128" width="1.42578125" style="28" customWidth="1"/>
    <col min="16129" max="16129" width="58.5703125" style="28" customWidth="1"/>
    <col min="16130" max="16131" width="11.5703125" style="28"/>
    <col min="16132" max="16132" width="2.42578125" style="28" customWidth="1"/>
    <col min="16133" max="16133" width="11.5703125" style="28"/>
    <col min="16134" max="16134" width="9.5703125" style="28" customWidth="1"/>
    <col min="16135" max="16384" width="11.5703125" style="28"/>
  </cols>
  <sheetData>
    <row r="1" spans="2:6" s="29" customFormat="1" ht="0.75" customHeight="1"/>
    <row r="2" spans="2:6" s="29" customFormat="1" ht="21" customHeight="1">
      <c r="E2" s="27" t="s">
        <v>19</v>
      </c>
    </row>
    <row r="3" spans="2:6" s="29" customFormat="1" ht="15" customHeight="1">
      <c r="E3" s="43" t="str">
        <f>Indice!E3</f>
        <v>Julio 2026</v>
      </c>
    </row>
    <row r="4" spans="2:6" s="31" customFormat="1" ht="20.25" customHeight="1">
      <c r="B4" s="39"/>
      <c r="C4" s="25" t="s">
        <v>39</v>
      </c>
    </row>
    <row r="5" spans="2:6" s="31" customFormat="1" ht="12.75" customHeight="1">
      <c r="B5" s="39"/>
      <c r="C5" s="42"/>
    </row>
    <row r="6" spans="2:6" s="31" customFormat="1" ht="13.5" customHeight="1">
      <c r="B6" s="39"/>
      <c r="C6" s="38"/>
      <c r="D6" s="37"/>
      <c r="E6" s="37"/>
    </row>
    <row r="7" spans="2:6" s="31" customFormat="1" ht="12.75" customHeight="1">
      <c r="B7" s="39"/>
      <c r="C7" s="263" t="s">
        <v>120</v>
      </c>
      <c r="D7" s="37"/>
      <c r="E7" s="41"/>
    </row>
    <row r="8" spans="2:6" s="31" customFormat="1" ht="12.75" customHeight="1">
      <c r="B8" s="39"/>
      <c r="C8" s="263"/>
      <c r="D8" s="37"/>
      <c r="E8" s="41"/>
    </row>
    <row r="9" spans="2:6" s="31" customFormat="1" ht="12.75" customHeight="1">
      <c r="B9" s="39"/>
      <c r="C9" s="263"/>
      <c r="D9" s="37"/>
      <c r="E9" s="41"/>
    </row>
    <row r="10" spans="2:6" s="31" customFormat="1" ht="12.75" customHeight="1">
      <c r="B10" s="39"/>
      <c r="C10" s="183" t="str">
        <f>CONCATENATE(TEXT(Dat_01!B47,"0,0")," MW")</f>
        <v>1,2 MW</v>
      </c>
      <c r="D10" s="37"/>
      <c r="E10" s="41"/>
      <c r="F10" s="44"/>
    </row>
    <row r="11" spans="2:6" s="31" customFormat="1" ht="12.75" customHeight="1">
      <c r="B11" s="39"/>
      <c r="C11" s="32"/>
      <c r="D11" s="37"/>
      <c r="E11" s="41"/>
      <c r="F11" s="44"/>
    </row>
    <row r="12" spans="2:6" s="31" customFormat="1" ht="12.75" customHeight="1">
      <c r="B12" s="39"/>
      <c r="D12" s="37"/>
      <c r="E12" s="37"/>
      <c r="F12" s="44"/>
    </row>
    <row r="13" spans="2:6" s="31" customFormat="1" ht="12.75" customHeight="1">
      <c r="B13" s="39"/>
      <c r="C13" s="40"/>
      <c r="D13" s="37"/>
      <c r="E13" s="37"/>
      <c r="F13" s="44"/>
    </row>
    <row r="14" spans="2:6" s="31" customFormat="1" ht="12.75" customHeight="1">
      <c r="B14" s="39"/>
      <c r="C14" s="40"/>
      <c r="D14" s="37"/>
      <c r="E14" s="37"/>
      <c r="F14" s="44"/>
    </row>
    <row r="15" spans="2:6" s="31" customFormat="1" ht="12.75" customHeight="1">
      <c r="B15" s="39"/>
      <c r="C15" s="40"/>
      <c r="D15" s="37"/>
      <c r="E15" s="37"/>
      <c r="F15" s="44"/>
    </row>
    <row r="16" spans="2:6" s="31" customFormat="1" ht="12.75" customHeight="1">
      <c r="B16" s="39"/>
      <c r="C16" s="40"/>
      <c r="D16" s="37"/>
      <c r="E16" s="37"/>
      <c r="F16" s="44"/>
    </row>
    <row r="17" spans="2:6" s="31" customFormat="1" ht="12.75" customHeight="1">
      <c r="B17" s="39"/>
      <c r="D17" s="37"/>
      <c r="E17" s="37"/>
      <c r="F17" s="44"/>
    </row>
    <row r="18" spans="2:6" s="31" customFormat="1" ht="12.75" customHeight="1">
      <c r="B18" s="39"/>
      <c r="D18" s="37"/>
      <c r="E18" s="37"/>
      <c r="F18" s="44"/>
    </row>
    <row r="19" spans="2:6" s="31" customFormat="1" ht="12.75" customHeight="1">
      <c r="B19" s="39"/>
      <c r="C19" s="40"/>
      <c r="D19" s="37"/>
      <c r="E19" s="37"/>
      <c r="F19" s="44"/>
    </row>
    <row r="20" spans="2:6" s="31" customFormat="1" ht="12.75" customHeight="1">
      <c r="B20" s="39"/>
      <c r="C20" s="38"/>
      <c r="D20" s="37"/>
      <c r="E20" s="37"/>
      <c r="F20" s="44"/>
    </row>
    <row r="21" spans="2:6" s="31" customFormat="1" ht="12.75" customHeight="1">
      <c r="B21" s="39"/>
      <c r="C21" s="38"/>
      <c r="D21" s="37"/>
      <c r="E21" s="37"/>
      <c r="F21" s="44"/>
    </row>
    <row r="22" spans="2:6" s="31" customFormat="1" ht="12.75" customHeight="1">
      <c r="B22" s="39"/>
      <c r="C22" s="38"/>
      <c r="D22" s="37"/>
      <c r="E22" s="37"/>
    </row>
    <row r="23" spans="2:6" ht="12.75" customHeight="1">
      <c r="C23" s="33"/>
      <c r="E23" s="36"/>
    </row>
    <row r="24" spans="2:6" ht="12.75" customHeight="1">
      <c r="C24" s="33"/>
      <c r="E24" s="35"/>
    </row>
    <row r="25" spans="2:6" ht="12.75" customHeight="1">
      <c r="C25" s="33"/>
      <c r="E25" s="34"/>
    </row>
    <row r="26" spans="2:6" ht="12.75" customHeight="1">
      <c r="C26" s="33"/>
    </row>
    <row r="27" spans="2:6">
      <c r="C27" s="33"/>
    </row>
    <row r="28" spans="2:6">
      <c r="C28" s="64"/>
      <c r="F28" s="44"/>
    </row>
    <row r="29" spans="2:6">
      <c r="C29" s="64"/>
      <c r="F29" s="44"/>
    </row>
    <row r="30" spans="2:6">
      <c r="C30" s="32"/>
      <c r="F30" s="44"/>
    </row>
    <row r="31" spans="2:6">
      <c r="F31" s="44"/>
    </row>
    <row r="32" spans="2:6" ht="12.75" customHeight="1">
      <c r="F32" s="44"/>
    </row>
    <row r="33" spans="5:8">
      <c r="F33" s="44"/>
    </row>
    <row r="34" spans="5:8">
      <c r="F34" s="44"/>
    </row>
    <row r="35" spans="5:8">
      <c r="F35" s="44"/>
    </row>
    <row r="36" spans="5:8">
      <c r="F36" s="44"/>
    </row>
    <row r="37" spans="5:8">
      <c r="F37" s="44"/>
    </row>
    <row r="38" spans="5:8">
      <c r="F38" s="44"/>
    </row>
    <row r="39" spans="5:8">
      <c r="E39" s="36"/>
      <c r="F39" s="44"/>
    </row>
    <row r="40" spans="5:8">
      <c r="F40" s="44"/>
      <c r="H40" s="184"/>
    </row>
  </sheetData>
  <mergeCells count="1">
    <mergeCell ref="C7:C9"/>
  </mergeCells>
  <printOptions horizontalCentered="1" verticalCentered="1"/>
  <pageMargins left="0.78740157480314965" right="0.78740157480314965" top="0.98425196850393704" bottom="0.98425196850393704" header="0" footer="0"/>
  <pageSetup paperSize="9" scale="94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153A0-52DF-4522-AC17-9688E9B2634F}">
  <sheetPr codeName="Hoja15">
    <pageSetUpPr fitToPage="1"/>
  </sheetPr>
  <dimension ref="A1:M43"/>
  <sheetViews>
    <sheetView showGridLines="0" showRowColHeaders="0" zoomScaleNormal="100" workbookViewId="0"/>
  </sheetViews>
  <sheetFormatPr baseColWidth="10" defaultColWidth="11.42578125" defaultRowHeight="12.75"/>
  <cols>
    <col min="1" max="1" width="2.7109375" style="3" customWidth="1"/>
    <col min="2" max="2" width="23.7109375" style="3" customWidth="1"/>
    <col min="3" max="3" width="1.28515625" style="3" customWidth="1"/>
    <col min="4" max="4" width="105.7109375" style="3" customWidth="1"/>
    <col min="5" max="5" width="11.42578125" style="198"/>
    <col min="6" max="6" width="7.7109375" style="3" bestFit="1" customWidth="1"/>
    <col min="7" max="7" width="11.42578125" style="187"/>
    <col min="8" max="8" width="15.7109375" style="187" customWidth="1"/>
    <col min="9" max="16384" width="11.42578125" style="187"/>
  </cols>
  <sheetData>
    <row r="1" spans="1:13" s="3" customFormat="1" ht="21" customHeight="1">
      <c r="D1" s="27" t="s">
        <v>19</v>
      </c>
    </row>
    <row r="2" spans="1:13" s="3" customFormat="1" ht="15" customHeight="1">
      <c r="D2" s="26" t="str">
        <f>Indice!E3</f>
        <v>Julio 2026</v>
      </c>
    </row>
    <row r="3" spans="1:13" s="185" customFormat="1" ht="20.25" customHeight="1">
      <c r="A3" s="3"/>
      <c r="B3" s="25" t="s">
        <v>119</v>
      </c>
      <c r="D3" s="65"/>
      <c r="E3" s="3"/>
      <c r="F3" s="3"/>
    </row>
    <row r="4" spans="1:13">
      <c r="A4" s="186"/>
      <c r="B4" s="54"/>
      <c r="C4" s="185"/>
      <c r="D4" s="185"/>
      <c r="E4" s="185"/>
      <c r="F4" s="186"/>
    </row>
    <row r="5" spans="1:13">
      <c r="A5" s="186"/>
      <c r="B5" s="188"/>
      <c r="C5" s="185"/>
      <c r="D5" s="185"/>
      <c r="E5" s="185"/>
      <c r="F5" s="186"/>
    </row>
    <row r="6" spans="1:13">
      <c r="A6" s="186"/>
      <c r="B6" s="189"/>
      <c r="C6" s="190"/>
      <c r="D6" s="190"/>
      <c r="E6" s="185"/>
      <c r="F6" s="187"/>
      <c r="G6" s="191"/>
      <c r="H6" s="192"/>
      <c r="I6" s="192"/>
      <c r="J6" s="192"/>
      <c r="K6" s="192"/>
      <c r="L6" s="192"/>
      <c r="M6" s="192"/>
    </row>
    <row r="7" spans="1:13" ht="12.75" customHeight="1">
      <c r="A7" s="186"/>
      <c r="B7" s="263" t="s">
        <v>125</v>
      </c>
      <c r="C7" s="190"/>
      <c r="D7" s="193"/>
      <c r="E7" s="185"/>
      <c r="F7" s="194"/>
    </row>
    <row r="8" spans="1:13" ht="12.75" customHeight="1">
      <c r="A8" s="186"/>
      <c r="B8" s="263"/>
      <c r="C8" s="190"/>
      <c r="D8" s="193"/>
      <c r="E8" s="185"/>
      <c r="F8" s="194"/>
    </row>
    <row r="9" spans="1:13">
      <c r="A9" s="187"/>
      <c r="B9" s="263"/>
      <c r="C9" s="190"/>
      <c r="D9" s="193"/>
      <c r="E9" s="185"/>
      <c r="F9" s="195"/>
    </row>
    <row r="10" spans="1:13">
      <c r="A10" s="187"/>
      <c r="B10" s="33" t="s">
        <v>93</v>
      </c>
      <c r="C10" s="190"/>
      <c r="D10" s="193"/>
      <c r="E10" s="185"/>
      <c r="F10" s="195"/>
    </row>
    <row r="11" spans="1:13">
      <c r="A11" s="187"/>
      <c r="B11" s="196"/>
      <c r="C11" s="190"/>
      <c r="D11" s="190"/>
      <c r="E11" s="185"/>
      <c r="F11" s="195"/>
    </row>
    <row r="12" spans="1:13">
      <c r="A12" s="187"/>
      <c r="B12" s="196"/>
      <c r="C12" s="190"/>
      <c r="D12" s="190"/>
      <c r="E12" s="185"/>
      <c r="F12" s="195"/>
    </row>
    <row r="13" spans="1:13">
      <c r="A13" s="187"/>
      <c r="B13" s="196"/>
      <c r="C13" s="190"/>
      <c r="D13" s="190"/>
      <c r="E13" s="185"/>
      <c r="F13" s="195"/>
    </row>
    <row r="14" spans="1:13">
      <c r="A14" s="187"/>
      <c r="B14" s="189"/>
      <c r="C14" s="190"/>
      <c r="D14" s="190"/>
      <c r="E14" s="185"/>
      <c r="F14" s="195"/>
    </row>
    <row r="15" spans="1:13">
      <c r="A15" s="187"/>
      <c r="B15" s="189"/>
      <c r="C15" s="190"/>
      <c r="D15" s="190"/>
      <c r="E15" s="185"/>
      <c r="F15" s="195"/>
    </row>
    <row r="16" spans="1:13">
      <c r="A16" s="187"/>
      <c r="B16" s="189"/>
      <c r="C16" s="190"/>
      <c r="D16" s="190"/>
      <c r="E16" s="185"/>
      <c r="F16" s="195"/>
    </row>
    <row r="17" spans="1:6">
      <c r="A17" s="187"/>
      <c r="B17" s="189"/>
      <c r="C17" s="190"/>
      <c r="D17" s="190"/>
      <c r="E17" s="185"/>
      <c r="F17" s="195"/>
    </row>
    <row r="18" spans="1:6">
      <c r="A18" s="187"/>
      <c r="B18" s="189"/>
      <c r="C18" s="190"/>
      <c r="D18" s="190"/>
      <c r="E18" s="185"/>
      <c r="F18" s="195"/>
    </row>
    <row r="19" spans="1:6">
      <c r="A19" s="187"/>
      <c r="B19" s="189"/>
      <c r="C19" s="190"/>
      <c r="D19" s="190"/>
      <c r="E19" s="185"/>
      <c r="F19" s="195"/>
    </row>
    <row r="20" spans="1:6">
      <c r="A20" s="187"/>
      <c r="B20" s="189"/>
      <c r="C20" s="190"/>
      <c r="D20" s="190"/>
      <c r="E20" s="185"/>
      <c r="F20" s="195"/>
    </row>
    <row r="21" spans="1:6">
      <c r="A21" s="187"/>
      <c r="B21" s="189"/>
      <c r="C21" s="190"/>
      <c r="D21" s="190"/>
      <c r="E21" s="185"/>
      <c r="F21" s="195"/>
    </row>
    <row r="28" spans="1:6">
      <c r="D28" s="197"/>
    </row>
    <row r="30" spans="1:6">
      <c r="E30" s="199"/>
    </row>
    <row r="31" spans="1:6">
      <c r="E31" s="199"/>
    </row>
    <row r="32" spans="1:6">
      <c r="E32" s="199"/>
    </row>
    <row r="33" spans="5:11">
      <c r="E33" s="199"/>
    </row>
    <row r="34" spans="5:11">
      <c r="E34" s="199"/>
    </row>
    <row r="35" spans="5:11">
      <c r="E35" s="199"/>
    </row>
    <row r="40" spans="5:11">
      <c r="E40" s="3"/>
    </row>
    <row r="41" spans="5:11">
      <c r="E41" s="3"/>
    </row>
    <row r="42" spans="5:11">
      <c r="E42" s="3"/>
      <c r="K42" s="200"/>
    </row>
    <row r="43" spans="5:11">
      <c r="E43" s="3"/>
    </row>
  </sheetData>
  <mergeCells count="1">
    <mergeCell ref="B7:B9"/>
  </mergeCells>
  <printOptions horizontalCentered="1" verticalCentered="1"/>
  <pageMargins left="0.78740157480314965" right="0.78740157480314965" top="0.98425196850393704" bottom="0.98425196850393704" header="0" footer="0"/>
  <pageSetup paperSize="9" scale="61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9D56C-9EFA-48D2-ADF4-8229016A2F99}">
  <sheetPr>
    <pageSetUpPr autoPageBreaks="0"/>
  </sheetPr>
  <dimension ref="A1:N24"/>
  <sheetViews>
    <sheetView showGridLines="0" showRowColHeaders="0" workbookViewId="0">
      <selection activeCell="B2" sqref="B2"/>
    </sheetView>
  </sheetViews>
  <sheetFormatPr baseColWidth="10" defaultRowHeight="12.75"/>
  <cols>
    <col min="1" max="1" width="0.42578125" style="54" customWidth="1"/>
    <col min="2" max="2" width="2.5703125" style="54" customWidth="1"/>
    <col min="3" max="3" width="23.5703125" style="54" customWidth="1"/>
    <col min="4" max="4" width="1.42578125" style="54" customWidth="1"/>
    <col min="5" max="5" width="26.7109375" style="205" customWidth="1"/>
    <col min="6" max="6" width="26.7109375" style="212" customWidth="1"/>
    <col min="7" max="8" width="11.42578125" style="205"/>
    <col min="9" max="12" width="11.5703125" style="205" bestFit="1" customWidth="1"/>
    <col min="13" max="13" width="12.42578125" style="205" bestFit="1" customWidth="1"/>
    <col min="14" max="14" width="11.5703125" style="205" bestFit="1" customWidth="1"/>
    <col min="15" max="241" width="11.42578125" style="205"/>
    <col min="242" max="242" width="0.42578125" style="205" customWidth="1"/>
    <col min="243" max="243" width="2.5703125" style="205" customWidth="1"/>
    <col min="244" max="244" width="15.42578125" style="205" customWidth="1"/>
    <col min="245" max="245" width="1.42578125" style="205" customWidth="1"/>
    <col min="246" max="246" width="27.5703125" style="205" customWidth="1"/>
    <col min="247" max="247" width="6.5703125" style="205" customWidth="1"/>
    <col min="248" max="248" width="1.5703125" style="205" customWidth="1"/>
    <col min="249" max="249" width="10.5703125" style="205" customWidth="1"/>
    <col min="250" max="250" width="5.5703125" style="205" customWidth="1"/>
    <col min="251" max="251" width="1.5703125" style="205" customWidth="1"/>
    <col min="252" max="252" width="10.5703125" style="205" customWidth="1"/>
    <col min="253" max="253" width="6.5703125" style="205" customWidth="1"/>
    <col min="254" max="254" width="1.5703125" style="205" customWidth="1"/>
    <col min="255" max="255" width="10.5703125" style="205" customWidth="1"/>
    <col min="256" max="256" width="9.5703125" style="205" customWidth="1"/>
    <col min="257" max="257" width="13.42578125" style="205" bestFit="1" customWidth="1"/>
    <col min="258" max="258" width="7.5703125" style="205" customWidth="1"/>
    <col min="259" max="259" width="11.42578125" style="205"/>
    <col min="260" max="260" width="13.42578125" style="205" bestFit="1" customWidth="1"/>
    <col min="261" max="497" width="11.42578125" style="205"/>
    <col min="498" max="498" width="0.42578125" style="205" customWidth="1"/>
    <col min="499" max="499" width="2.5703125" style="205" customWidth="1"/>
    <col min="500" max="500" width="15.42578125" style="205" customWidth="1"/>
    <col min="501" max="501" width="1.42578125" style="205" customWidth="1"/>
    <col min="502" max="502" width="27.5703125" style="205" customWidth="1"/>
    <col min="503" max="503" width="6.5703125" style="205" customWidth="1"/>
    <col min="504" max="504" width="1.5703125" style="205" customWidth="1"/>
    <col min="505" max="505" width="10.5703125" style="205" customWidth="1"/>
    <col min="506" max="506" width="5.5703125" style="205" customWidth="1"/>
    <col min="507" max="507" width="1.5703125" style="205" customWidth="1"/>
    <col min="508" max="508" width="10.5703125" style="205" customWidth="1"/>
    <col min="509" max="509" width="6.5703125" style="205" customWidth="1"/>
    <col min="510" max="510" width="1.5703125" style="205" customWidth="1"/>
    <col min="511" max="511" width="10.5703125" style="205" customWidth="1"/>
    <col min="512" max="512" width="9.5703125" style="205" customWidth="1"/>
    <col min="513" max="513" width="13.42578125" style="205" bestFit="1" customWidth="1"/>
    <col min="514" max="514" width="7.5703125" style="205" customWidth="1"/>
    <col min="515" max="515" width="11.42578125" style="205"/>
    <col min="516" max="516" width="13.42578125" style="205" bestFit="1" customWidth="1"/>
    <col min="517" max="753" width="11.42578125" style="205"/>
    <col min="754" max="754" width="0.42578125" style="205" customWidth="1"/>
    <col min="755" max="755" width="2.5703125" style="205" customWidth="1"/>
    <col min="756" max="756" width="15.42578125" style="205" customWidth="1"/>
    <col min="757" max="757" width="1.42578125" style="205" customWidth="1"/>
    <col min="758" max="758" width="27.5703125" style="205" customWidth="1"/>
    <col min="759" max="759" width="6.5703125" style="205" customWidth="1"/>
    <col min="760" max="760" width="1.5703125" style="205" customWidth="1"/>
    <col min="761" max="761" width="10.5703125" style="205" customWidth="1"/>
    <col min="762" max="762" width="5.5703125" style="205" customWidth="1"/>
    <col min="763" max="763" width="1.5703125" style="205" customWidth="1"/>
    <col min="764" max="764" width="10.5703125" style="205" customWidth="1"/>
    <col min="765" max="765" width="6.5703125" style="205" customWidth="1"/>
    <col min="766" max="766" width="1.5703125" style="205" customWidth="1"/>
    <col min="767" max="767" width="10.5703125" style="205" customWidth="1"/>
    <col min="768" max="768" width="9.5703125" style="205" customWidth="1"/>
    <col min="769" max="769" width="13.42578125" style="205" bestFit="1" customWidth="1"/>
    <col min="770" max="770" width="7.5703125" style="205" customWidth="1"/>
    <col min="771" max="771" width="11.42578125" style="205"/>
    <col min="772" max="772" width="13.42578125" style="205" bestFit="1" customWidth="1"/>
    <col min="773" max="1009" width="11.42578125" style="205"/>
    <col min="1010" max="1010" width="0.42578125" style="205" customWidth="1"/>
    <col min="1011" max="1011" width="2.5703125" style="205" customWidth="1"/>
    <col min="1012" max="1012" width="15.42578125" style="205" customWidth="1"/>
    <col min="1013" max="1013" width="1.42578125" style="205" customWidth="1"/>
    <col min="1014" max="1014" width="27.5703125" style="205" customWidth="1"/>
    <col min="1015" max="1015" width="6.5703125" style="205" customWidth="1"/>
    <col min="1016" max="1016" width="1.5703125" style="205" customWidth="1"/>
    <col min="1017" max="1017" width="10.5703125" style="205" customWidth="1"/>
    <col min="1018" max="1018" width="5.5703125" style="205" customWidth="1"/>
    <col min="1019" max="1019" width="1.5703125" style="205" customWidth="1"/>
    <col min="1020" max="1020" width="10.5703125" style="205" customWidth="1"/>
    <col min="1021" max="1021" width="6.5703125" style="205" customWidth="1"/>
    <col min="1022" max="1022" width="1.5703125" style="205" customWidth="1"/>
    <col min="1023" max="1023" width="10.5703125" style="205" customWidth="1"/>
    <col min="1024" max="1024" width="9.5703125" style="205" customWidth="1"/>
    <col min="1025" max="1025" width="13.42578125" style="205" bestFit="1" customWidth="1"/>
    <col min="1026" max="1026" width="7.5703125" style="205" customWidth="1"/>
    <col min="1027" max="1027" width="11.42578125" style="205"/>
    <col min="1028" max="1028" width="13.42578125" style="205" bestFit="1" customWidth="1"/>
    <col min="1029" max="1265" width="11.42578125" style="205"/>
    <col min="1266" max="1266" width="0.42578125" style="205" customWidth="1"/>
    <col min="1267" max="1267" width="2.5703125" style="205" customWidth="1"/>
    <col min="1268" max="1268" width="15.42578125" style="205" customWidth="1"/>
    <col min="1269" max="1269" width="1.42578125" style="205" customWidth="1"/>
    <col min="1270" max="1270" width="27.5703125" style="205" customWidth="1"/>
    <col min="1271" max="1271" width="6.5703125" style="205" customWidth="1"/>
    <col min="1272" max="1272" width="1.5703125" style="205" customWidth="1"/>
    <col min="1273" max="1273" width="10.5703125" style="205" customWidth="1"/>
    <col min="1274" max="1274" width="5.5703125" style="205" customWidth="1"/>
    <col min="1275" max="1275" width="1.5703125" style="205" customWidth="1"/>
    <col min="1276" max="1276" width="10.5703125" style="205" customWidth="1"/>
    <col min="1277" max="1277" width="6.5703125" style="205" customWidth="1"/>
    <col min="1278" max="1278" width="1.5703125" style="205" customWidth="1"/>
    <col min="1279" max="1279" width="10.5703125" style="205" customWidth="1"/>
    <col min="1280" max="1280" width="9.5703125" style="205" customWidth="1"/>
    <col min="1281" max="1281" width="13.42578125" style="205" bestFit="1" customWidth="1"/>
    <col min="1282" max="1282" width="7.5703125" style="205" customWidth="1"/>
    <col min="1283" max="1283" width="11.42578125" style="205"/>
    <col min="1284" max="1284" width="13.42578125" style="205" bestFit="1" customWidth="1"/>
    <col min="1285" max="1521" width="11.42578125" style="205"/>
    <col min="1522" max="1522" width="0.42578125" style="205" customWidth="1"/>
    <col min="1523" max="1523" width="2.5703125" style="205" customWidth="1"/>
    <col min="1524" max="1524" width="15.42578125" style="205" customWidth="1"/>
    <col min="1525" max="1525" width="1.42578125" style="205" customWidth="1"/>
    <col min="1526" max="1526" width="27.5703125" style="205" customWidth="1"/>
    <col min="1527" max="1527" width="6.5703125" style="205" customWidth="1"/>
    <col min="1528" max="1528" width="1.5703125" style="205" customWidth="1"/>
    <col min="1529" max="1529" width="10.5703125" style="205" customWidth="1"/>
    <col min="1530" max="1530" width="5.5703125" style="205" customWidth="1"/>
    <col min="1531" max="1531" width="1.5703125" style="205" customWidth="1"/>
    <col min="1532" max="1532" width="10.5703125" style="205" customWidth="1"/>
    <col min="1533" max="1533" width="6.5703125" style="205" customWidth="1"/>
    <col min="1534" max="1534" width="1.5703125" style="205" customWidth="1"/>
    <col min="1535" max="1535" width="10.5703125" style="205" customWidth="1"/>
    <col min="1536" max="1536" width="9.5703125" style="205" customWidth="1"/>
    <col min="1537" max="1537" width="13.42578125" style="205" bestFit="1" customWidth="1"/>
    <col min="1538" max="1538" width="7.5703125" style="205" customWidth="1"/>
    <col min="1539" max="1539" width="11.42578125" style="205"/>
    <col min="1540" max="1540" width="13.42578125" style="205" bestFit="1" customWidth="1"/>
    <col min="1541" max="1777" width="11.42578125" style="205"/>
    <col min="1778" max="1778" width="0.42578125" style="205" customWidth="1"/>
    <col min="1779" max="1779" width="2.5703125" style="205" customWidth="1"/>
    <col min="1780" max="1780" width="15.42578125" style="205" customWidth="1"/>
    <col min="1781" max="1781" width="1.42578125" style="205" customWidth="1"/>
    <col min="1782" max="1782" width="27.5703125" style="205" customWidth="1"/>
    <col min="1783" max="1783" width="6.5703125" style="205" customWidth="1"/>
    <col min="1784" max="1784" width="1.5703125" style="205" customWidth="1"/>
    <col min="1785" max="1785" width="10.5703125" style="205" customWidth="1"/>
    <col min="1786" max="1786" width="5.5703125" style="205" customWidth="1"/>
    <col min="1787" max="1787" width="1.5703125" style="205" customWidth="1"/>
    <col min="1788" max="1788" width="10.5703125" style="205" customWidth="1"/>
    <col min="1789" max="1789" width="6.5703125" style="205" customWidth="1"/>
    <col min="1790" max="1790" width="1.5703125" style="205" customWidth="1"/>
    <col min="1791" max="1791" width="10.5703125" style="205" customWidth="1"/>
    <col min="1792" max="1792" width="9.5703125" style="205" customWidth="1"/>
    <col min="1793" max="1793" width="13.42578125" style="205" bestFit="1" customWidth="1"/>
    <col min="1794" max="1794" width="7.5703125" style="205" customWidth="1"/>
    <col min="1795" max="1795" width="11.42578125" style="205"/>
    <col min="1796" max="1796" width="13.42578125" style="205" bestFit="1" customWidth="1"/>
    <col min="1797" max="2033" width="11.42578125" style="205"/>
    <col min="2034" max="2034" width="0.42578125" style="205" customWidth="1"/>
    <col min="2035" max="2035" width="2.5703125" style="205" customWidth="1"/>
    <col min="2036" max="2036" width="15.42578125" style="205" customWidth="1"/>
    <col min="2037" max="2037" width="1.42578125" style="205" customWidth="1"/>
    <col min="2038" max="2038" width="27.5703125" style="205" customWidth="1"/>
    <col min="2039" max="2039" width="6.5703125" style="205" customWidth="1"/>
    <col min="2040" max="2040" width="1.5703125" style="205" customWidth="1"/>
    <col min="2041" max="2041" width="10.5703125" style="205" customWidth="1"/>
    <col min="2042" max="2042" width="5.5703125" style="205" customWidth="1"/>
    <col min="2043" max="2043" width="1.5703125" style="205" customWidth="1"/>
    <col min="2044" max="2044" width="10.5703125" style="205" customWidth="1"/>
    <col min="2045" max="2045" width="6.5703125" style="205" customWidth="1"/>
    <col min="2046" max="2046" width="1.5703125" style="205" customWidth="1"/>
    <col min="2047" max="2047" width="10.5703125" style="205" customWidth="1"/>
    <col min="2048" max="2048" width="9.5703125" style="205" customWidth="1"/>
    <col min="2049" max="2049" width="13.42578125" style="205" bestFit="1" customWidth="1"/>
    <col min="2050" max="2050" width="7.5703125" style="205" customWidth="1"/>
    <col min="2051" max="2051" width="11.42578125" style="205"/>
    <col min="2052" max="2052" width="13.42578125" style="205" bestFit="1" customWidth="1"/>
    <col min="2053" max="2289" width="11.42578125" style="205"/>
    <col min="2290" max="2290" width="0.42578125" style="205" customWidth="1"/>
    <col min="2291" max="2291" width="2.5703125" style="205" customWidth="1"/>
    <col min="2292" max="2292" width="15.42578125" style="205" customWidth="1"/>
    <col min="2293" max="2293" width="1.42578125" style="205" customWidth="1"/>
    <col min="2294" max="2294" width="27.5703125" style="205" customWidth="1"/>
    <col min="2295" max="2295" width="6.5703125" style="205" customWidth="1"/>
    <col min="2296" max="2296" width="1.5703125" style="205" customWidth="1"/>
    <col min="2297" max="2297" width="10.5703125" style="205" customWidth="1"/>
    <col min="2298" max="2298" width="5.5703125" style="205" customWidth="1"/>
    <col min="2299" max="2299" width="1.5703125" style="205" customWidth="1"/>
    <col min="2300" max="2300" width="10.5703125" style="205" customWidth="1"/>
    <col min="2301" max="2301" width="6.5703125" style="205" customWidth="1"/>
    <col min="2302" max="2302" width="1.5703125" style="205" customWidth="1"/>
    <col min="2303" max="2303" width="10.5703125" style="205" customWidth="1"/>
    <col min="2304" max="2304" width="9.5703125" style="205" customWidth="1"/>
    <col min="2305" max="2305" width="13.42578125" style="205" bestFit="1" customWidth="1"/>
    <col min="2306" max="2306" width="7.5703125" style="205" customWidth="1"/>
    <col min="2307" max="2307" width="11.42578125" style="205"/>
    <col min="2308" max="2308" width="13.42578125" style="205" bestFit="1" customWidth="1"/>
    <col min="2309" max="2545" width="11.42578125" style="205"/>
    <col min="2546" max="2546" width="0.42578125" style="205" customWidth="1"/>
    <col min="2547" max="2547" width="2.5703125" style="205" customWidth="1"/>
    <col min="2548" max="2548" width="15.42578125" style="205" customWidth="1"/>
    <col min="2549" max="2549" width="1.42578125" style="205" customWidth="1"/>
    <col min="2550" max="2550" width="27.5703125" style="205" customWidth="1"/>
    <col min="2551" max="2551" width="6.5703125" style="205" customWidth="1"/>
    <col min="2552" max="2552" width="1.5703125" style="205" customWidth="1"/>
    <col min="2553" max="2553" width="10.5703125" style="205" customWidth="1"/>
    <col min="2554" max="2554" width="5.5703125" style="205" customWidth="1"/>
    <col min="2555" max="2555" width="1.5703125" style="205" customWidth="1"/>
    <col min="2556" max="2556" width="10.5703125" style="205" customWidth="1"/>
    <col min="2557" max="2557" width="6.5703125" style="205" customWidth="1"/>
    <col min="2558" max="2558" width="1.5703125" style="205" customWidth="1"/>
    <col min="2559" max="2559" width="10.5703125" style="205" customWidth="1"/>
    <col min="2560" max="2560" width="9.5703125" style="205" customWidth="1"/>
    <col min="2561" max="2561" width="13.42578125" style="205" bestFit="1" customWidth="1"/>
    <col min="2562" max="2562" width="7.5703125" style="205" customWidth="1"/>
    <col min="2563" max="2563" width="11.42578125" style="205"/>
    <col min="2564" max="2564" width="13.42578125" style="205" bestFit="1" customWidth="1"/>
    <col min="2565" max="2801" width="11.42578125" style="205"/>
    <col min="2802" max="2802" width="0.42578125" style="205" customWidth="1"/>
    <col min="2803" max="2803" width="2.5703125" style="205" customWidth="1"/>
    <col min="2804" max="2804" width="15.42578125" style="205" customWidth="1"/>
    <col min="2805" max="2805" width="1.42578125" style="205" customWidth="1"/>
    <col min="2806" max="2806" width="27.5703125" style="205" customWidth="1"/>
    <col min="2807" max="2807" width="6.5703125" style="205" customWidth="1"/>
    <col min="2808" max="2808" width="1.5703125" style="205" customWidth="1"/>
    <col min="2809" max="2809" width="10.5703125" style="205" customWidth="1"/>
    <col min="2810" max="2810" width="5.5703125" style="205" customWidth="1"/>
    <col min="2811" max="2811" width="1.5703125" style="205" customWidth="1"/>
    <col min="2812" max="2812" width="10.5703125" style="205" customWidth="1"/>
    <col min="2813" max="2813" width="6.5703125" style="205" customWidth="1"/>
    <col min="2814" max="2814" width="1.5703125" style="205" customWidth="1"/>
    <col min="2815" max="2815" width="10.5703125" style="205" customWidth="1"/>
    <col min="2816" max="2816" width="9.5703125" style="205" customWidth="1"/>
    <col min="2817" max="2817" width="13.42578125" style="205" bestFit="1" customWidth="1"/>
    <col min="2818" max="2818" width="7.5703125" style="205" customWidth="1"/>
    <col min="2819" max="2819" width="11.42578125" style="205"/>
    <col min="2820" max="2820" width="13.42578125" style="205" bestFit="1" customWidth="1"/>
    <col min="2821" max="3057" width="11.42578125" style="205"/>
    <col min="3058" max="3058" width="0.42578125" style="205" customWidth="1"/>
    <col min="3059" max="3059" width="2.5703125" style="205" customWidth="1"/>
    <col min="3060" max="3060" width="15.42578125" style="205" customWidth="1"/>
    <col min="3061" max="3061" width="1.42578125" style="205" customWidth="1"/>
    <col min="3062" max="3062" width="27.5703125" style="205" customWidth="1"/>
    <col min="3063" max="3063" width="6.5703125" style="205" customWidth="1"/>
    <col min="3064" max="3064" width="1.5703125" style="205" customWidth="1"/>
    <col min="3065" max="3065" width="10.5703125" style="205" customWidth="1"/>
    <col min="3066" max="3066" width="5.5703125" style="205" customWidth="1"/>
    <col min="3067" max="3067" width="1.5703125" style="205" customWidth="1"/>
    <col min="3068" max="3068" width="10.5703125" style="205" customWidth="1"/>
    <col min="3069" max="3069" width="6.5703125" style="205" customWidth="1"/>
    <col min="3070" max="3070" width="1.5703125" style="205" customWidth="1"/>
    <col min="3071" max="3071" width="10.5703125" style="205" customWidth="1"/>
    <col min="3072" max="3072" width="9.5703125" style="205" customWidth="1"/>
    <col min="3073" max="3073" width="13.42578125" style="205" bestFit="1" customWidth="1"/>
    <col min="3074" max="3074" width="7.5703125" style="205" customWidth="1"/>
    <col min="3075" max="3075" width="11.42578125" style="205"/>
    <col min="3076" max="3076" width="13.42578125" style="205" bestFit="1" customWidth="1"/>
    <col min="3077" max="3313" width="11.42578125" style="205"/>
    <col min="3314" max="3314" width="0.42578125" style="205" customWidth="1"/>
    <col min="3315" max="3315" width="2.5703125" style="205" customWidth="1"/>
    <col min="3316" max="3316" width="15.42578125" style="205" customWidth="1"/>
    <col min="3317" max="3317" width="1.42578125" style="205" customWidth="1"/>
    <col min="3318" max="3318" width="27.5703125" style="205" customWidth="1"/>
    <col min="3319" max="3319" width="6.5703125" style="205" customWidth="1"/>
    <col min="3320" max="3320" width="1.5703125" style="205" customWidth="1"/>
    <col min="3321" max="3321" width="10.5703125" style="205" customWidth="1"/>
    <col min="3322" max="3322" width="5.5703125" style="205" customWidth="1"/>
    <col min="3323" max="3323" width="1.5703125" style="205" customWidth="1"/>
    <col min="3324" max="3324" width="10.5703125" style="205" customWidth="1"/>
    <col min="3325" max="3325" width="6.5703125" style="205" customWidth="1"/>
    <col min="3326" max="3326" width="1.5703125" style="205" customWidth="1"/>
    <col min="3327" max="3327" width="10.5703125" style="205" customWidth="1"/>
    <col min="3328" max="3328" width="9.5703125" style="205" customWidth="1"/>
    <col min="3329" max="3329" width="13.42578125" style="205" bestFit="1" customWidth="1"/>
    <col min="3330" max="3330" width="7.5703125" style="205" customWidth="1"/>
    <col min="3331" max="3331" width="11.42578125" style="205"/>
    <col min="3332" max="3332" width="13.42578125" style="205" bestFit="1" customWidth="1"/>
    <col min="3333" max="3569" width="11.42578125" style="205"/>
    <col min="3570" max="3570" width="0.42578125" style="205" customWidth="1"/>
    <col min="3571" max="3571" width="2.5703125" style="205" customWidth="1"/>
    <col min="3572" max="3572" width="15.42578125" style="205" customWidth="1"/>
    <col min="3573" max="3573" width="1.42578125" style="205" customWidth="1"/>
    <col min="3574" max="3574" width="27.5703125" style="205" customWidth="1"/>
    <col min="3575" max="3575" width="6.5703125" style="205" customWidth="1"/>
    <col min="3576" max="3576" width="1.5703125" style="205" customWidth="1"/>
    <col min="3577" max="3577" width="10.5703125" style="205" customWidth="1"/>
    <col min="3578" max="3578" width="5.5703125" style="205" customWidth="1"/>
    <col min="3579" max="3579" width="1.5703125" style="205" customWidth="1"/>
    <col min="3580" max="3580" width="10.5703125" style="205" customWidth="1"/>
    <col min="3581" max="3581" width="6.5703125" style="205" customWidth="1"/>
    <col min="3582" max="3582" width="1.5703125" style="205" customWidth="1"/>
    <col min="3583" max="3583" width="10.5703125" style="205" customWidth="1"/>
    <col min="3584" max="3584" width="9.5703125" style="205" customWidth="1"/>
    <col min="3585" max="3585" width="13.42578125" style="205" bestFit="1" customWidth="1"/>
    <col min="3586" max="3586" width="7.5703125" style="205" customWidth="1"/>
    <col min="3587" max="3587" width="11.42578125" style="205"/>
    <col min="3588" max="3588" width="13.42578125" style="205" bestFit="1" customWidth="1"/>
    <col min="3589" max="3825" width="11.42578125" style="205"/>
    <col min="3826" max="3826" width="0.42578125" style="205" customWidth="1"/>
    <col min="3827" max="3827" width="2.5703125" style="205" customWidth="1"/>
    <col min="3828" max="3828" width="15.42578125" style="205" customWidth="1"/>
    <col min="3829" max="3829" width="1.42578125" style="205" customWidth="1"/>
    <col min="3830" max="3830" width="27.5703125" style="205" customWidth="1"/>
    <col min="3831" max="3831" width="6.5703125" style="205" customWidth="1"/>
    <col min="3832" max="3832" width="1.5703125" style="205" customWidth="1"/>
    <col min="3833" max="3833" width="10.5703125" style="205" customWidth="1"/>
    <col min="3834" max="3834" width="5.5703125" style="205" customWidth="1"/>
    <col min="3835" max="3835" width="1.5703125" style="205" customWidth="1"/>
    <col min="3836" max="3836" width="10.5703125" style="205" customWidth="1"/>
    <col min="3837" max="3837" width="6.5703125" style="205" customWidth="1"/>
    <col min="3838" max="3838" width="1.5703125" style="205" customWidth="1"/>
    <col min="3839" max="3839" width="10.5703125" style="205" customWidth="1"/>
    <col min="3840" max="3840" width="9.5703125" style="205" customWidth="1"/>
    <col min="3841" max="3841" width="13.42578125" style="205" bestFit="1" customWidth="1"/>
    <col min="3842" max="3842" width="7.5703125" style="205" customWidth="1"/>
    <col min="3843" max="3843" width="11.42578125" style="205"/>
    <col min="3844" max="3844" width="13.42578125" style="205" bestFit="1" customWidth="1"/>
    <col min="3845" max="4081" width="11.42578125" style="205"/>
    <col min="4082" max="4082" width="0.42578125" style="205" customWidth="1"/>
    <col min="4083" max="4083" width="2.5703125" style="205" customWidth="1"/>
    <col min="4084" max="4084" width="15.42578125" style="205" customWidth="1"/>
    <col min="4085" max="4085" width="1.42578125" style="205" customWidth="1"/>
    <col min="4086" max="4086" width="27.5703125" style="205" customWidth="1"/>
    <col min="4087" max="4087" width="6.5703125" style="205" customWidth="1"/>
    <col min="4088" max="4088" width="1.5703125" style="205" customWidth="1"/>
    <col min="4089" max="4089" width="10.5703125" style="205" customWidth="1"/>
    <col min="4090" max="4090" width="5.5703125" style="205" customWidth="1"/>
    <col min="4091" max="4091" width="1.5703125" style="205" customWidth="1"/>
    <col min="4092" max="4092" width="10.5703125" style="205" customWidth="1"/>
    <col min="4093" max="4093" width="6.5703125" style="205" customWidth="1"/>
    <col min="4094" max="4094" width="1.5703125" style="205" customWidth="1"/>
    <col min="4095" max="4095" width="10.5703125" style="205" customWidth="1"/>
    <col min="4096" max="4096" width="9.5703125" style="205" customWidth="1"/>
    <col min="4097" max="4097" width="13.42578125" style="205" bestFit="1" customWidth="1"/>
    <col min="4098" max="4098" width="7.5703125" style="205" customWidth="1"/>
    <col min="4099" max="4099" width="11.42578125" style="205"/>
    <col min="4100" max="4100" width="13.42578125" style="205" bestFit="1" customWidth="1"/>
    <col min="4101" max="4337" width="11.42578125" style="205"/>
    <col min="4338" max="4338" width="0.42578125" style="205" customWidth="1"/>
    <col min="4339" max="4339" width="2.5703125" style="205" customWidth="1"/>
    <col min="4340" max="4340" width="15.42578125" style="205" customWidth="1"/>
    <col min="4341" max="4341" width="1.42578125" style="205" customWidth="1"/>
    <col min="4342" max="4342" width="27.5703125" style="205" customWidth="1"/>
    <col min="4343" max="4343" width="6.5703125" style="205" customWidth="1"/>
    <col min="4344" max="4344" width="1.5703125" style="205" customWidth="1"/>
    <col min="4345" max="4345" width="10.5703125" style="205" customWidth="1"/>
    <col min="4346" max="4346" width="5.5703125" style="205" customWidth="1"/>
    <col min="4347" max="4347" width="1.5703125" style="205" customWidth="1"/>
    <col min="4348" max="4348" width="10.5703125" style="205" customWidth="1"/>
    <col min="4349" max="4349" width="6.5703125" style="205" customWidth="1"/>
    <col min="4350" max="4350" width="1.5703125" style="205" customWidth="1"/>
    <col min="4351" max="4351" width="10.5703125" style="205" customWidth="1"/>
    <col min="4352" max="4352" width="9.5703125" style="205" customWidth="1"/>
    <col min="4353" max="4353" width="13.42578125" style="205" bestFit="1" customWidth="1"/>
    <col min="4354" max="4354" width="7.5703125" style="205" customWidth="1"/>
    <col min="4355" max="4355" width="11.42578125" style="205"/>
    <col min="4356" max="4356" width="13.42578125" style="205" bestFit="1" customWidth="1"/>
    <col min="4357" max="4593" width="11.42578125" style="205"/>
    <col min="4594" max="4594" width="0.42578125" style="205" customWidth="1"/>
    <col min="4595" max="4595" width="2.5703125" style="205" customWidth="1"/>
    <col min="4596" max="4596" width="15.42578125" style="205" customWidth="1"/>
    <col min="4597" max="4597" width="1.42578125" style="205" customWidth="1"/>
    <col min="4598" max="4598" width="27.5703125" style="205" customWidth="1"/>
    <col min="4599" max="4599" width="6.5703125" style="205" customWidth="1"/>
    <col min="4600" max="4600" width="1.5703125" style="205" customWidth="1"/>
    <col min="4601" max="4601" width="10.5703125" style="205" customWidth="1"/>
    <col min="4602" max="4602" width="5.5703125" style="205" customWidth="1"/>
    <col min="4603" max="4603" width="1.5703125" style="205" customWidth="1"/>
    <col min="4604" max="4604" width="10.5703125" style="205" customWidth="1"/>
    <col min="4605" max="4605" width="6.5703125" style="205" customWidth="1"/>
    <col min="4606" max="4606" width="1.5703125" style="205" customWidth="1"/>
    <col min="4607" max="4607" width="10.5703125" style="205" customWidth="1"/>
    <col min="4608" max="4608" width="9.5703125" style="205" customWidth="1"/>
    <col min="4609" max="4609" width="13.42578125" style="205" bestFit="1" customWidth="1"/>
    <col min="4610" max="4610" width="7.5703125" style="205" customWidth="1"/>
    <col min="4611" max="4611" width="11.42578125" style="205"/>
    <col min="4612" max="4612" width="13.42578125" style="205" bestFit="1" customWidth="1"/>
    <col min="4613" max="4849" width="11.42578125" style="205"/>
    <col min="4850" max="4850" width="0.42578125" style="205" customWidth="1"/>
    <col min="4851" max="4851" width="2.5703125" style="205" customWidth="1"/>
    <col min="4852" max="4852" width="15.42578125" style="205" customWidth="1"/>
    <col min="4853" max="4853" width="1.42578125" style="205" customWidth="1"/>
    <col min="4854" max="4854" width="27.5703125" style="205" customWidth="1"/>
    <col min="4855" max="4855" width="6.5703125" style="205" customWidth="1"/>
    <col min="4856" max="4856" width="1.5703125" style="205" customWidth="1"/>
    <col min="4857" max="4857" width="10.5703125" style="205" customWidth="1"/>
    <col min="4858" max="4858" width="5.5703125" style="205" customWidth="1"/>
    <col min="4859" max="4859" width="1.5703125" style="205" customWidth="1"/>
    <col min="4860" max="4860" width="10.5703125" style="205" customWidth="1"/>
    <col min="4861" max="4861" width="6.5703125" style="205" customWidth="1"/>
    <col min="4862" max="4862" width="1.5703125" style="205" customWidth="1"/>
    <col min="4863" max="4863" width="10.5703125" style="205" customWidth="1"/>
    <col min="4864" max="4864" width="9.5703125" style="205" customWidth="1"/>
    <col min="4865" max="4865" width="13.42578125" style="205" bestFit="1" customWidth="1"/>
    <col min="4866" max="4866" width="7.5703125" style="205" customWidth="1"/>
    <col min="4867" max="4867" width="11.42578125" style="205"/>
    <col min="4868" max="4868" width="13.42578125" style="205" bestFit="1" customWidth="1"/>
    <col min="4869" max="5105" width="11.42578125" style="205"/>
    <col min="5106" max="5106" width="0.42578125" style="205" customWidth="1"/>
    <col min="5107" max="5107" width="2.5703125" style="205" customWidth="1"/>
    <col min="5108" max="5108" width="15.42578125" style="205" customWidth="1"/>
    <col min="5109" max="5109" width="1.42578125" style="205" customWidth="1"/>
    <col min="5110" max="5110" width="27.5703125" style="205" customWidth="1"/>
    <col min="5111" max="5111" width="6.5703125" style="205" customWidth="1"/>
    <col min="5112" max="5112" width="1.5703125" style="205" customWidth="1"/>
    <col min="5113" max="5113" width="10.5703125" style="205" customWidth="1"/>
    <col min="5114" max="5114" width="5.5703125" style="205" customWidth="1"/>
    <col min="5115" max="5115" width="1.5703125" style="205" customWidth="1"/>
    <col min="5116" max="5116" width="10.5703125" style="205" customWidth="1"/>
    <col min="5117" max="5117" width="6.5703125" style="205" customWidth="1"/>
    <col min="5118" max="5118" width="1.5703125" style="205" customWidth="1"/>
    <col min="5119" max="5119" width="10.5703125" style="205" customWidth="1"/>
    <col min="5120" max="5120" width="9.5703125" style="205" customWidth="1"/>
    <col min="5121" max="5121" width="13.42578125" style="205" bestFit="1" customWidth="1"/>
    <col min="5122" max="5122" width="7.5703125" style="205" customWidth="1"/>
    <col min="5123" max="5123" width="11.42578125" style="205"/>
    <col min="5124" max="5124" width="13.42578125" style="205" bestFit="1" customWidth="1"/>
    <col min="5125" max="5361" width="11.42578125" style="205"/>
    <col min="5362" max="5362" width="0.42578125" style="205" customWidth="1"/>
    <col min="5363" max="5363" width="2.5703125" style="205" customWidth="1"/>
    <col min="5364" max="5364" width="15.42578125" style="205" customWidth="1"/>
    <col min="5365" max="5365" width="1.42578125" style="205" customWidth="1"/>
    <col min="5366" max="5366" width="27.5703125" style="205" customWidth="1"/>
    <col min="5367" max="5367" width="6.5703125" style="205" customWidth="1"/>
    <col min="5368" max="5368" width="1.5703125" style="205" customWidth="1"/>
    <col min="5369" max="5369" width="10.5703125" style="205" customWidth="1"/>
    <col min="5370" max="5370" width="5.5703125" style="205" customWidth="1"/>
    <col min="5371" max="5371" width="1.5703125" style="205" customWidth="1"/>
    <col min="5372" max="5372" width="10.5703125" style="205" customWidth="1"/>
    <col min="5373" max="5373" width="6.5703125" style="205" customWidth="1"/>
    <col min="5374" max="5374" width="1.5703125" style="205" customWidth="1"/>
    <col min="5375" max="5375" width="10.5703125" style="205" customWidth="1"/>
    <col min="5376" max="5376" width="9.5703125" style="205" customWidth="1"/>
    <col min="5377" max="5377" width="13.42578125" style="205" bestFit="1" customWidth="1"/>
    <col min="5378" max="5378" width="7.5703125" style="205" customWidth="1"/>
    <col min="5379" max="5379" width="11.42578125" style="205"/>
    <col min="5380" max="5380" width="13.42578125" style="205" bestFit="1" customWidth="1"/>
    <col min="5381" max="5617" width="11.42578125" style="205"/>
    <col min="5618" max="5618" width="0.42578125" style="205" customWidth="1"/>
    <col min="5619" max="5619" width="2.5703125" style="205" customWidth="1"/>
    <col min="5620" max="5620" width="15.42578125" style="205" customWidth="1"/>
    <col min="5621" max="5621" width="1.42578125" style="205" customWidth="1"/>
    <col min="5622" max="5622" width="27.5703125" style="205" customWidth="1"/>
    <col min="5623" max="5623" width="6.5703125" style="205" customWidth="1"/>
    <col min="5624" max="5624" width="1.5703125" style="205" customWidth="1"/>
    <col min="5625" max="5625" width="10.5703125" style="205" customWidth="1"/>
    <col min="5626" max="5626" width="5.5703125" style="205" customWidth="1"/>
    <col min="5627" max="5627" width="1.5703125" style="205" customWidth="1"/>
    <col min="5628" max="5628" width="10.5703125" style="205" customWidth="1"/>
    <col min="5629" max="5629" width="6.5703125" style="205" customWidth="1"/>
    <col min="5630" max="5630" width="1.5703125" style="205" customWidth="1"/>
    <col min="5631" max="5631" width="10.5703125" style="205" customWidth="1"/>
    <col min="5632" max="5632" width="9.5703125" style="205" customWidth="1"/>
    <col min="5633" max="5633" width="13.42578125" style="205" bestFit="1" customWidth="1"/>
    <col min="5634" max="5634" width="7.5703125" style="205" customWidth="1"/>
    <col min="5635" max="5635" width="11.42578125" style="205"/>
    <col min="5636" max="5636" width="13.42578125" style="205" bestFit="1" customWidth="1"/>
    <col min="5637" max="5873" width="11.42578125" style="205"/>
    <col min="5874" max="5874" width="0.42578125" style="205" customWidth="1"/>
    <col min="5875" max="5875" width="2.5703125" style="205" customWidth="1"/>
    <col min="5876" max="5876" width="15.42578125" style="205" customWidth="1"/>
    <col min="5877" max="5877" width="1.42578125" style="205" customWidth="1"/>
    <col min="5878" max="5878" width="27.5703125" style="205" customWidth="1"/>
    <col min="5879" max="5879" width="6.5703125" style="205" customWidth="1"/>
    <col min="5880" max="5880" width="1.5703125" style="205" customWidth="1"/>
    <col min="5881" max="5881" width="10.5703125" style="205" customWidth="1"/>
    <col min="5882" max="5882" width="5.5703125" style="205" customWidth="1"/>
    <col min="5883" max="5883" width="1.5703125" style="205" customWidth="1"/>
    <col min="5884" max="5884" width="10.5703125" style="205" customWidth="1"/>
    <col min="5885" max="5885" width="6.5703125" style="205" customWidth="1"/>
    <col min="5886" max="5886" width="1.5703125" style="205" customWidth="1"/>
    <col min="5887" max="5887" width="10.5703125" style="205" customWidth="1"/>
    <col min="5888" max="5888" width="9.5703125" style="205" customWidth="1"/>
    <col min="5889" max="5889" width="13.42578125" style="205" bestFit="1" customWidth="1"/>
    <col min="5890" max="5890" width="7.5703125" style="205" customWidth="1"/>
    <col min="5891" max="5891" width="11.42578125" style="205"/>
    <col min="5892" max="5892" width="13.42578125" style="205" bestFit="1" customWidth="1"/>
    <col min="5893" max="6129" width="11.42578125" style="205"/>
    <col min="6130" max="6130" width="0.42578125" style="205" customWidth="1"/>
    <col min="6131" max="6131" width="2.5703125" style="205" customWidth="1"/>
    <col min="6132" max="6132" width="15.42578125" style="205" customWidth="1"/>
    <col min="6133" max="6133" width="1.42578125" style="205" customWidth="1"/>
    <col min="6134" max="6134" width="27.5703125" style="205" customWidth="1"/>
    <col min="6135" max="6135" width="6.5703125" style="205" customWidth="1"/>
    <col min="6136" max="6136" width="1.5703125" style="205" customWidth="1"/>
    <col min="6137" max="6137" width="10.5703125" style="205" customWidth="1"/>
    <col min="6138" max="6138" width="5.5703125" style="205" customWidth="1"/>
    <col min="6139" max="6139" width="1.5703125" style="205" customWidth="1"/>
    <col min="6140" max="6140" width="10.5703125" style="205" customWidth="1"/>
    <col min="6141" max="6141" width="6.5703125" style="205" customWidth="1"/>
    <col min="6142" max="6142" width="1.5703125" style="205" customWidth="1"/>
    <col min="6143" max="6143" width="10.5703125" style="205" customWidth="1"/>
    <col min="6144" max="6144" width="9.5703125" style="205" customWidth="1"/>
    <col min="6145" max="6145" width="13.42578125" style="205" bestFit="1" customWidth="1"/>
    <col min="6146" max="6146" width="7.5703125" style="205" customWidth="1"/>
    <col min="6147" max="6147" width="11.42578125" style="205"/>
    <col min="6148" max="6148" width="13.42578125" style="205" bestFit="1" customWidth="1"/>
    <col min="6149" max="6385" width="11.42578125" style="205"/>
    <col min="6386" max="6386" width="0.42578125" style="205" customWidth="1"/>
    <col min="6387" max="6387" width="2.5703125" style="205" customWidth="1"/>
    <col min="6388" max="6388" width="15.42578125" style="205" customWidth="1"/>
    <col min="6389" max="6389" width="1.42578125" style="205" customWidth="1"/>
    <col min="6390" max="6390" width="27.5703125" style="205" customWidth="1"/>
    <col min="6391" max="6391" width="6.5703125" style="205" customWidth="1"/>
    <col min="6392" max="6392" width="1.5703125" style="205" customWidth="1"/>
    <col min="6393" max="6393" width="10.5703125" style="205" customWidth="1"/>
    <col min="6394" max="6394" width="5.5703125" style="205" customWidth="1"/>
    <col min="6395" max="6395" width="1.5703125" style="205" customWidth="1"/>
    <col min="6396" max="6396" width="10.5703125" style="205" customWidth="1"/>
    <col min="6397" max="6397" width="6.5703125" style="205" customWidth="1"/>
    <col min="6398" max="6398" width="1.5703125" style="205" customWidth="1"/>
    <col min="6399" max="6399" width="10.5703125" style="205" customWidth="1"/>
    <col min="6400" max="6400" width="9.5703125" style="205" customWidth="1"/>
    <col min="6401" max="6401" width="13.42578125" style="205" bestFit="1" customWidth="1"/>
    <col min="6402" max="6402" width="7.5703125" style="205" customWidth="1"/>
    <col min="6403" max="6403" width="11.42578125" style="205"/>
    <col min="6404" max="6404" width="13.42578125" style="205" bestFit="1" customWidth="1"/>
    <col min="6405" max="6641" width="11.42578125" style="205"/>
    <col min="6642" max="6642" width="0.42578125" style="205" customWidth="1"/>
    <col min="6643" max="6643" width="2.5703125" style="205" customWidth="1"/>
    <col min="6644" max="6644" width="15.42578125" style="205" customWidth="1"/>
    <col min="6645" max="6645" width="1.42578125" style="205" customWidth="1"/>
    <col min="6646" max="6646" width="27.5703125" style="205" customWidth="1"/>
    <col min="6647" max="6647" width="6.5703125" style="205" customWidth="1"/>
    <col min="6648" max="6648" width="1.5703125" style="205" customWidth="1"/>
    <col min="6649" max="6649" width="10.5703125" style="205" customWidth="1"/>
    <col min="6650" max="6650" width="5.5703125" style="205" customWidth="1"/>
    <col min="6651" max="6651" width="1.5703125" style="205" customWidth="1"/>
    <col min="6652" max="6652" width="10.5703125" style="205" customWidth="1"/>
    <col min="6653" max="6653" width="6.5703125" style="205" customWidth="1"/>
    <col min="6654" max="6654" width="1.5703125" style="205" customWidth="1"/>
    <col min="6655" max="6655" width="10.5703125" style="205" customWidth="1"/>
    <col min="6656" max="6656" width="9.5703125" style="205" customWidth="1"/>
    <col min="6657" max="6657" width="13.42578125" style="205" bestFit="1" customWidth="1"/>
    <col min="6658" max="6658" width="7.5703125" style="205" customWidth="1"/>
    <col min="6659" max="6659" width="11.42578125" style="205"/>
    <col min="6660" max="6660" width="13.42578125" style="205" bestFit="1" customWidth="1"/>
    <col min="6661" max="6897" width="11.42578125" style="205"/>
    <col min="6898" max="6898" width="0.42578125" style="205" customWidth="1"/>
    <col min="6899" max="6899" width="2.5703125" style="205" customWidth="1"/>
    <col min="6900" max="6900" width="15.42578125" style="205" customWidth="1"/>
    <col min="6901" max="6901" width="1.42578125" style="205" customWidth="1"/>
    <col min="6902" max="6902" width="27.5703125" style="205" customWidth="1"/>
    <col min="6903" max="6903" width="6.5703125" style="205" customWidth="1"/>
    <col min="6904" max="6904" width="1.5703125" style="205" customWidth="1"/>
    <col min="6905" max="6905" width="10.5703125" style="205" customWidth="1"/>
    <col min="6906" max="6906" width="5.5703125" style="205" customWidth="1"/>
    <col min="6907" max="6907" width="1.5703125" style="205" customWidth="1"/>
    <col min="6908" max="6908" width="10.5703125" style="205" customWidth="1"/>
    <col min="6909" max="6909" width="6.5703125" style="205" customWidth="1"/>
    <col min="6910" max="6910" width="1.5703125" style="205" customWidth="1"/>
    <col min="6911" max="6911" width="10.5703125" style="205" customWidth="1"/>
    <col min="6912" max="6912" width="9.5703125" style="205" customWidth="1"/>
    <col min="6913" max="6913" width="13.42578125" style="205" bestFit="1" customWidth="1"/>
    <col min="6914" max="6914" width="7.5703125" style="205" customWidth="1"/>
    <col min="6915" max="6915" width="11.42578125" style="205"/>
    <col min="6916" max="6916" width="13.42578125" style="205" bestFit="1" customWidth="1"/>
    <col min="6917" max="7153" width="11.42578125" style="205"/>
    <col min="7154" max="7154" width="0.42578125" style="205" customWidth="1"/>
    <col min="7155" max="7155" width="2.5703125" style="205" customWidth="1"/>
    <col min="7156" max="7156" width="15.42578125" style="205" customWidth="1"/>
    <col min="7157" max="7157" width="1.42578125" style="205" customWidth="1"/>
    <col min="7158" max="7158" width="27.5703125" style="205" customWidth="1"/>
    <col min="7159" max="7159" width="6.5703125" style="205" customWidth="1"/>
    <col min="7160" max="7160" width="1.5703125" style="205" customWidth="1"/>
    <col min="7161" max="7161" width="10.5703125" style="205" customWidth="1"/>
    <col min="7162" max="7162" width="5.5703125" style="205" customWidth="1"/>
    <col min="7163" max="7163" width="1.5703125" style="205" customWidth="1"/>
    <col min="7164" max="7164" width="10.5703125" style="205" customWidth="1"/>
    <col min="7165" max="7165" width="6.5703125" style="205" customWidth="1"/>
    <col min="7166" max="7166" width="1.5703125" style="205" customWidth="1"/>
    <col min="7167" max="7167" width="10.5703125" style="205" customWidth="1"/>
    <col min="7168" max="7168" width="9.5703125" style="205" customWidth="1"/>
    <col min="7169" max="7169" width="13.42578125" style="205" bestFit="1" customWidth="1"/>
    <col min="7170" max="7170" width="7.5703125" style="205" customWidth="1"/>
    <col min="7171" max="7171" width="11.42578125" style="205"/>
    <col min="7172" max="7172" width="13.42578125" style="205" bestFit="1" customWidth="1"/>
    <col min="7173" max="7409" width="11.42578125" style="205"/>
    <col min="7410" max="7410" width="0.42578125" style="205" customWidth="1"/>
    <col min="7411" max="7411" width="2.5703125" style="205" customWidth="1"/>
    <col min="7412" max="7412" width="15.42578125" style="205" customWidth="1"/>
    <col min="7413" max="7413" width="1.42578125" style="205" customWidth="1"/>
    <col min="7414" max="7414" width="27.5703125" style="205" customWidth="1"/>
    <col min="7415" max="7415" width="6.5703125" style="205" customWidth="1"/>
    <col min="7416" max="7416" width="1.5703125" style="205" customWidth="1"/>
    <col min="7417" max="7417" width="10.5703125" style="205" customWidth="1"/>
    <col min="7418" max="7418" width="5.5703125" style="205" customWidth="1"/>
    <col min="7419" max="7419" width="1.5703125" style="205" customWidth="1"/>
    <col min="7420" max="7420" width="10.5703125" style="205" customWidth="1"/>
    <col min="7421" max="7421" width="6.5703125" style="205" customWidth="1"/>
    <col min="7422" max="7422" width="1.5703125" style="205" customWidth="1"/>
    <col min="7423" max="7423" width="10.5703125" style="205" customWidth="1"/>
    <col min="7424" max="7424" width="9.5703125" style="205" customWidth="1"/>
    <col min="7425" max="7425" width="13.42578125" style="205" bestFit="1" customWidth="1"/>
    <col min="7426" max="7426" width="7.5703125" style="205" customWidth="1"/>
    <col min="7427" max="7427" width="11.42578125" style="205"/>
    <col min="7428" max="7428" width="13.42578125" style="205" bestFit="1" customWidth="1"/>
    <col min="7429" max="7665" width="11.42578125" style="205"/>
    <col min="7666" max="7666" width="0.42578125" style="205" customWidth="1"/>
    <col min="7667" max="7667" width="2.5703125" style="205" customWidth="1"/>
    <col min="7668" max="7668" width="15.42578125" style="205" customWidth="1"/>
    <col min="7669" max="7669" width="1.42578125" style="205" customWidth="1"/>
    <col min="7670" max="7670" width="27.5703125" style="205" customWidth="1"/>
    <col min="7671" max="7671" width="6.5703125" style="205" customWidth="1"/>
    <col min="7672" max="7672" width="1.5703125" style="205" customWidth="1"/>
    <col min="7673" max="7673" width="10.5703125" style="205" customWidth="1"/>
    <col min="7674" max="7674" width="5.5703125" style="205" customWidth="1"/>
    <col min="7675" max="7675" width="1.5703125" style="205" customWidth="1"/>
    <col min="7676" max="7676" width="10.5703125" style="205" customWidth="1"/>
    <col min="7677" max="7677" width="6.5703125" style="205" customWidth="1"/>
    <col min="7678" max="7678" width="1.5703125" style="205" customWidth="1"/>
    <col min="7679" max="7679" width="10.5703125" style="205" customWidth="1"/>
    <col min="7680" max="7680" width="9.5703125" style="205" customWidth="1"/>
    <col min="7681" max="7681" width="13.42578125" style="205" bestFit="1" customWidth="1"/>
    <col min="7682" max="7682" width="7.5703125" style="205" customWidth="1"/>
    <col min="7683" max="7683" width="11.42578125" style="205"/>
    <col min="7684" max="7684" width="13.42578125" style="205" bestFit="1" customWidth="1"/>
    <col min="7685" max="7921" width="11.42578125" style="205"/>
    <col min="7922" max="7922" width="0.42578125" style="205" customWidth="1"/>
    <col min="7923" max="7923" width="2.5703125" style="205" customWidth="1"/>
    <col min="7924" max="7924" width="15.42578125" style="205" customWidth="1"/>
    <col min="7925" max="7925" width="1.42578125" style="205" customWidth="1"/>
    <col min="7926" max="7926" width="27.5703125" style="205" customWidth="1"/>
    <col min="7927" max="7927" width="6.5703125" style="205" customWidth="1"/>
    <col min="7928" max="7928" width="1.5703125" style="205" customWidth="1"/>
    <col min="7929" max="7929" width="10.5703125" style="205" customWidth="1"/>
    <col min="7930" max="7930" width="5.5703125" style="205" customWidth="1"/>
    <col min="7931" max="7931" width="1.5703125" style="205" customWidth="1"/>
    <col min="7932" max="7932" width="10.5703125" style="205" customWidth="1"/>
    <col min="7933" max="7933" width="6.5703125" style="205" customWidth="1"/>
    <col min="7934" max="7934" width="1.5703125" style="205" customWidth="1"/>
    <col min="7935" max="7935" width="10.5703125" style="205" customWidth="1"/>
    <col min="7936" max="7936" width="9.5703125" style="205" customWidth="1"/>
    <col min="7937" max="7937" width="13.42578125" style="205" bestFit="1" customWidth="1"/>
    <col min="7938" max="7938" width="7.5703125" style="205" customWidth="1"/>
    <col min="7939" max="7939" width="11.42578125" style="205"/>
    <col min="7940" max="7940" width="13.42578125" style="205" bestFit="1" customWidth="1"/>
    <col min="7941" max="8177" width="11.42578125" style="205"/>
    <col min="8178" max="8178" width="0.42578125" style="205" customWidth="1"/>
    <col min="8179" max="8179" width="2.5703125" style="205" customWidth="1"/>
    <col min="8180" max="8180" width="15.42578125" style="205" customWidth="1"/>
    <col min="8181" max="8181" width="1.42578125" style="205" customWidth="1"/>
    <col min="8182" max="8182" width="27.5703125" style="205" customWidth="1"/>
    <col min="8183" max="8183" width="6.5703125" style="205" customWidth="1"/>
    <col min="8184" max="8184" width="1.5703125" style="205" customWidth="1"/>
    <col min="8185" max="8185" width="10.5703125" style="205" customWidth="1"/>
    <col min="8186" max="8186" width="5.5703125" style="205" customWidth="1"/>
    <col min="8187" max="8187" width="1.5703125" style="205" customWidth="1"/>
    <col min="8188" max="8188" width="10.5703125" style="205" customWidth="1"/>
    <col min="8189" max="8189" width="6.5703125" style="205" customWidth="1"/>
    <col min="8190" max="8190" width="1.5703125" style="205" customWidth="1"/>
    <col min="8191" max="8191" width="10.5703125" style="205" customWidth="1"/>
    <col min="8192" max="8192" width="9.5703125" style="205" customWidth="1"/>
    <col min="8193" max="8193" width="13.42578125" style="205" bestFit="1" customWidth="1"/>
    <col min="8194" max="8194" width="7.5703125" style="205" customWidth="1"/>
    <col min="8195" max="8195" width="11.42578125" style="205"/>
    <col min="8196" max="8196" width="13.42578125" style="205" bestFit="1" customWidth="1"/>
    <col min="8197" max="8433" width="11.42578125" style="205"/>
    <col min="8434" max="8434" width="0.42578125" style="205" customWidth="1"/>
    <col min="8435" max="8435" width="2.5703125" style="205" customWidth="1"/>
    <col min="8436" max="8436" width="15.42578125" style="205" customWidth="1"/>
    <col min="8437" max="8437" width="1.42578125" style="205" customWidth="1"/>
    <col min="8438" max="8438" width="27.5703125" style="205" customWidth="1"/>
    <col min="8439" max="8439" width="6.5703125" style="205" customWidth="1"/>
    <col min="8440" max="8440" width="1.5703125" style="205" customWidth="1"/>
    <col min="8441" max="8441" width="10.5703125" style="205" customWidth="1"/>
    <col min="8442" max="8442" width="5.5703125" style="205" customWidth="1"/>
    <col min="8443" max="8443" width="1.5703125" style="205" customWidth="1"/>
    <col min="8444" max="8444" width="10.5703125" style="205" customWidth="1"/>
    <col min="8445" max="8445" width="6.5703125" style="205" customWidth="1"/>
    <col min="8446" max="8446" width="1.5703125" style="205" customWidth="1"/>
    <col min="8447" max="8447" width="10.5703125" style="205" customWidth="1"/>
    <col min="8448" max="8448" width="9.5703125" style="205" customWidth="1"/>
    <col min="8449" max="8449" width="13.42578125" style="205" bestFit="1" customWidth="1"/>
    <col min="8450" max="8450" width="7.5703125" style="205" customWidth="1"/>
    <col min="8451" max="8451" width="11.42578125" style="205"/>
    <col min="8452" max="8452" width="13.42578125" style="205" bestFit="1" customWidth="1"/>
    <col min="8453" max="8689" width="11.42578125" style="205"/>
    <col min="8690" max="8690" width="0.42578125" style="205" customWidth="1"/>
    <col min="8691" max="8691" width="2.5703125" style="205" customWidth="1"/>
    <col min="8692" max="8692" width="15.42578125" style="205" customWidth="1"/>
    <col min="8693" max="8693" width="1.42578125" style="205" customWidth="1"/>
    <col min="8694" max="8694" width="27.5703125" style="205" customWidth="1"/>
    <col min="8695" max="8695" width="6.5703125" style="205" customWidth="1"/>
    <col min="8696" max="8696" width="1.5703125" style="205" customWidth="1"/>
    <col min="8697" max="8697" width="10.5703125" style="205" customWidth="1"/>
    <col min="8698" max="8698" width="5.5703125" style="205" customWidth="1"/>
    <col min="8699" max="8699" width="1.5703125" style="205" customWidth="1"/>
    <col min="8700" max="8700" width="10.5703125" style="205" customWidth="1"/>
    <col min="8701" max="8701" width="6.5703125" style="205" customWidth="1"/>
    <col min="8702" max="8702" width="1.5703125" style="205" customWidth="1"/>
    <col min="8703" max="8703" width="10.5703125" style="205" customWidth="1"/>
    <col min="8704" max="8704" width="9.5703125" style="205" customWidth="1"/>
    <col min="8705" max="8705" width="13.42578125" style="205" bestFit="1" customWidth="1"/>
    <col min="8706" max="8706" width="7.5703125" style="205" customWidth="1"/>
    <col min="8707" max="8707" width="11.42578125" style="205"/>
    <col min="8708" max="8708" width="13.42578125" style="205" bestFit="1" customWidth="1"/>
    <col min="8709" max="8945" width="11.42578125" style="205"/>
    <col min="8946" max="8946" width="0.42578125" style="205" customWidth="1"/>
    <col min="8947" max="8947" width="2.5703125" style="205" customWidth="1"/>
    <col min="8948" max="8948" width="15.42578125" style="205" customWidth="1"/>
    <col min="8949" max="8949" width="1.42578125" style="205" customWidth="1"/>
    <col min="8950" max="8950" width="27.5703125" style="205" customWidth="1"/>
    <col min="8951" max="8951" width="6.5703125" style="205" customWidth="1"/>
    <col min="8952" max="8952" width="1.5703125" style="205" customWidth="1"/>
    <col min="8953" max="8953" width="10.5703125" style="205" customWidth="1"/>
    <col min="8954" max="8954" width="5.5703125" style="205" customWidth="1"/>
    <col min="8955" max="8955" width="1.5703125" style="205" customWidth="1"/>
    <col min="8956" max="8956" width="10.5703125" style="205" customWidth="1"/>
    <col min="8957" max="8957" width="6.5703125" style="205" customWidth="1"/>
    <col min="8958" max="8958" width="1.5703125" style="205" customWidth="1"/>
    <col min="8959" max="8959" width="10.5703125" style="205" customWidth="1"/>
    <col min="8960" max="8960" width="9.5703125" style="205" customWidth="1"/>
    <col min="8961" max="8961" width="13.42578125" style="205" bestFit="1" customWidth="1"/>
    <col min="8962" max="8962" width="7.5703125" style="205" customWidth="1"/>
    <col min="8963" max="8963" width="11.42578125" style="205"/>
    <col min="8964" max="8964" width="13.42578125" style="205" bestFit="1" customWidth="1"/>
    <col min="8965" max="9201" width="11.42578125" style="205"/>
    <col min="9202" max="9202" width="0.42578125" style="205" customWidth="1"/>
    <col min="9203" max="9203" width="2.5703125" style="205" customWidth="1"/>
    <col min="9204" max="9204" width="15.42578125" style="205" customWidth="1"/>
    <col min="9205" max="9205" width="1.42578125" style="205" customWidth="1"/>
    <col min="9206" max="9206" width="27.5703125" style="205" customWidth="1"/>
    <col min="9207" max="9207" width="6.5703125" style="205" customWidth="1"/>
    <col min="9208" max="9208" width="1.5703125" style="205" customWidth="1"/>
    <col min="9209" max="9209" width="10.5703125" style="205" customWidth="1"/>
    <col min="9210" max="9210" width="5.5703125" style="205" customWidth="1"/>
    <col min="9211" max="9211" width="1.5703125" style="205" customWidth="1"/>
    <col min="9212" max="9212" width="10.5703125" style="205" customWidth="1"/>
    <col min="9213" max="9213" width="6.5703125" style="205" customWidth="1"/>
    <col min="9214" max="9214" width="1.5703125" style="205" customWidth="1"/>
    <col min="9215" max="9215" width="10.5703125" style="205" customWidth="1"/>
    <col min="9216" max="9216" width="9.5703125" style="205" customWidth="1"/>
    <col min="9217" max="9217" width="13.42578125" style="205" bestFit="1" customWidth="1"/>
    <col min="9218" max="9218" width="7.5703125" style="205" customWidth="1"/>
    <col min="9219" max="9219" width="11.42578125" style="205"/>
    <col min="9220" max="9220" width="13.42578125" style="205" bestFit="1" customWidth="1"/>
    <col min="9221" max="9457" width="11.42578125" style="205"/>
    <col min="9458" max="9458" width="0.42578125" style="205" customWidth="1"/>
    <col min="9459" max="9459" width="2.5703125" style="205" customWidth="1"/>
    <col min="9460" max="9460" width="15.42578125" style="205" customWidth="1"/>
    <col min="9461" max="9461" width="1.42578125" style="205" customWidth="1"/>
    <col min="9462" max="9462" width="27.5703125" style="205" customWidth="1"/>
    <col min="9463" max="9463" width="6.5703125" style="205" customWidth="1"/>
    <col min="9464" max="9464" width="1.5703125" style="205" customWidth="1"/>
    <col min="9465" max="9465" width="10.5703125" style="205" customWidth="1"/>
    <col min="9466" max="9466" width="5.5703125" style="205" customWidth="1"/>
    <col min="9467" max="9467" width="1.5703125" style="205" customWidth="1"/>
    <col min="9468" max="9468" width="10.5703125" style="205" customWidth="1"/>
    <col min="9469" max="9469" width="6.5703125" style="205" customWidth="1"/>
    <col min="9470" max="9470" width="1.5703125" style="205" customWidth="1"/>
    <col min="9471" max="9471" width="10.5703125" style="205" customWidth="1"/>
    <col min="9472" max="9472" width="9.5703125" style="205" customWidth="1"/>
    <col min="9473" max="9473" width="13.42578125" style="205" bestFit="1" customWidth="1"/>
    <col min="9474" max="9474" width="7.5703125" style="205" customWidth="1"/>
    <col min="9475" max="9475" width="11.42578125" style="205"/>
    <col min="9476" max="9476" width="13.42578125" style="205" bestFit="1" customWidth="1"/>
    <col min="9477" max="9713" width="11.42578125" style="205"/>
    <col min="9714" max="9714" width="0.42578125" style="205" customWidth="1"/>
    <col min="9715" max="9715" width="2.5703125" style="205" customWidth="1"/>
    <col min="9716" max="9716" width="15.42578125" style="205" customWidth="1"/>
    <col min="9717" max="9717" width="1.42578125" style="205" customWidth="1"/>
    <col min="9718" max="9718" width="27.5703125" style="205" customWidth="1"/>
    <col min="9719" max="9719" width="6.5703125" style="205" customWidth="1"/>
    <col min="9720" max="9720" width="1.5703125" style="205" customWidth="1"/>
    <col min="9721" max="9721" width="10.5703125" style="205" customWidth="1"/>
    <col min="9722" max="9722" width="5.5703125" style="205" customWidth="1"/>
    <col min="9723" max="9723" width="1.5703125" style="205" customWidth="1"/>
    <col min="9724" max="9724" width="10.5703125" style="205" customWidth="1"/>
    <col min="9725" max="9725" width="6.5703125" style="205" customWidth="1"/>
    <col min="9726" max="9726" width="1.5703125" style="205" customWidth="1"/>
    <col min="9727" max="9727" width="10.5703125" style="205" customWidth="1"/>
    <col min="9728" max="9728" width="9.5703125" style="205" customWidth="1"/>
    <col min="9729" max="9729" width="13.42578125" style="205" bestFit="1" customWidth="1"/>
    <col min="9730" max="9730" width="7.5703125" style="205" customWidth="1"/>
    <col min="9731" max="9731" width="11.42578125" style="205"/>
    <col min="9732" max="9732" width="13.42578125" style="205" bestFit="1" customWidth="1"/>
    <col min="9733" max="9969" width="11.42578125" style="205"/>
    <col min="9970" max="9970" width="0.42578125" style="205" customWidth="1"/>
    <col min="9971" max="9971" width="2.5703125" style="205" customWidth="1"/>
    <col min="9972" max="9972" width="15.42578125" style="205" customWidth="1"/>
    <col min="9973" max="9973" width="1.42578125" style="205" customWidth="1"/>
    <col min="9974" max="9974" width="27.5703125" style="205" customWidth="1"/>
    <col min="9975" max="9975" width="6.5703125" style="205" customWidth="1"/>
    <col min="9976" max="9976" width="1.5703125" style="205" customWidth="1"/>
    <col min="9977" max="9977" width="10.5703125" style="205" customWidth="1"/>
    <col min="9978" max="9978" width="5.5703125" style="205" customWidth="1"/>
    <col min="9979" max="9979" width="1.5703125" style="205" customWidth="1"/>
    <col min="9980" max="9980" width="10.5703125" style="205" customWidth="1"/>
    <col min="9981" max="9981" width="6.5703125" style="205" customWidth="1"/>
    <col min="9982" max="9982" width="1.5703125" style="205" customWidth="1"/>
    <col min="9983" max="9983" width="10.5703125" style="205" customWidth="1"/>
    <col min="9984" max="9984" width="9.5703125" style="205" customWidth="1"/>
    <col min="9985" max="9985" width="13.42578125" style="205" bestFit="1" customWidth="1"/>
    <col min="9986" max="9986" width="7.5703125" style="205" customWidth="1"/>
    <col min="9987" max="9987" width="11.42578125" style="205"/>
    <col min="9988" max="9988" width="13.42578125" style="205" bestFit="1" customWidth="1"/>
    <col min="9989" max="10225" width="11.42578125" style="205"/>
    <col min="10226" max="10226" width="0.42578125" style="205" customWidth="1"/>
    <col min="10227" max="10227" width="2.5703125" style="205" customWidth="1"/>
    <col min="10228" max="10228" width="15.42578125" style="205" customWidth="1"/>
    <col min="10229" max="10229" width="1.42578125" style="205" customWidth="1"/>
    <col min="10230" max="10230" width="27.5703125" style="205" customWidth="1"/>
    <col min="10231" max="10231" width="6.5703125" style="205" customWidth="1"/>
    <col min="10232" max="10232" width="1.5703125" style="205" customWidth="1"/>
    <col min="10233" max="10233" width="10.5703125" style="205" customWidth="1"/>
    <col min="10234" max="10234" width="5.5703125" style="205" customWidth="1"/>
    <col min="10235" max="10235" width="1.5703125" style="205" customWidth="1"/>
    <col min="10236" max="10236" width="10.5703125" style="205" customWidth="1"/>
    <col min="10237" max="10237" width="6.5703125" style="205" customWidth="1"/>
    <col min="10238" max="10238" width="1.5703125" style="205" customWidth="1"/>
    <col min="10239" max="10239" width="10.5703125" style="205" customWidth="1"/>
    <col min="10240" max="10240" width="9.5703125" style="205" customWidth="1"/>
    <col min="10241" max="10241" width="13.42578125" style="205" bestFit="1" customWidth="1"/>
    <col min="10242" max="10242" width="7.5703125" style="205" customWidth="1"/>
    <col min="10243" max="10243" width="11.42578125" style="205"/>
    <col min="10244" max="10244" width="13.42578125" style="205" bestFit="1" customWidth="1"/>
    <col min="10245" max="10481" width="11.42578125" style="205"/>
    <col min="10482" max="10482" width="0.42578125" style="205" customWidth="1"/>
    <col min="10483" max="10483" width="2.5703125" style="205" customWidth="1"/>
    <col min="10484" max="10484" width="15.42578125" style="205" customWidth="1"/>
    <col min="10485" max="10485" width="1.42578125" style="205" customWidth="1"/>
    <col min="10486" max="10486" width="27.5703125" style="205" customWidth="1"/>
    <col min="10487" max="10487" width="6.5703125" style="205" customWidth="1"/>
    <col min="10488" max="10488" width="1.5703125" style="205" customWidth="1"/>
    <col min="10489" max="10489" width="10.5703125" style="205" customWidth="1"/>
    <col min="10490" max="10490" width="5.5703125" style="205" customWidth="1"/>
    <col min="10491" max="10491" width="1.5703125" style="205" customWidth="1"/>
    <col min="10492" max="10492" width="10.5703125" style="205" customWidth="1"/>
    <col min="10493" max="10493" width="6.5703125" style="205" customWidth="1"/>
    <col min="10494" max="10494" width="1.5703125" style="205" customWidth="1"/>
    <col min="10495" max="10495" width="10.5703125" style="205" customWidth="1"/>
    <col min="10496" max="10496" width="9.5703125" style="205" customWidth="1"/>
    <col min="10497" max="10497" width="13.42578125" style="205" bestFit="1" customWidth="1"/>
    <col min="10498" max="10498" width="7.5703125" style="205" customWidth="1"/>
    <col min="10499" max="10499" width="11.42578125" style="205"/>
    <col min="10500" max="10500" width="13.42578125" style="205" bestFit="1" customWidth="1"/>
    <col min="10501" max="10737" width="11.42578125" style="205"/>
    <col min="10738" max="10738" width="0.42578125" style="205" customWidth="1"/>
    <col min="10739" max="10739" width="2.5703125" style="205" customWidth="1"/>
    <col min="10740" max="10740" width="15.42578125" style="205" customWidth="1"/>
    <col min="10741" max="10741" width="1.42578125" style="205" customWidth="1"/>
    <col min="10742" max="10742" width="27.5703125" style="205" customWidth="1"/>
    <col min="10743" max="10743" width="6.5703125" style="205" customWidth="1"/>
    <col min="10744" max="10744" width="1.5703125" style="205" customWidth="1"/>
    <col min="10745" max="10745" width="10.5703125" style="205" customWidth="1"/>
    <col min="10746" max="10746" width="5.5703125" style="205" customWidth="1"/>
    <col min="10747" max="10747" width="1.5703125" style="205" customWidth="1"/>
    <col min="10748" max="10748" width="10.5703125" style="205" customWidth="1"/>
    <col min="10749" max="10749" width="6.5703125" style="205" customWidth="1"/>
    <col min="10750" max="10750" width="1.5703125" style="205" customWidth="1"/>
    <col min="10751" max="10751" width="10.5703125" style="205" customWidth="1"/>
    <col min="10752" max="10752" width="9.5703125" style="205" customWidth="1"/>
    <col min="10753" max="10753" width="13.42578125" style="205" bestFit="1" customWidth="1"/>
    <col min="10754" max="10754" width="7.5703125" style="205" customWidth="1"/>
    <col min="10755" max="10755" width="11.42578125" style="205"/>
    <col min="10756" max="10756" width="13.42578125" style="205" bestFit="1" customWidth="1"/>
    <col min="10757" max="10993" width="11.42578125" style="205"/>
    <col min="10994" max="10994" width="0.42578125" style="205" customWidth="1"/>
    <col min="10995" max="10995" width="2.5703125" style="205" customWidth="1"/>
    <col min="10996" max="10996" width="15.42578125" style="205" customWidth="1"/>
    <col min="10997" max="10997" width="1.42578125" style="205" customWidth="1"/>
    <col min="10998" max="10998" width="27.5703125" style="205" customWidth="1"/>
    <col min="10999" max="10999" width="6.5703125" style="205" customWidth="1"/>
    <col min="11000" max="11000" width="1.5703125" style="205" customWidth="1"/>
    <col min="11001" max="11001" width="10.5703125" style="205" customWidth="1"/>
    <col min="11002" max="11002" width="5.5703125" style="205" customWidth="1"/>
    <col min="11003" max="11003" width="1.5703125" style="205" customWidth="1"/>
    <col min="11004" max="11004" width="10.5703125" style="205" customWidth="1"/>
    <col min="11005" max="11005" width="6.5703125" style="205" customWidth="1"/>
    <col min="11006" max="11006" width="1.5703125" style="205" customWidth="1"/>
    <col min="11007" max="11007" width="10.5703125" style="205" customWidth="1"/>
    <col min="11008" max="11008" width="9.5703125" style="205" customWidth="1"/>
    <col min="11009" max="11009" width="13.42578125" style="205" bestFit="1" customWidth="1"/>
    <col min="11010" max="11010" width="7.5703125" style="205" customWidth="1"/>
    <col min="11011" max="11011" width="11.42578125" style="205"/>
    <col min="11012" max="11012" width="13.42578125" style="205" bestFit="1" customWidth="1"/>
    <col min="11013" max="11249" width="11.42578125" style="205"/>
    <col min="11250" max="11250" width="0.42578125" style="205" customWidth="1"/>
    <col min="11251" max="11251" width="2.5703125" style="205" customWidth="1"/>
    <col min="11252" max="11252" width="15.42578125" style="205" customWidth="1"/>
    <col min="11253" max="11253" width="1.42578125" style="205" customWidth="1"/>
    <col min="11254" max="11254" width="27.5703125" style="205" customWidth="1"/>
    <col min="11255" max="11255" width="6.5703125" style="205" customWidth="1"/>
    <col min="11256" max="11256" width="1.5703125" style="205" customWidth="1"/>
    <col min="11257" max="11257" width="10.5703125" style="205" customWidth="1"/>
    <col min="11258" max="11258" width="5.5703125" style="205" customWidth="1"/>
    <col min="11259" max="11259" width="1.5703125" style="205" customWidth="1"/>
    <col min="11260" max="11260" width="10.5703125" style="205" customWidth="1"/>
    <col min="11261" max="11261" width="6.5703125" style="205" customWidth="1"/>
    <col min="11262" max="11262" width="1.5703125" style="205" customWidth="1"/>
    <col min="11263" max="11263" width="10.5703125" style="205" customWidth="1"/>
    <col min="11264" max="11264" width="9.5703125" style="205" customWidth="1"/>
    <col min="11265" max="11265" width="13.42578125" style="205" bestFit="1" customWidth="1"/>
    <col min="11266" max="11266" width="7.5703125" style="205" customWidth="1"/>
    <col min="11267" max="11267" width="11.42578125" style="205"/>
    <col min="11268" max="11268" width="13.42578125" style="205" bestFit="1" customWidth="1"/>
    <col min="11269" max="11505" width="11.42578125" style="205"/>
    <col min="11506" max="11506" width="0.42578125" style="205" customWidth="1"/>
    <col min="11507" max="11507" width="2.5703125" style="205" customWidth="1"/>
    <col min="11508" max="11508" width="15.42578125" style="205" customWidth="1"/>
    <col min="11509" max="11509" width="1.42578125" style="205" customWidth="1"/>
    <col min="11510" max="11510" width="27.5703125" style="205" customWidth="1"/>
    <col min="11511" max="11511" width="6.5703125" style="205" customWidth="1"/>
    <col min="11512" max="11512" width="1.5703125" style="205" customWidth="1"/>
    <col min="11513" max="11513" width="10.5703125" style="205" customWidth="1"/>
    <col min="11514" max="11514" width="5.5703125" style="205" customWidth="1"/>
    <col min="11515" max="11515" width="1.5703125" style="205" customWidth="1"/>
    <col min="11516" max="11516" width="10.5703125" style="205" customWidth="1"/>
    <col min="11517" max="11517" width="6.5703125" style="205" customWidth="1"/>
    <col min="11518" max="11518" width="1.5703125" style="205" customWidth="1"/>
    <col min="11519" max="11519" width="10.5703125" style="205" customWidth="1"/>
    <col min="11520" max="11520" width="9.5703125" style="205" customWidth="1"/>
    <col min="11521" max="11521" width="13.42578125" style="205" bestFit="1" customWidth="1"/>
    <col min="11522" max="11522" width="7.5703125" style="205" customWidth="1"/>
    <col min="11523" max="11523" width="11.42578125" style="205"/>
    <col min="11524" max="11524" width="13.42578125" style="205" bestFit="1" customWidth="1"/>
    <col min="11525" max="11761" width="11.42578125" style="205"/>
    <col min="11762" max="11762" width="0.42578125" style="205" customWidth="1"/>
    <col min="11763" max="11763" width="2.5703125" style="205" customWidth="1"/>
    <col min="11764" max="11764" width="15.42578125" style="205" customWidth="1"/>
    <col min="11765" max="11765" width="1.42578125" style="205" customWidth="1"/>
    <col min="11766" max="11766" width="27.5703125" style="205" customWidth="1"/>
    <col min="11767" max="11767" width="6.5703125" style="205" customWidth="1"/>
    <col min="11768" max="11768" width="1.5703125" style="205" customWidth="1"/>
    <col min="11769" max="11769" width="10.5703125" style="205" customWidth="1"/>
    <col min="11770" max="11770" width="5.5703125" style="205" customWidth="1"/>
    <col min="11771" max="11771" width="1.5703125" style="205" customWidth="1"/>
    <col min="11772" max="11772" width="10.5703125" style="205" customWidth="1"/>
    <col min="11773" max="11773" width="6.5703125" style="205" customWidth="1"/>
    <col min="11774" max="11774" width="1.5703125" style="205" customWidth="1"/>
    <col min="11775" max="11775" width="10.5703125" style="205" customWidth="1"/>
    <col min="11776" max="11776" width="9.5703125" style="205" customWidth="1"/>
    <col min="11777" max="11777" width="13.42578125" style="205" bestFit="1" customWidth="1"/>
    <col min="11778" max="11778" width="7.5703125" style="205" customWidth="1"/>
    <col min="11779" max="11779" width="11.42578125" style="205"/>
    <col min="11780" max="11780" width="13.42578125" style="205" bestFit="1" customWidth="1"/>
    <col min="11781" max="12017" width="11.42578125" style="205"/>
    <col min="12018" max="12018" width="0.42578125" style="205" customWidth="1"/>
    <col min="12019" max="12019" width="2.5703125" style="205" customWidth="1"/>
    <col min="12020" max="12020" width="15.42578125" style="205" customWidth="1"/>
    <col min="12021" max="12021" width="1.42578125" style="205" customWidth="1"/>
    <col min="12022" max="12022" width="27.5703125" style="205" customWidth="1"/>
    <col min="12023" max="12023" width="6.5703125" style="205" customWidth="1"/>
    <col min="12024" max="12024" width="1.5703125" style="205" customWidth="1"/>
    <col min="12025" max="12025" width="10.5703125" style="205" customWidth="1"/>
    <col min="12026" max="12026" width="5.5703125" style="205" customWidth="1"/>
    <col min="12027" max="12027" width="1.5703125" style="205" customWidth="1"/>
    <col min="12028" max="12028" width="10.5703125" style="205" customWidth="1"/>
    <col min="12029" max="12029" width="6.5703125" style="205" customWidth="1"/>
    <col min="12030" max="12030" width="1.5703125" style="205" customWidth="1"/>
    <col min="12031" max="12031" width="10.5703125" style="205" customWidth="1"/>
    <col min="12032" max="12032" width="9.5703125" style="205" customWidth="1"/>
    <col min="12033" max="12033" width="13.42578125" style="205" bestFit="1" customWidth="1"/>
    <col min="12034" max="12034" width="7.5703125" style="205" customWidth="1"/>
    <col min="12035" max="12035" width="11.42578125" style="205"/>
    <col min="12036" max="12036" width="13.42578125" style="205" bestFit="1" customWidth="1"/>
    <col min="12037" max="12273" width="11.42578125" style="205"/>
    <col min="12274" max="12274" width="0.42578125" style="205" customWidth="1"/>
    <col min="12275" max="12275" width="2.5703125" style="205" customWidth="1"/>
    <col min="12276" max="12276" width="15.42578125" style="205" customWidth="1"/>
    <col min="12277" max="12277" width="1.42578125" style="205" customWidth="1"/>
    <col min="12278" max="12278" width="27.5703125" style="205" customWidth="1"/>
    <col min="12279" max="12279" width="6.5703125" style="205" customWidth="1"/>
    <col min="12280" max="12280" width="1.5703125" style="205" customWidth="1"/>
    <col min="12281" max="12281" width="10.5703125" style="205" customWidth="1"/>
    <col min="12282" max="12282" width="5.5703125" style="205" customWidth="1"/>
    <col min="12283" max="12283" width="1.5703125" style="205" customWidth="1"/>
    <col min="12284" max="12284" width="10.5703125" style="205" customWidth="1"/>
    <col min="12285" max="12285" width="6.5703125" style="205" customWidth="1"/>
    <col min="12286" max="12286" width="1.5703125" style="205" customWidth="1"/>
    <col min="12287" max="12287" width="10.5703125" style="205" customWidth="1"/>
    <col min="12288" max="12288" width="9.5703125" style="205" customWidth="1"/>
    <col min="12289" max="12289" width="13.42578125" style="205" bestFit="1" customWidth="1"/>
    <col min="12290" max="12290" width="7.5703125" style="205" customWidth="1"/>
    <col min="12291" max="12291" width="11.42578125" style="205"/>
    <col min="12292" max="12292" width="13.42578125" style="205" bestFit="1" customWidth="1"/>
    <col min="12293" max="12529" width="11.42578125" style="205"/>
    <col min="12530" max="12530" width="0.42578125" style="205" customWidth="1"/>
    <col min="12531" max="12531" width="2.5703125" style="205" customWidth="1"/>
    <col min="12532" max="12532" width="15.42578125" style="205" customWidth="1"/>
    <col min="12533" max="12533" width="1.42578125" style="205" customWidth="1"/>
    <col min="12534" max="12534" width="27.5703125" style="205" customWidth="1"/>
    <col min="12535" max="12535" width="6.5703125" style="205" customWidth="1"/>
    <col min="12536" max="12536" width="1.5703125" style="205" customWidth="1"/>
    <col min="12537" max="12537" width="10.5703125" style="205" customWidth="1"/>
    <col min="12538" max="12538" width="5.5703125" style="205" customWidth="1"/>
    <col min="12539" max="12539" width="1.5703125" style="205" customWidth="1"/>
    <col min="12540" max="12540" width="10.5703125" style="205" customWidth="1"/>
    <col min="12541" max="12541" width="6.5703125" style="205" customWidth="1"/>
    <col min="12542" max="12542" width="1.5703125" style="205" customWidth="1"/>
    <col min="12543" max="12543" width="10.5703125" style="205" customWidth="1"/>
    <col min="12544" max="12544" width="9.5703125" style="205" customWidth="1"/>
    <col min="12545" max="12545" width="13.42578125" style="205" bestFit="1" customWidth="1"/>
    <col min="12546" max="12546" width="7.5703125" style="205" customWidth="1"/>
    <col min="12547" max="12547" width="11.42578125" style="205"/>
    <col min="12548" max="12548" width="13.42578125" style="205" bestFit="1" customWidth="1"/>
    <col min="12549" max="12785" width="11.42578125" style="205"/>
    <col min="12786" max="12786" width="0.42578125" style="205" customWidth="1"/>
    <col min="12787" max="12787" width="2.5703125" style="205" customWidth="1"/>
    <col min="12788" max="12788" width="15.42578125" style="205" customWidth="1"/>
    <col min="12789" max="12789" width="1.42578125" style="205" customWidth="1"/>
    <col min="12790" max="12790" width="27.5703125" style="205" customWidth="1"/>
    <col min="12791" max="12791" width="6.5703125" style="205" customWidth="1"/>
    <col min="12792" max="12792" width="1.5703125" style="205" customWidth="1"/>
    <col min="12793" max="12793" width="10.5703125" style="205" customWidth="1"/>
    <col min="12794" max="12794" width="5.5703125" style="205" customWidth="1"/>
    <col min="12795" max="12795" width="1.5703125" style="205" customWidth="1"/>
    <col min="12796" max="12796" width="10.5703125" style="205" customWidth="1"/>
    <col min="12797" max="12797" width="6.5703125" style="205" customWidth="1"/>
    <col min="12798" max="12798" width="1.5703125" style="205" customWidth="1"/>
    <col min="12799" max="12799" width="10.5703125" style="205" customWidth="1"/>
    <col min="12800" max="12800" width="9.5703125" style="205" customWidth="1"/>
    <col min="12801" max="12801" width="13.42578125" style="205" bestFit="1" customWidth="1"/>
    <col min="12802" max="12802" width="7.5703125" style="205" customWidth="1"/>
    <col min="12803" max="12803" width="11.42578125" style="205"/>
    <col min="12804" max="12804" width="13.42578125" style="205" bestFit="1" customWidth="1"/>
    <col min="12805" max="13041" width="11.42578125" style="205"/>
    <col min="13042" max="13042" width="0.42578125" style="205" customWidth="1"/>
    <col min="13043" max="13043" width="2.5703125" style="205" customWidth="1"/>
    <col min="13044" max="13044" width="15.42578125" style="205" customWidth="1"/>
    <col min="13045" max="13045" width="1.42578125" style="205" customWidth="1"/>
    <col min="13046" max="13046" width="27.5703125" style="205" customWidth="1"/>
    <col min="13047" max="13047" width="6.5703125" style="205" customWidth="1"/>
    <col min="13048" max="13048" width="1.5703125" style="205" customWidth="1"/>
    <col min="13049" max="13049" width="10.5703125" style="205" customWidth="1"/>
    <col min="13050" max="13050" width="5.5703125" style="205" customWidth="1"/>
    <col min="13051" max="13051" width="1.5703125" style="205" customWidth="1"/>
    <col min="13052" max="13052" width="10.5703125" style="205" customWidth="1"/>
    <col min="13053" max="13053" width="6.5703125" style="205" customWidth="1"/>
    <col min="13054" max="13054" width="1.5703125" style="205" customWidth="1"/>
    <col min="13055" max="13055" width="10.5703125" style="205" customWidth="1"/>
    <col min="13056" max="13056" width="9.5703125" style="205" customWidth="1"/>
    <col min="13057" max="13057" width="13.42578125" style="205" bestFit="1" customWidth="1"/>
    <col min="13058" max="13058" width="7.5703125" style="205" customWidth="1"/>
    <col min="13059" max="13059" width="11.42578125" style="205"/>
    <col min="13060" max="13060" width="13.42578125" style="205" bestFit="1" customWidth="1"/>
    <col min="13061" max="13297" width="11.42578125" style="205"/>
    <col min="13298" max="13298" width="0.42578125" style="205" customWidth="1"/>
    <col min="13299" max="13299" width="2.5703125" style="205" customWidth="1"/>
    <col min="13300" max="13300" width="15.42578125" style="205" customWidth="1"/>
    <col min="13301" max="13301" width="1.42578125" style="205" customWidth="1"/>
    <col min="13302" max="13302" width="27.5703125" style="205" customWidth="1"/>
    <col min="13303" max="13303" width="6.5703125" style="205" customWidth="1"/>
    <col min="13304" max="13304" width="1.5703125" style="205" customWidth="1"/>
    <col min="13305" max="13305" width="10.5703125" style="205" customWidth="1"/>
    <col min="13306" max="13306" width="5.5703125" style="205" customWidth="1"/>
    <col min="13307" max="13307" width="1.5703125" style="205" customWidth="1"/>
    <col min="13308" max="13308" width="10.5703125" style="205" customWidth="1"/>
    <col min="13309" max="13309" width="6.5703125" style="205" customWidth="1"/>
    <col min="13310" max="13310" width="1.5703125" style="205" customWidth="1"/>
    <col min="13311" max="13311" width="10.5703125" style="205" customWidth="1"/>
    <col min="13312" max="13312" width="9.5703125" style="205" customWidth="1"/>
    <col min="13313" max="13313" width="13.42578125" style="205" bestFit="1" customWidth="1"/>
    <col min="13314" max="13314" width="7.5703125" style="205" customWidth="1"/>
    <col min="13315" max="13315" width="11.42578125" style="205"/>
    <col min="13316" max="13316" width="13.42578125" style="205" bestFit="1" customWidth="1"/>
    <col min="13317" max="13553" width="11.42578125" style="205"/>
    <col min="13554" max="13554" width="0.42578125" style="205" customWidth="1"/>
    <col min="13555" max="13555" width="2.5703125" style="205" customWidth="1"/>
    <col min="13556" max="13556" width="15.42578125" style="205" customWidth="1"/>
    <col min="13557" max="13557" width="1.42578125" style="205" customWidth="1"/>
    <col min="13558" max="13558" width="27.5703125" style="205" customWidth="1"/>
    <col min="13559" max="13559" width="6.5703125" style="205" customWidth="1"/>
    <col min="13560" max="13560" width="1.5703125" style="205" customWidth="1"/>
    <col min="13561" max="13561" width="10.5703125" style="205" customWidth="1"/>
    <col min="13562" max="13562" width="5.5703125" style="205" customWidth="1"/>
    <col min="13563" max="13563" width="1.5703125" style="205" customWidth="1"/>
    <col min="13564" max="13564" width="10.5703125" style="205" customWidth="1"/>
    <col min="13565" max="13565" width="6.5703125" style="205" customWidth="1"/>
    <col min="13566" max="13566" width="1.5703125" style="205" customWidth="1"/>
    <col min="13567" max="13567" width="10.5703125" style="205" customWidth="1"/>
    <col min="13568" max="13568" width="9.5703125" style="205" customWidth="1"/>
    <col min="13569" max="13569" width="13.42578125" style="205" bestFit="1" customWidth="1"/>
    <col min="13570" max="13570" width="7.5703125" style="205" customWidth="1"/>
    <col min="13571" max="13571" width="11.42578125" style="205"/>
    <col min="13572" max="13572" width="13.42578125" style="205" bestFit="1" customWidth="1"/>
    <col min="13573" max="13809" width="11.42578125" style="205"/>
    <col min="13810" max="13810" width="0.42578125" style="205" customWidth="1"/>
    <col min="13811" max="13811" width="2.5703125" style="205" customWidth="1"/>
    <col min="13812" max="13812" width="15.42578125" style="205" customWidth="1"/>
    <col min="13813" max="13813" width="1.42578125" style="205" customWidth="1"/>
    <col min="13814" max="13814" width="27.5703125" style="205" customWidth="1"/>
    <col min="13815" max="13815" width="6.5703125" style="205" customWidth="1"/>
    <col min="13816" max="13816" width="1.5703125" style="205" customWidth="1"/>
    <col min="13817" max="13817" width="10.5703125" style="205" customWidth="1"/>
    <col min="13818" max="13818" width="5.5703125" style="205" customWidth="1"/>
    <col min="13819" max="13819" width="1.5703125" style="205" customWidth="1"/>
    <col min="13820" max="13820" width="10.5703125" style="205" customWidth="1"/>
    <col min="13821" max="13821" width="6.5703125" style="205" customWidth="1"/>
    <col min="13822" max="13822" width="1.5703125" style="205" customWidth="1"/>
    <col min="13823" max="13823" width="10.5703125" style="205" customWidth="1"/>
    <col min="13824" max="13824" width="9.5703125" style="205" customWidth="1"/>
    <col min="13825" max="13825" width="13.42578125" style="205" bestFit="1" customWidth="1"/>
    <col min="13826" max="13826" width="7.5703125" style="205" customWidth="1"/>
    <col min="13827" max="13827" width="11.42578125" style="205"/>
    <col min="13828" max="13828" width="13.42578125" style="205" bestFit="1" customWidth="1"/>
    <col min="13829" max="14065" width="11.42578125" style="205"/>
    <col min="14066" max="14066" width="0.42578125" style="205" customWidth="1"/>
    <col min="14067" max="14067" width="2.5703125" style="205" customWidth="1"/>
    <col min="14068" max="14068" width="15.42578125" style="205" customWidth="1"/>
    <col min="14069" max="14069" width="1.42578125" style="205" customWidth="1"/>
    <col min="14070" max="14070" width="27.5703125" style="205" customWidth="1"/>
    <col min="14071" max="14071" width="6.5703125" style="205" customWidth="1"/>
    <col min="14072" max="14072" width="1.5703125" style="205" customWidth="1"/>
    <col min="14073" max="14073" width="10.5703125" style="205" customWidth="1"/>
    <col min="14074" max="14074" width="5.5703125" style="205" customWidth="1"/>
    <col min="14075" max="14075" width="1.5703125" style="205" customWidth="1"/>
    <col min="14076" max="14076" width="10.5703125" style="205" customWidth="1"/>
    <col min="14077" max="14077" width="6.5703125" style="205" customWidth="1"/>
    <col min="14078" max="14078" width="1.5703125" style="205" customWidth="1"/>
    <col min="14079" max="14079" width="10.5703125" style="205" customWidth="1"/>
    <col min="14080" max="14080" width="9.5703125" style="205" customWidth="1"/>
    <col min="14081" max="14081" width="13.42578125" style="205" bestFit="1" customWidth="1"/>
    <col min="14082" max="14082" width="7.5703125" style="205" customWidth="1"/>
    <col min="14083" max="14083" width="11.42578125" style="205"/>
    <col min="14084" max="14084" width="13.42578125" style="205" bestFit="1" customWidth="1"/>
    <col min="14085" max="14321" width="11.42578125" style="205"/>
    <col min="14322" max="14322" width="0.42578125" style="205" customWidth="1"/>
    <col min="14323" max="14323" width="2.5703125" style="205" customWidth="1"/>
    <col min="14324" max="14324" width="15.42578125" style="205" customWidth="1"/>
    <col min="14325" max="14325" width="1.42578125" style="205" customWidth="1"/>
    <col min="14326" max="14326" width="27.5703125" style="205" customWidth="1"/>
    <col min="14327" max="14327" width="6.5703125" style="205" customWidth="1"/>
    <col min="14328" max="14328" width="1.5703125" style="205" customWidth="1"/>
    <col min="14329" max="14329" width="10.5703125" style="205" customWidth="1"/>
    <col min="14330" max="14330" width="5.5703125" style="205" customWidth="1"/>
    <col min="14331" max="14331" width="1.5703125" style="205" customWidth="1"/>
    <col min="14332" max="14332" width="10.5703125" style="205" customWidth="1"/>
    <col min="14333" max="14333" width="6.5703125" style="205" customWidth="1"/>
    <col min="14334" max="14334" width="1.5703125" style="205" customWidth="1"/>
    <col min="14335" max="14335" width="10.5703125" style="205" customWidth="1"/>
    <col min="14336" max="14336" width="9.5703125" style="205" customWidth="1"/>
    <col min="14337" max="14337" width="13.42578125" style="205" bestFit="1" customWidth="1"/>
    <col min="14338" max="14338" width="7.5703125" style="205" customWidth="1"/>
    <col min="14339" max="14339" width="11.42578125" style="205"/>
    <col min="14340" max="14340" width="13.42578125" style="205" bestFit="1" customWidth="1"/>
    <col min="14341" max="14577" width="11.42578125" style="205"/>
    <col min="14578" max="14578" width="0.42578125" style="205" customWidth="1"/>
    <col min="14579" max="14579" width="2.5703125" style="205" customWidth="1"/>
    <col min="14580" max="14580" width="15.42578125" style="205" customWidth="1"/>
    <col min="14581" max="14581" width="1.42578125" style="205" customWidth="1"/>
    <col min="14582" max="14582" width="27.5703125" style="205" customWidth="1"/>
    <col min="14583" max="14583" width="6.5703125" style="205" customWidth="1"/>
    <col min="14584" max="14584" width="1.5703125" style="205" customWidth="1"/>
    <col min="14585" max="14585" width="10.5703125" style="205" customWidth="1"/>
    <col min="14586" max="14586" width="5.5703125" style="205" customWidth="1"/>
    <col min="14587" max="14587" width="1.5703125" style="205" customWidth="1"/>
    <col min="14588" max="14588" width="10.5703125" style="205" customWidth="1"/>
    <col min="14589" max="14589" width="6.5703125" style="205" customWidth="1"/>
    <col min="14590" max="14590" width="1.5703125" style="205" customWidth="1"/>
    <col min="14591" max="14591" width="10.5703125" style="205" customWidth="1"/>
    <col min="14592" max="14592" width="9.5703125" style="205" customWidth="1"/>
    <col min="14593" max="14593" width="13.42578125" style="205" bestFit="1" customWidth="1"/>
    <col min="14594" max="14594" width="7.5703125" style="205" customWidth="1"/>
    <col min="14595" max="14595" width="11.42578125" style="205"/>
    <col min="14596" max="14596" width="13.42578125" style="205" bestFit="1" customWidth="1"/>
    <col min="14597" max="14833" width="11.42578125" style="205"/>
    <col min="14834" max="14834" width="0.42578125" style="205" customWidth="1"/>
    <col min="14835" max="14835" width="2.5703125" style="205" customWidth="1"/>
    <col min="14836" max="14836" width="15.42578125" style="205" customWidth="1"/>
    <col min="14837" max="14837" width="1.42578125" style="205" customWidth="1"/>
    <col min="14838" max="14838" width="27.5703125" style="205" customWidth="1"/>
    <col min="14839" max="14839" width="6.5703125" style="205" customWidth="1"/>
    <col min="14840" max="14840" width="1.5703125" style="205" customWidth="1"/>
    <col min="14841" max="14841" width="10.5703125" style="205" customWidth="1"/>
    <col min="14842" max="14842" width="5.5703125" style="205" customWidth="1"/>
    <col min="14843" max="14843" width="1.5703125" style="205" customWidth="1"/>
    <col min="14844" max="14844" width="10.5703125" style="205" customWidth="1"/>
    <col min="14845" max="14845" width="6.5703125" style="205" customWidth="1"/>
    <col min="14846" max="14846" width="1.5703125" style="205" customWidth="1"/>
    <col min="14847" max="14847" width="10.5703125" style="205" customWidth="1"/>
    <col min="14848" max="14848" width="9.5703125" style="205" customWidth="1"/>
    <col min="14849" max="14849" width="13.42578125" style="205" bestFit="1" customWidth="1"/>
    <col min="14850" max="14850" width="7.5703125" style="205" customWidth="1"/>
    <col min="14851" max="14851" width="11.42578125" style="205"/>
    <col min="14852" max="14852" width="13.42578125" style="205" bestFit="1" customWidth="1"/>
    <col min="14853" max="15089" width="11.42578125" style="205"/>
    <col min="15090" max="15090" width="0.42578125" style="205" customWidth="1"/>
    <col min="15091" max="15091" width="2.5703125" style="205" customWidth="1"/>
    <col min="15092" max="15092" width="15.42578125" style="205" customWidth="1"/>
    <col min="15093" max="15093" width="1.42578125" style="205" customWidth="1"/>
    <col min="15094" max="15094" width="27.5703125" style="205" customWidth="1"/>
    <col min="15095" max="15095" width="6.5703125" style="205" customWidth="1"/>
    <col min="15096" max="15096" width="1.5703125" style="205" customWidth="1"/>
    <col min="15097" max="15097" width="10.5703125" style="205" customWidth="1"/>
    <col min="15098" max="15098" width="5.5703125" style="205" customWidth="1"/>
    <col min="15099" max="15099" width="1.5703125" style="205" customWidth="1"/>
    <col min="15100" max="15100" width="10.5703125" style="205" customWidth="1"/>
    <col min="15101" max="15101" width="6.5703125" style="205" customWidth="1"/>
    <col min="15102" max="15102" width="1.5703125" style="205" customWidth="1"/>
    <col min="15103" max="15103" width="10.5703125" style="205" customWidth="1"/>
    <col min="15104" max="15104" width="9.5703125" style="205" customWidth="1"/>
    <col min="15105" max="15105" width="13.42578125" style="205" bestFit="1" customWidth="1"/>
    <col min="15106" max="15106" width="7.5703125" style="205" customWidth="1"/>
    <col min="15107" max="15107" width="11.42578125" style="205"/>
    <col min="15108" max="15108" width="13.42578125" style="205" bestFit="1" customWidth="1"/>
    <col min="15109" max="15345" width="11.42578125" style="205"/>
    <col min="15346" max="15346" width="0.42578125" style="205" customWidth="1"/>
    <col min="15347" max="15347" width="2.5703125" style="205" customWidth="1"/>
    <col min="15348" max="15348" width="15.42578125" style="205" customWidth="1"/>
    <col min="15349" max="15349" width="1.42578125" style="205" customWidth="1"/>
    <col min="15350" max="15350" width="27.5703125" style="205" customWidth="1"/>
    <col min="15351" max="15351" width="6.5703125" style="205" customWidth="1"/>
    <col min="15352" max="15352" width="1.5703125" style="205" customWidth="1"/>
    <col min="15353" max="15353" width="10.5703125" style="205" customWidth="1"/>
    <col min="15354" max="15354" width="5.5703125" style="205" customWidth="1"/>
    <col min="15355" max="15355" width="1.5703125" style="205" customWidth="1"/>
    <col min="15356" max="15356" width="10.5703125" style="205" customWidth="1"/>
    <col min="15357" max="15357" width="6.5703125" style="205" customWidth="1"/>
    <col min="15358" max="15358" width="1.5703125" style="205" customWidth="1"/>
    <col min="15359" max="15359" width="10.5703125" style="205" customWidth="1"/>
    <col min="15360" max="15360" width="9.5703125" style="205" customWidth="1"/>
    <col min="15361" max="15361" width="13.42578125" style="205" bestFit="1" customWidth="1"/>
    <col min="15362" max="15362" width="7.5703125" style="205" customWidth="1"/>
    <col min="15363" max="15363" width="11.42578125" style="205"/>
    <col min="15364" max="15364" width="13.42578125" style="205" bestFit="1" customWidth="1"/>
    <col min="15365" max="15601" width="11.42578125" style="205"/>
    <col min="15602" max="15602" width="0.42578125" style="205" customWidth="1"/>
    <col min="15603" max="15603" width="2.5703125" style="205" customWidth="1"/>
    <col min="15604" max="15604" width="15.42578125" style="205" customWidth="1"/>
    <col min="15605" max="15605" width="1.42578125" style="205" customWidth="1"/>
    <col min="15606" max="15606" width="27.5703125" style="205" customWidth="1"/>
    <col min="15607" max="15607" width="6.5703125" style="205" customWidth="1"/>
    <col min="15608" max="15608" width="1.5703125" style="205" customWidth="1"/>
    <col min="15609" max="15609" width="10.5703125" style="205" customWidth="1"/>
    <col min="15610" max="15610" width="5.5703125" style="205" customWidth="1"/>
    <col min="15611" max="15611" width="1.5703125" style="205" customWidth="1"/>
    <col min="15612" max="15612" width="10.5703125" style="205" customWidth="1"/>
    <col min="15613" max="15613" width="6.5703125" style="205" customWidth="1"/>
    <col min="15614" max="15614" width="1.5703125" style="205" customWidth="1"/>
    <col min="15615" max="15615" width="10.5703125" style="205" customWidth="1"/>
    <col min="15616" max="15616" width="9.5703125" style="205" customWidth="1"/>
    <col min="15617" max="15617" width="13.42578125" style="205" bestFit="1" customWidth="1"/>
    <col min="15618" max="15618" width="7.5703125" style="205" customWidth="1"/>
    <col min="15619" max="15619" width="11.42578125" style="205"/>
    <col min="15620" max="15620" width="13.42578125" style="205" bestFit="1" customWidth="1"/>
    <col min="15621" max="15857" width="11.42578125" style="205"/>
    <col min="15858" max="15858" width="0.42578125" style="205" customWidth="1"/>
    <col min="15859" max="15859" width="2.5703125" style="205" customWidth="1"/>
    <col min="15860" max="15860" width="15.42578125" style="205" customWidth="1"/>
    <col min="15861" max="15861" width="1.42578125" style="205" customWidth="1"/>
    <col min="15862" max="15862" width="27.5703125" style="205" customWidth="1"/>
    <col min="15863" max="15863" width="6.5703125" style="205" customWidth="1"/>
    <col min="15864" max="15864" width="1.5703125" style="205" customWidth="1"/>
    <col min="15865" max="15865" width="10.5703125" style="205" customWidth="1"/>
    <col min="15866" max="15866" width="5.5703125" style="205" customWidth="1"/>
    <col min="15867" max="15867" width="1.5703125" style="205" customWidth="1"/>
    <col min="15868" max="15868" width="10.5703125" style="205" customWidth="1"/>
    <col min="15869" max="15869" width="6.5703125" style="205" customWidth="1"/>
    <col min="15870" max="15870" width="1.5703125" style="205" customWidth="1"/>
    <col min="15871" max="15871" width="10.5703125" style="205" customWidth="1"/>
    <col min="15872" max="15872" width="9.5703125" style="205" customWidth="1"/>
    <col min="15873" max="15873" width="13.42578125" style="205" bestFit="1" customWidth="1"/>
    <col min="15874" max="15874" width="7.5703125" style="205" customWidth="1"/>
    <col min="15875" max="15875" width="11.42578125" style="205"/>
    <col min="15876" max="15876" width="13.42578125" style="205" bestFit="1" customWidth="1"/>
    <col min="15877" max="16113" width="11.42578125" style="205"/>
    <col min="16114" max="16114" width="0.42578125" style="205" customWidth="1"/>
    <col min="16115" max="16115" width="2.5703125" style="205" customWidth="1"/>
    <col min="16116" max="16116" width="15.42578125" style="205" customWidth="1"/>
    <col min="16117" max="16117" width="1.42578125" style="205" customWidth="1"/>
    <col min="16118" max="16118" width="27.5703125" style="205" customWidth="1"/>
    <col min="16119" max="16119" width="6.5703125" style="205" customWidth="1"/>
    <col min="16120" max="16120" width="1.5703125" style="205" customWidth="1"/>
    <col min="16121" max="16121" width="10.5703125" style="205" customWidth="1"/>
    <col min="16122" max="16122" width="5.5703125" style="205" customWidth="1"/>
    <col min="16123" max="16123" width="1.5703125" style="205" customWidth="1"/>
    <col min="16124" max="16124" width="10.5703125" style="205" customWidth="1"/>
    <col min="16125" max="16125" width="6.5703125" style="205" customWidth="1"/>
    <col min="16126" max="16126" width="1.5703125" style="205" customWidth="1"/>
    <col min="16127" max="16127" width="10.5703125" style="205" customWidth="1"/>
    <col min="16128" max="16128" width="9.5703125" style="205" customWidth="1"/>
    <col min="16129" max="16129" width="13.42578125" style="205" bestFit="1" customWidth="1"/>
    <col min="16130" max="16130" width="7.5703125" style="205" customWidth="1"/>
    <col min="16131" max="16131" width="11.42578125" style="205"/>
    <col min="16132" max="16132" width="13.42578125" style="205" bestFit="1" customWidth="1"/>
    <col min="16133" max="16384" width="11.42578125" style="205"/>
  </cols>
  <sheetData>
    <row r="1" spans="1:14" s="54" customFormat="1" ht="0.75" customHeight="1"/>
    <row r="2" spans="1:14" s="54" customFormat="1" ht="21" customHeight="1">
      <c r="E2" s="65"/>
      <c r="G2" s="27" t="s">
        <v>19</v>
      </c>
    </row>
    <row r="3" spans="1:14" s="54" customFormat="1" ht="15" customHeight="1">
      <c r="E3" s="62"/>
      <c r="F3" s="62"/>
      <c r="G3" s="43" t="str">
        <f>Indice!E3</f>
        <v>Julio 2026</v>
      </c>
    </row>
    <row r="4" spans="1:14" s="58" customFormat="1" ht="20.25" customHeight="1">
      <c r="B4" s="57"/>
      <c r="C4" s="25" t="s">
        <v>119</v>
      </c>
      <c r="G4" s="203"/>
    </row>
    <row r="5" spans="1:14" s="58" customFormat="1" ht="12.75" customHeight="1">
      <c r="B5" s="57"/>
      <c r="C5" s="45"/>
      <c r="G5" s="203"/>
    </row>
    <row r="6" spans="1:14" s="58" customFormat="1" ht="13.5" customHeight="1">
      <c r="B6" s="57"/>
      <c r="D6" s="55"/>
      <c r="E6" s="55"/>
      <c r="G6" s="203"/>
    </row>
    <row r="7" spans="1:14" s="58" customFormat="1" ht="12.75" customHeight="1">
      <c r="B7" s="57"/>
      <c r="C7" s="264" t="s">
        <v>126</v>
      </c>
      <c r="D7" s="55"/>
      <c r="E7" s="267" t="s">
        <v>127</v>
      </c>
      <c r="F7" s="267"/>
      <c r="G7" s="203"/>
    </row>
    <row r="8" spans="1:14" ht="12.75" customHeight="1">
      <c r="A8" s="58"/>
      <c r="B8" s="57"/>
      <c r="C8" s="264"/>
      <c r="D8" s="55"/>
      <c r="E8" s="268" t="str">
        <f>CONCATENATE(TEXT(SUM(Dat_01!R23:R24),"0,00")," MWh")</f>
        <v>0,00 MWh</v>
      </c>
      <c r="F8" s="268"/>
      <c r="G8" s="204"/>
    </row>
    <row r="9" spans="1:14">
      <c r="A9" s="58"/>
      <c r="B9" s="57"/>
      <c r="C9" s="264"/>
      <c r="D9" s="55"/>
      <c r="F9" s="205"/>
      <c r="G9" s="207"/>
      <c r="H9" s="208"/>
      <c r="I9" s="208"/>
      <c r="J9" s="209"/>
      <c r="K9" s="208"/>
      <c r="L9" s="209"/>
      <c r="M9" s="208"/>
      <c r="N9" s="209"/>
    </row>
    <row r="10" spans="1:14">
      <c r="C10" s="206"/>
      <c r="E10" s="265" t="s">
        <v>123</v>
      </c>
      <c r="F10" s="266" t="str">
        <f>CONCATENATE(TEXT(Dat_01!R23,"0,00")," MWh")</f>
        <v>0,00 MWh</v>
      </c>
    </row>
    <row r="11" spans="1:14">
      <c r="E11" s="265"/>
      <c r="F11" s="266"/>
    </row>
    <row r="12" spans="1:14">
      <c r="E12" s="210"/>
      <c r="F12" s="210"/>
    </row>
    <row r="13" spans="1:14">
      <c r="E13" s="210"/>
      <c r="F13" s="210"/>
    </row>
    <row r="14" spans="1:14">
      <c r="F14" s="210"/>
    </row>
    <row r="15" spans="1:14">
      <c r="E15" s="210"/>
      <c r="F15" s="211"/>
    </row>
    <row r="16" spans="1:14">
      <c r="E16" s="210"/>
      <c r="F16" s="210"/>
    </row>
    <row r="17" spans="1:14">
      <c r="E17" s="210"/>
      <c r="F17" s="210"/>
    </row>
    <row r="18" spans="1:14">
      <c r="E18" s="210"/>
      <c r="F18" s="210"/>
    </row>
    <row r="19" spans="1:14">
      <c r="E19" s="210"/>
      <c r="F19" s="210"/>
    </row>
    <row r="20" spans="1:14">
      <c r="E20" s="210"/>
      <c r="F20" s="210"/>
    </row>
    <row r="21" spans="1:14">
      <c r="E21" s="210"/>
      <c r="F21" s="210"/>
    </row>
    <row r="22" spans="1:14">
      <c r="E22" s="210"/>
      <c r="F22" s="210"/>
    </row>
    <row r="23" spans="1:14">
      <c r="E23" s="265" t="s">
        <v>124</v>
      </c>
      <c r="F23" s="266" t="str">
        <f>CONCATENATE(TEXT(Dat_01!R24,"0,00")," MWh")</f>
        <v>0,00 MWh</v>
      </c>
    </row>
    <row r="24" spans="1:14" s="212" customFormat="1">
      <c r="A24" s="54"/>
      <c r="B24" s="54"/>
      <c r="C24" s="54"/>
      <c r="D24" s="54"/>
      <c r="E24" s="265"/>
      <c r="F24" s="266"/>
      <c r="G24" s="205"/>
      <c r="H24" s="205"/>
      <c r="I24" s="205"/>
      <c r="J24" s="205"/>
      <c r="K24" s="205"/>
      <c r="L24" s="205"/>
      <c r="M24" s="205"/>
      <c r="N24" s="205"/>
    </row>
  </sheetData>
  <mergeCells count="7">
    <mergeCell ref="E23:E24"/>
    <mergeCell ref="F23:F24"/>
    <mergeCell ref="C7:C9"/>
    <mergeCell ref="E7:F7"/>
    <mergeCell ref="E8:F8"/>
    <mergeCell ref="E10:E11"/>
    <mergeCell ref="F10:F11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4294967292" r:id="rId1"/>
  <headerFooter alignWithMargins="0"/>
  <ignoredErrors>
    <ignoredError sqref="E8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13AC2-E52D-4F92-B10A-F63D965553D1}">
  <sheetPr>
    <pageSetUpPr fitToPage="1"/>
  </sheetPr>
  <dimension ref="A1:H40"/>
  <sheetViews>
    <sheetView showGridLines="0" showRowColHeaders="0" workbookViewId="0">
      <selection activeCell="B2" sqref="B2"/>
    </sheetView>
  </sheetViews>
  <sheetFormatPr baseColWidth="10" defaultRowHeight="12.75"/>
  <cols>
    <col min="1" max="1" width="0.42578125" style="29" customWidth="1"/>
    <col min="2" max="2" width="2.5703125" style="29" customWidth="1"/>
    <col min="3" max="3" width="23.5703125" style="29" customWidth="1"/>
    <col min="4" max="4" width="1.42578125" style="29" customWidth="1"/>
    <col min="5" max="5" width="58.5703125" style="29" customWidth="1"/>
    <col min="6" max="7" width="11.5703125" style="28"/>
    <col min="8" max="8" width="15.5703125" style="28" customWidth="1"/>
    <col min="9" max="252" width="11.5703125" style="28"/>
    <col min="253" max="253" width="0.42578125" style="28" customWidth="1"/>
    <col min="254" max="254" width="2.5703125" style="28" customWidth="1"/>
    <col min="255" max="255" width="18.5703125" style="28" customWidth="1"/>
    <col min="256" max="256" width="1.42578125" style="28" customWidth="1"/>
    <col min="257" max="257" width="58.5703125" style="28" customWidth="1"/>
    <col min="258" max="259" width="11.5703125" style="28"/>
    <col min="260" max="260" width="2.42578125" style="28" customWidth="1"/>
    <col min="261" max="261" width="11.5703125" style="28"/>
    <col min="262" max="262" width="9.5703125" style="28" customWidth="1"/>
    <col min="263" max="508" width="11.5703125" style="28"/>
    <col min="509" max="509" width="0.42578125" style="28" customWidth="1"/>
    <col min="510" max="510" width="2.5703125" style="28" customWidth="1"/>
    <col min="511" max="511" width="18.5703125" style="28" customWidth="1"/>
    <col min="512" max="512" width="1.42578125" style="28" customWidth="1"/>
    <col min="513" max="513" width="58.5703125" style="28" customWidth="1"/>
    <col min="514" max="515" width="11.5703125" style="28"/>
    <col min="516" max="516" width="2.42578125" style="28" customWidth="1"/>
    <col min="517" max="517" width="11.5703125" style="28"/>
    <col min="518" max="518" width="9.5703125" style="28" customWidth="1"/>
    <col min="519" max="764" width="11.5703125" style="28"/>
    <col min="765" max="765" width="0.42578125" style="28" customWidth="1"/>
    <col min="766" max="766" width="2.5703125" style="28" customWidth="1"/>
    <col min="767" max="767" width="18.5703125" style="28" customWidth="1"/>
    <col min="768" max="768" width="1.42578125" style="28" customWidth="1"/>
    <col min="769" max="769" width="58.5703125" style="28" customWidth="1"/>
    <col min="770" max="771" width="11.5703125" style="28"/>
    <col min="772" max="772" width="2.42578125" style="28" customWidth="1"/>
    <col min="773" max="773" width="11.5703125" style="28"/>
    <col min="774" max="774" width="9.5703125" style="28" customWidth="1"/>
    <col min="775" max="1020" width="11.5703125" style="28"/>
    <col min="1021" max="1021" width="0.42578125" style="28" customWidth="1"/>
    <col min="1022" max="1022" width="2.5703125" style="28" customWidth="1"/>
    <col min="1023" max="1023" width="18.5703125" style="28" customWidth="1"/>
    <col min="1024" max="1024" width="1.42578125" style="28" customWidth="1"/>
    <col min="1025" max="1025" width="58.5703125" style="28" customWidth="1"/>
    <col min="1026" max="1027" width="11.5703125" style="28"/>
    <col min="1028" max="1028" width="2.42578125" style="28" customWidth="1"/>
    <col min="1029" max="1029" width="11.5703125" style="28"/>
    <col min="1030" max="1030" width="9.5703125" style="28" customWidth="1"/>
    <col min="1031" max="1276" width="11.5703125" style="28"/>
    <col min="1277" max="1277" width="0.42578125" style="28" customWidth="1"/>
    <col min="1278" max="1278" width="2.5703125" style="28" customWidth="1"/>
    <col min="1279" max="1279" width="18.5703125" style="28" customWidth="1"/>
    <col min="1280" max="1280" width="1.42578125" style="28" customWidth="1"/>
    <col min="1281" max="1281" width="58.5703125" style="28" customWidth="1"/>
    <col min="1282" max="1283" width="11.5703125" style="28"/>
    <col min="1284" max="1284" width="2.42578125" style="28" customWidth="1"/>
    <col min="1285" max="1285" width="11.5703125" style="28"/>
    <col min="1286" max="1286" width="9.5703125" style="28" customWidth="1"/>
    <col min="1287" max="1532" width="11.5703125" style="28"/>
    <col min="1533" max="1533" width="0.42578125" style="28" customWidth="1"/>
    <col min="1534" max="1534" width="2.5703125" style="28" customWidth="1"/>
    <col min="1535" max="1535" width="18.5703125" style="28" customWidth="1"/>
    <col min="1536" max="1536" width="1.42578125" style="28" customWidth="1"/>
    <col min="1537" max="1537" width="58.5703125" style="28" customWidth="1"/>
    <col min="1538" max="1539" width="11.5703125" style="28"/>
    <col min="1540" max="1540" width="2.42578125" style="28" customWidth="1"/>
    <col min="1541" max="1541" width="11.5703125" style="28"/>
    <col min="1542" max="1542" width="9.5703125" style="28" customWidth="1"/>
    <col min="1543" max="1788" width="11.5703125" style="28"/>
    <col min="1789" max="1789" width="0.42578125" style="28" customWidth="1"/>
    <col min="1790" max="1790" width="2.5703125" style="28" customWidth="1"/>
    <col min="1791" max="1791" width="18.5703125" style="28" customWidth="1"/>
    <col min="1792" max="1792" width="1.42578125" style="28" customWidth="1"/>
    <col min="1793" max="1793" width="58.5703125" style="28" customWidth="1"/>
    <col min="1794" max="1795" width="11.5703125" style="28"/>
    <col min="1796" max="1796" width="2.42578125" style="28" customWidth="1"/>
    <col min="1797" max="1797" width="11.5703125" style="28"/>
    <col min="1798" max="1798" width="9.5703125" style="28" customWidth="1"/>
    <col min="1799" max="2044" width="11.5703125" style="28"/>
    <col min="2045" max="2045" width="0.42578125" style="28" customWidth="1"/>
    <col min="2046" max="2046" width="2.5703125" style="28" customWidth="1"/>
    <col min="2047" max="2047" width="18.5703125" style="28" customWidth="1"/>
    <col min="2048" max="2048" width="1.42578125" style="28" customWidth="1"/>
    <col min="2049" max="2049" width="58.5703125" style="28" customWidth="1"/>
    <col min="2050" max="2051" width="11.5703125" style="28"/>
    <col min="2052" max="2052" width="2.42578125" style="28" customWidth="1"/>
    <col min="2053" max="2053" width="11.5703125" style="28"/>
    <col min="2054" max="2054" width="9.5703125" style="28" customWidth="1"/>
    <col min="2055" max="2300" width="11.5703125" style="28"/>
    <col min="2301" max="2301" width="0.42578125" style="28" customWidth="1"/>
    <col min="2302" max="2302" width="2.5703125" style="28" customWidth="1"/>
    <col min="2303" max="2303" width="18.5703125" style="28" customWidth="1"/>
    <col min="2304" max="2304" width="1.42578125" style="28" customWidth="1"/>
    <col min="2305" max="2305" width="58.5703125" style="28" customWidth="1"/>
    <col min="2306" max="2307" width="11.5703125" style="28"/>
    <col min="2308" max="2308" width="2.42578125" style="28" customWidth="1"/>
    <col min="2309" max="2309" width="11.5703125" style="28"/>
    <col min="2310" max="2310" width="9.5703125" style="28" customWidth="1"/>
    <col min="2311" max="2556" width="11.5703125" style="28"/>
    <col min="2557" max="2557" width="0.42578125" style="28" customWidth="1"/>
    <col min="2558" max="2558" width="2.5703125" style="28" customWidth="1"/>
    <col min="2559" max="2559" width="18.5703125" style="28" customWidth="1"/>
    <col min="2560" max="2560" width="1.42578125" style="28" customWidth="1"/>
    <col min="2561" max="2561" width="58.5703125" style="28" customWidth="1"/>
    <col min="2562" max="2563" width="11.5703125" style="28"/>
    <col min="2564" max="2564" width="2.42578125" style="28" customWidth="1"/>
    <col min="2565" max="2565" width="11.5703125" style="28"/>
    <col min="2566" max="2566" width="9.5703125" style="28" customWidth="1"/>
    <col min="2567" max="2812" width="11.5703125" style="28"/>
    <col min="2813" max="2813" width="0.42578125" style="28" customWidth="1"/>
    <col min="2814" max="2814" width="2.5703125" style="28" customWidth="1"/>
    <col min="2815" max="2815" width="18.5703125" style="28" customWidth="1"/>
    <col min="2816" max="2816" width="1.42578125" style="28" customWidth="1"/>
    <col min="2817" max="2817" width="58.5703125" style="28" customWidth="1"/>
    <col min="2818" max="2819" width="11.5703125" style="28"/>
    <col min="2820" max="2820" width="2.42578125" style="28" customWidth="1"/>
    <col min="2821" max="2821" width="11.5703125" style="28"/>
    <col min="2822" max="2822" width="9.5703125" style="28" customWidth="1"/>
    <col min="2823" max="3068" width="11.5703125" style="28"/>
    <col min="3069" max="3069" width="0.42578125" style="28" customWidth="1"/>
    <col min="3070" max="3070" width="2.5703125" style="28" customWidth="1"/>
    <col min="3071" max="3071" width="18.5703125" style="28" customWidth="1"/>
    <col min="3072" max="3072" width="1.42578125" style="28" customWidth="1"/>
    <col min="3073" max="3073" width="58.5703125" style="28" customWidth="1"/>
    <col min="3074" max="3075" width="11.5703125" style="28"/>
    <col min="3076" max="3076" width="2.42578125" style="28" customWidth="1"/>
    <col min="3077" max="3077" width="11.5703125" style="28"/>
    <col min="3078" max="3078" width="9.5703125" style="28" customWidth="1"/>
    <col min="3079" max="3324" width="11.5703125" style="28"/>
    <col min="3325" max="3325" width="0.42578125" style="28" customWidth="1"/>
    <col min="3326" max="3326" width="2.5703125" style="28" customWidth="1"/>
    <col min="3327" max="3327" width="18.5703125" style="28" customWidth="1"/>
    <col min="3328" max="3328" width="1.42578125" style="28" customWidth="1"/>
    <col min="3329" max="3329" width="58.5703125" style="28" customWidth="1"/>
    <col min="3330" max="3331" width="11.5703125" style="28"/>
    <col min="3332" max="3332" width="2.42578125" style="28" customWidth="1"/>
    <col min="3333" max="3333" width="11.5703125" style="28"/>
    <col min="3334" max="3334" width="9.5703125" style="28" customWidth="1"/>
    <col min="3335" max="3580" width="11.5703125" style="28"/>
    <col min="3581" max="3581" width="0.42578125" style="28" customWidth="1"/>
    <col min="3582" max="3582" width="2.5703125" style="28" customWidth="1"/>
    <col min="3583" max="3583" width="18.5703125" style="28" customWidth="1"/>
    <col min="3584" max="3584" width="1.42578125" style="28" customWidth="1"/>
    <col min="3585" max="3585" width="58.5703125" style="28" customWidth="1"/>
    <col min="3586" max="3587" width="11.5703125" style="28"/>
    <col min="3588" max="3588" width="2.42578125" style="28" customWidth="1"/>
    <col min="3589" max="3589" width="11.5703125" style="28"/>
    <col min="3590" max="3590" width="9.5703125" style="28" customWidth="1"/>
    <col min="3591" max="3836" width="11.5703125" style="28"/>
    <col min="3837" max="3837" width="0.42578125" style="28" customWidth="1"/>
    <col min="3838" max="3838" width="2.5703125" style="28" customWidth="1"/>
    <col min="3839" max="3839" width="18.5703125" style="28" customWidth="1"/>
    <col min="3840" max="3840" width="1.42578125" style="28" customWidth="1"/>
    <col min="3841" max="3841" width="58.5703125" style="28" customWidth="1"/>
    <col min="3842" max="3843" width="11.5703125" style="28"/>
    <col min="3844" max="3844" width="2.42578125" style="28" customWidth="1"/>
    <col min="3845" max="3845" width="11.5703125" style="28"/>
    <col min="3846" max="3846" width="9.5703125" style="28" customWidth="1"/>
    <col min="3847" max="4092" width="11.5703125" style="28"/>
    <col min="4093" max="4093" width="0.42578125" style="28" customWidth="1"/>
    <col min="4094" max="4094" width="2.5703125" style="28" customWidth="1"/>
    <col min="4095" max="4095" width="18.5703125" style="28" customWidth="1"/>
    <col min="4096" max="4096" width="1.42578125" style="28" customWidth="1"/>
    <col min="4097" max="4097" width="58.5703125" style="28" customWidth="1"/>
    <col min="4098" max="4099" width="11.5703125" style="28"/>
    <col min="4100" max="4100" width="2.42578125" style="28" customWidth="1"/>
    <col min="4101" max="4101" width="11.5703125" style="28"/>
    <col min="4102" max="4102" width="9.5703125" style="28" customWidth="1"/>
    <col min="4103" max="4348" width="11.5703125" style="28"/>
    <col min="4349" max="4349" width="0.42578125" style="28" customWidth="1"/>
    <col min="4350" max="4350" width="2.5703125" style="28" customWidth="1"/>
    <col min="4351" max="4351" width="18.5703125" style="28" customWidth="1"/>
    <col min="4352" max="4352" width="1.42578125" style="28" customWidth="1"/>
    <col min="4353" max="4353" width="58.5703125" style="28" customWidth="1"/>
    <col min="4354" max="4355" width="11.5703125" style="28"/>
    <col min="4356" max="4356" width="2.42578125" style="28" customWidth="1"/>
    <col min="4357" max="4357" width="11.5703125" style="28"/>
    <col min="4358" max="4358" width="9.5703125" style="28" customWidth="1"/>
    <col min="4359" max="4604" width="11.5703125" style="28"/>
    <col min="4605" max="4605" width="0.42578125" style="28" customWidth="1"/>
    <col min="4606" max="4606" width="2.5703125" style="28" customWidth="1"/>
    <col min="4607" max="4607" width="18.5703125" style="28" customWidth="1"/>
    <col min="4608" max="4608" width="1.42578125" style="28" customWidth="1"/>
    <col min="4609" max="4609" width="58.5703125" style="28" customWidth="1"/>
    <col min="4610" max="4611" width="11.5703125" style="28"/>
    <col min="4612" max="4612" width="2.42578125" style="28" customWidth="1"/>
    <col min="4613" max="4613" width="11.5703125" style="28"/>
    <col min="4614" max="4614" width="9.5703125" style="28" customWidth="1"/>
    <col min="4615" max="4860" width="11.5703125" style="28"/>
    <col min="4861" max="4861" width="0.42578125" style="28" customWidth="1"/>
    <col min="4862" max="4862" width="2.5703125" style="28" customWidth="1"/>
    <col min="4863" max="4863" width="18.5703125" style="28" customWidth="1"/>
    <col min="4864" max="4864" width="1.42578125" style="28" customWidth="1"/>
    <col min="4865" max="4865" width="58.5703125" style="28" customWidth="1"/>
    <col min="4866" max="4867" width="11.5703125" style="28"/>
    <col min="4868" max="4868" width="2.42578125" style="28" customWidth="1"/>
    <col min="4869" max="4869" width="11.5703125" style="28"/>
    <col min="4870" max="4870" width="9.5703125" style="28" customWidth="1"/>
    <col min="4871" max="5116" width="11.5703125" style="28"/>
    <col min="5117" max="5117" width="0.42578125" style="28" customWidth="1"/>
    <col min="5118" max="5118" width="2.5703125" style="28" customWidth="1"/>
    <col min="5119" max="5119" width="18.5703125" style="28" customWidth="1"/>
    <col min="5120" max="5120" width="1.42578125" style="28" customWidth="1"/>
    <col min="5121" max="5121" width="58.5703125" style="28" customWidth="1"/>
    <col min="5122" max="5123" width="11.5703125" style="28"/>
    <col min="5124" max="5124" width="2.42578125" style="28" customWidth="1"/>
    <col min="5125" max="5125" width="11.5703125" style="28"/>
    <col min="5126" max="5126" width="9.5703125" style="28" customWidth="1"/>
    <col min="5127" max="5372" width="11.5703125" style="28"/>
    <col min="5373" max="5373" width="0.42578125" style="28" customWidth="1"/>
    <col min="5374" max="5374" width="2.5703125" style="28" customWidth="1"/>
    <col min="5375" max="5375" width="18.5703125" style="28" customWidth="1"/>
    <col min="5376" max="5376" width="1.42578125" style="28" customWidth="1"/>
    <col min="5377" max="5377" width="58.5703125" style="28" customWidth="1"/>
    <col min="5378" max="5379" width="11.5703125" style="28"/>
    <col min="5380" max="5380" width="2.42578125" style="28" customWidth="1"/>
    <col min="5381" max="5381" width="11.5703125" style="28"/>
    <col min="5382" max="5382" width="9.5703125" style="28" customWidth="1"/>
    <col min="5383" max="5628" width="11.5703125" style="28"/>
    <col min="5629" max="5629" width="0.42578125" style="28" customWidth="1"/>
    <col min="5630" max="5630" width="2.5703125" style="28" customWidth="1"/>
    <col min="5631" max="5631" width="18.5703125" style="28" customWidth="1"/>
    <col min="5632" max="5632" width="1.42578125" style="28" customWidth="1"/>
    <col min="5633" max="5633" width="58.5703125" style="28" customWidth="1"/>
    <col min="5634" max="5635" width="11.5703125" style="28"/>
    <col min="5636" max="5636" width="2.42578125" style="28" customWidth="1"/>
    <col min="5637" max="5637" width="11.5703125" style="28"/>
    <col min="5638" max="5638" width="9.5703125" style="28" customWidth="1"/>
    <col min="5639" max="5884" width="11.5703125" style="28"/>
    <col min="5885" max="5885" width="0.42578125" style="28" customWidth="1"/>
    <col min="5886" max="5886" width="2.5703125" style="28" customWidth="1"/>
    <col min="5887" max="5887" width="18.5703125" style="28" customWidth="1"/>
    <col min="5888" max="5888" width="1.42578125" style="28" customWidth="1"/>
    <col min="5889" max="5889" width="58.5703125" style="28" customWidth="1"/>
    <col min="5890" max="5891" width="11.5703125" style="28"/>
    <col min="5892" max="5892" width="2.42578125" style="28" customWidth="1"/>
    <col min="5893" max="5893" width="11.5703125" style="28"/>
    <col min="5894" max="5894" width="9.5703125" style="28" customWidth="1"/>
    <col min="5895" max="6140" width="11.5703125" style="28"/>
    <col min="6141" max="6141" width="0.42578125" style="28" customWidth="1"/>
    <col min="6142" max="6142" width="2.5703125" style="28" customWidth="1"/>
    <col min="6143" max="6143" width="18.5703125" style="28" customWidth="1"/>
    <col min="6144" max="6144" width="1.42578125" style="28" customWidth="1"/>
    <col min="6145" max="6145" width="58.5703125" style="28" customWidth="1"/>
    <col min="6146" max="6147" width="11.5703125" style="28"/>
    <col min="6148" max="6148" width="2.42578125" style="28" customWidth="1"/>
    <col min="6149" max="6149" width="11.5703125" style="28"/>
    <col min="6150" max="6150" width="9.5703125" style="28" customWidth="1"/>
    <col min="6151" max="6396" width="11.5703125" style="28"/>
    <col min="6397" max="6397" width="0.42578125" style="28" customWidth="1"/>
    <col min="6398" max="6398" width="2.5703125" style="28" customWidth="1"/>
    <col min="6399" max="6399" width="18.5703125" style="28" customWidth="1"/>
    <col min="6400" max="6400" width="1.42578125" style="28" customWidth="1"/>
    <col min="6401" max="6401" width="58.5703125" style="28" customWidth="1"/>
    <col min="6402" max="6403" width="11.5703125" style="28"/>
    <col min="6404" max="6404" width="2.42578125" style="28" customWidth="1"/>
    <col min="6405" max="6405" width="11.5703125" style="28"/>
    <col min="6406" max="6406" width="9.5703125" style="28" customWidth="1"/>
    <col min="6407" max="6652" width="11.5703125" style="28"/>
    <col min="6653" max="6653" width="0.42578125" style="28" customWidth="1"/>
    <col min="6654" max="6654" width="2.5703125" style="28" customWidth="1"/>
    <col min="6655" max="6655" width="18.5703125" style="28" customWidth="1"/>
    <col min="6656" max="6656" width="1.42578125" style="28" customWidth="1"/>
    <col min="6657" max="6657" width="58.5703125" style="28" customWidth="1"/>
    <col min="6658" max="6659" width="11.5703125" style="28"/>
    <col min="6660" max="6660" width="2.42578125" style="28" customWidth="1"/>
    <col min="6661" max="6661" width="11.5703125" style="28"/>
    <col min="6662" max="6662" width="9.5703125" style="28" customWidth="1"/>
    <col min="6663" max="6908" width="11.5703125" style="28"/>
    <col min="6909" max="6909" width="0.42578125" style="28" customWidth="1"/>
    <col min="6910" max="6910" width="2.5703125" style="28" customWidth="1"/>
    <col min="6911" max="6911" width="18.5703125" style="28" customWidth="1"/>
    <col min="6912" max="6912" width="1.42578125" style="28" customWidth="1"/>
    <col min="6913" max="6913" width="58.5703125" style="28" customWidth="1"/>
    <col min="6914" max="6915" width="11.5703125" style="28"/>
    <col min="6916" max="6916" width="2.42578125" style="28" customWidth="1"/>
    <col min="6917" max="6917" width="11.5703125" style="28"/>
    <col min="6918" max="6918" width="9.5703125" style="28" customWidth="1"/>
    <col min="6919" max="7164" width="11.5703125" style="28"/>
    <col min="7165" max="7165" width="0.42578125" style="28" customWidth="1"/>
    <col min="7166" max="7166" width="2.5703125" style="28" customWidth="1"/>
    <col min="7167" max="7167" width="18.5703125" style="28" customWidth="1"/>
    <col min="7168" max="7168" width="1.42578125" style="28" customWidth="1"/>
    <col min="7169" max="7169" width="58.5703125" style="28" customWidth="1"/>
    <col min="7170" max="7171" width="11.5703125" style="28"/>
    <col min="7172" max="7172" width="2.42578125" style="28" customWidth="1"/>
    <col min="7173" max="7173" width="11.5703125" style="28"/>
    <col min="7174" max="7174" width="9.5703125" style="28" customWidth="1"/>
    <col min="7175" max="7420" width="11.5703125" style="28"/>
    <col min="7421" max="7421" width="0.42578125" style="28" customWidth="1"/>
    <col min="7422" max="7422" width="2.5703125" style="28" customWidth="1"/>
    <col min="7423" max="7423" width="18.5703125" style="28" customWidth="1"/>
    <col min="7424" max="7424" width="1.42578125" style="28" customWidth="1"/>
    <col min="7425" max="7425" width="58.5703125" style="28" customWidth="1"/>
    <col min="7426" max="7427" width="11.5703125" style="28"/>
    <col min="7428" max="7428" width="2.42578125" style="28" customWidth="1"/>
    <col min="7429" max="7429" width="11.5703125" style="28"/>
    <col min="7430" max="7430" width="9.5703125" style="28" customWidth="1"/>
    <col min="7431" max="7676" width="11.5703125" style="28"/>
    <col min="7677" max="7677" width="0.42578125" style="28" customWidth="1"/>
    <col min="7678" max="7678" width="2.5703125" style="28" customWidth="1"/>
    <col min="7679" max="7679" width="18.5703125" style="28" customWidth="1"/>
    <col min="7680" max="7680" width="1.42578125" style="28" customWidth="1"/>
    <col min="7681" max="7681" width="58.5703125" style="28" customWidth="1"/>
    <col min="7682" max="7683" width="11.5703125" style="28"/>
    <col min="7684" max="7684" width="2.42578125" style="28" customWidth="1"/>
    <col min="7685" max="7685" width="11.5703125" style="28"/>
    <col min="7686" max="7686" width="9.5703125" style="28" customWidth="1"/>
    <col min="7687" max="7932" width="11.5703125" style="28"/>
    <col min="7933" max="7933" width="0.42578125" style="28" customWidth="1"/>
    <col min="7934" max="7934" width="2.5703125" style="28" customWidth="1"/>
    <col min="7935" max="7935" width="18.5703125" style="28" customWidth="1"/>
    <col min="7936" max="7936" width="1.42578125" style="28" customWidth="1"/>
    <col min="7937" max="7937" width="58.5703125" style="28" customWidth="1"/>
    <col min="7938" max="7939" width="11.5703125" style="28"/>
    <col min="7940" max="7940" width="2.42578125" style="28" customWidth="1"/>
    <col min="7941" max="7941" width="11.5703125" style="28"/>
    <col min="7942" max="7942" width="9.5703125" style="28" customWidth="1"/>
    <col min="7943" max="8188" width="11.5703125" style="28"/>
    <col min="8189" max="8189" width="0.42578125" style="28" customWidth="1"/>
    <col min="8190" max="8190" width="2.5703125" style="28" customWidth="1"/>
    <col min="8191" max="8191" width="18.5703125" style="28" customWidth="1"/>
    <col min="8192" max="8192" width="1.42578125" style="28" customWidth="1"/>
    <col min="8193" max="8193" width="58.5703125" style="28" customWidth="1"/>
    <col min="8194" max="8195" width="11.5703125" style="28"/>
    <col min="8196" max="8196" width="2.42578125" style="28" customWidth="1"/>
    <col min="8197" max="8197" width="11.5703125" style="28"/>
    <col min="8198" max="8198" width="9.5703125" style="28" customWidth="1"/>
    <col min="8199" max="8444" width="11.5703125" style="28"/>
    <col min="8445" max="8445" width="0.42578125" style="28" customWidth="1"/>
    <col min="8446" max="8446" width="2.5703125" style="28" customWidth="1"/>
    <col min="8447" max="8447" width="18.5703125" style="28" customWidth="1"/>
    <col min="8448" max="8448" width="1.42578125" style="28" customWidth="1"/>
    <col min="8449" max="8449" width="58.5703125" style="28" customWidth="1"/>
    <col min="8450" max="8451" width="11.5703125" style="28"/>
    <col min="8452" max="8452" width="2.42578125" style="28" customWidth="1"/>
    <col min="8453" max="8453" width="11.5703125" style="28"/>
    <col min="8454" max="8454" width="9.5703125" style="28" customWidth="1"/>
    <col min="8455" max="8700" width="11.5703125" style="28"/>
    <col min="8701" max="8701" width="0.42578125" style="28" customWidth="1"/>
    <col min="8702" max="8702" width="2.5703125" style="28" customWidth="1"/>
    <col min="8703" max="8703" width="18.5703125" style="28" customWidth="1"/>
    <col min="8704" max="8704" width="1.42578125" style="28" customWidth="1"/>
    <col min="8705" max="8705" width="58.5703125" style="28" customWidth="1"/>
    <col min="8706" max="8707" width="11.5703125" style="28"/>
    <col min="8708" max="8708" width="2.42578125" style="28" customWidth="1"/>
    <col min="8709" max="8709" width="11.5703125" style="28"/>
    <col min="8710" max="8710" width="9.5703125" style="28" customWidth="1"/>
    <col min="8711" max="8956" width="11.5703125" style="28"/>
    <col min="8957" max="8957" width="0.42578125" style="28" customWidth="1"/>
    <col min="8958" max="8958" width="2.5703125" style="28" customWidth="1"/>
    <col min="8959" max="8959" width="18.5703125" style="28" customWidth="1"/>
    <col min="8960" max="8960" width="1.42578125" style="28" customWidth="1"/>
    <col min="8961" max="8961" width="58.5703125" style="28" customWidth="1"/>
    <col min="8962" max="8963" width="11.5703125" style="28"/>
    <col min="8964" max="8964" width="2.42578125" style="28" customWidth="1"/>
    <col min="8965" max="8965" width="11.5703125" style="28"/>
    <col min="8966" max="8966" width="9.5703125" style="28" customWidth="1"/>
    <col min="8967" max="9212" width="11.5703125" style="28"/>
    <col min="9213" max="9213" width="0.42578125" style="28" customWidth="1"/>
    <col min="9214" max="9214" width="2.5703125" style="28" customWidth="1"/>
    <col min="9215" max="9215" width="18.5703125" style="28" customWidth="1"/>
    <col min="9216" max="9216" width="1.42578125" style="28" customWidth="1"/>
    <col min="9217" max="9217" width="58.5703125" style="28" customWidth="1"/>
    <col min="9218" max="9219" width="11.5703125" style="28"/>
    <col min="9220" max="9220" width="2.42578125" style="28" customWidth="1"/>
    <col min="9221" max="9221" width="11.5703125" style="28"/>
    <col min="9222" max="9222" width="9.5703125" style="28" customWidth="1"/>
    <col min="9223" max="9468" width="11.5703125" style="28"/>
    <col min="9469" max="9469" width="0.42578125" style="28" customWidth="1"/>
    <col min="9470" max="9470" width="2.5703125" style="28" customWidth="1"/>
    <col min="9471" max="9471" width="18.5703125" style="28" customWidth="1"/>
    <col min="9472" max="9472" width="1.42578125" style="28" customWidth="1"/>
    <col min="9473" max="9473" width="58.5703125" style="28" customWidth="1"/>
    <col min="9474" max="9475" width="11.5703125" style="28"/>
    <col min="9476" max="9476" width="2.42578125" style="28" customWidth="1"/>
    <col min="9477" max="9477" width="11.5703125" style="28"/>
    <col min="9478" max="9478" width="9.5703125" style="28" customWidth="1"/>
    <col min="9479" max="9724" width="11.5703125" style="28"/>
    <col min="9725" max="9725" width="0.42578125" style="28" customWidth="1"/>
    <col min="9726" max="9726" width="2.5703125" style="28" customWidth="1"/>
    <col min="9727" max="9727" width="18.5703125" style="28" customWidth="1"/>
    <col min="9728" max="9728" width="1.42578125" style="28" customWidth="1"/>
    <col min="9729" max="9729" width="58.5703125" style="28" customWidth="1"/>
    <col min="9730" max="9731" width="11.5703125" style="28"/>
    <col min="9732" max="9732" width="2.42578125" style="28" customWidth="1"/>
    <col min="9733" max="9733" width="11.5703125" style="28"/>
    <col min="9734" max="9734" width="9.5703125" style="28" customWidth="1"/>
    <col min="9735" max="9980" width="11.5703125" style="28"/>
    <col min="9981" max="9981" width="0.42578125" style="28" customWidth="1"/>
    <col min="9982" max="9982" width="2.5703125" style="28" customWidth="1"/>
    <col min="9983" max="9983" width="18.5703125" style="28" customWidth="1"/>
    <col min="9984" max="9984" width="1.42578125" style="28" customWidth="1"/>
    <col min="9985" max="9985" width="58.5703125" style="28" customWidth="1"/>
    <col min="9986" max="9987" width="11.5703125" style="28"/>
    <col min="9988" max="9988" width="2.42578125" style="28" customWidth="1"/>
    <col min="9989" max="9989" width="11.5703125" style="28"/>
    <col min="9990" max="9990" width="9.5703125" style="28" customWidth="1"/>
    <col min="9991" max="10236" width="11.5703125" style="28"/>
    <col min="10237" max="10237" width="0.42578125" style="28" customWidth="1"/>
    <col min="10238" max="10238" width="2.5703125" style="28" customWidth="1"/>
    <col min="10239" max="10239" width="18.5703125" style="28" customWidth="1"/>
    <col min="10240" max="10240" width="1.42578125" style="28" customWidth="1"/>
    <col min="10241" max="10241" width="58.5703125" style="28" customWidth="1"/>
    <col min="10242" max="10243" width="11.5703125" style="28"/>
    <col min="10244" max="10244" width="2.42578125" style="28" customWidth="1"/>
    <col min="10245" max="10245" width="11.5703125" style="28"/>
    <col min="10246" max="10246" width="9.5703125" style="28" customWidth="1"/>
    <col min="10247" max="10492" width="11.5703125" style="28"/>
    <col min="10493" max="10493" width="0.42578125" style="28" customWidth="1"/>
    <col min="10494" max="10494" width="2.5703125" style="28" customWidth="1"/>
    <col min="10495" max="10495" width="18.5703125" style="28" customWidth="1"/>
    <col min="10496" max="10496" width="1.42578125" style="28" customWidth="1"/>
    <col min="10497" max="10497" width="58.5703125" style="28" customWidth="1"/>
    <col min="10498" max="10499" width="11.5703125" style="28"/>
    <col min="10500" max="10500" width="2.42578125" style="28" customWidth="1"/>
    <col min="10501" max="10501" width="11.5703125" style="28"/>
    <col min="10502" max="10502" width="9.5703125" style="28" customWidth="1"/>
    <col min="10503" max="10748" width="11.5703125" style="28"/>
    <col min="10749" max="10749" width="0.42578125" style="28" customWidth="1"/>
    <col min="10750" max="10750" width="2.5703125" style="28" customWidth="1"/>
    <col min="10751" max="10751" width="18.5703125" style="28" customWidth="1"/>
    <col min="10752" max="10752" width="1.42578125" style="28" customWidth="1"/>
    <col min="10753" max="10753" width="58.5703125" style="28" customWidth="1"/>
    <col min="10754" max="10755" width="11.5703125" style="28"/>
    <col min="10756" max="10756" width="2.42578125" style="28" customWidth="1"/>
    <col min="10757" max="10757" width="11.5703125" style="28"/>
    <col min="10758" max="10758" width="9.5703125" style="28" customWidth="1"/>
    <col min="10759" max="11004" width="11.5703125" style="28"/>
    <col min="11005" max="11005" width="0.42578125" style="28" customWidth="1"/>
    <col min="11006" max="11006" width="2.5703125" style="28" customWidth="1"/>
    <col min="11007" max="11007" width="18.5703125" style="28" customWidth="1"/>
    <col min="11008" max="11008" width="1.42578125" style="28" customWidth="1"/>
    <col min="11009" max="11009" width="58.5703125" style="28" customWidth="1"/>
    <col min="11010" max="11011" width="11.5703125" style="28"/>
    <col min="11012" max="11012" width="2.42578125" style="28" customWidth="1"/>
    <col min="11013" max="11013" width="11.5703125" style="28"/>
    <col min="11014" max="11014" width="9.5703125" style="28" customWidth="1"/>
    <col min="11015" max="11260" width="11.5703125" style="28"/>
    <col min="11261" max="11261" width="0.42578125" style="28" customWidth="1"/>
    <col min="11262" max="11262" width="2.5703125" style="28" customWidth="1"/>
    <col min="11263" max="11263" width="18.5703125" style="28" customWidth="1"/>
    <col min="11264" max="11264" width="1.42578125" style="28" customWidth="1"/>
    <col min="11265" max="11265" width="58.5703125" style="28" customWidth="1"/>
    <col min="11266" max="11267" width="11.5703125" style="28"/>
    <col min="11268" max="11268" width="2.42578125" style="28" customWidth="1"/>
    <col min="11269" max="11269" width="11.5703125" style="28"/>
    <col min="11270" max="11270" width="9.5703125" style="28" customWidth="1"/>
    <col min="11271" max="11516" width="11.5703125" style="28"/>
    <col min="11517" max="11517" width="0.42578125" style="28" customWidth="1"/>
    <col min="11518" max="11518" width="2.5703125" style="28" customWidth="1"/>
    <col min="11519" max="11519" width="18.5703125" style="28" customWidth="1"/>
    <col min="11520" max="11520" width="1.42578125" style="28" customWidth="1"/>
    <col min="11521" max="11521" width="58.5703125" style="28" customWidth="1"/>
    <col min="11522" max="11523" width="11.5703125" style="28"/>
    <col min="11524" max="11524" width="2.42578125" style="28" customWidth="1"/>
    <col min="11525" max="11525" width="11.5703125" style="28"/>
    <col min="11526" max="11526" width="9.5703125" style="28" customWidth="1"/>
    <col min="11527" max="11772" width="11.5703125" style="28"/>
    <col min="11773" max="11773" width="0.42578125" style="28" customWidth="1"/>
    <col min="11774" max="11774" width="2.5703125" style="28" customWidth="1"/>
    <col min="11775" max="11775" width="18.5703125" style="28" customWidth="1"/>
    <col min="11776" max="11776" width="1.42578125" style="28" customWidth="1"/>
    <col min="11777" max="11777" width="58.5703125" style="28" customWidth="1"/>
    <col min="11778" max="11779" width="11.5703125" style="28"/>
    <col min="11780" max="11780" width="2.42578125" style="28" customWidth="1"/>
    <col min="11781" max="11781" width="11.5703125" style="28"/>
    <col min="11782" max="11782" width="9.5703125" style="28" customWidth="1"/>
    <col min="11783" max="12028" width="11.5703125" style="28"/>
    <col min="12029" max="12029" width="0.42578125" style="28" customWidth="1"/>
    <col min="12030" max="12030" width="2.5703125" style="28" customWidth="1"/>
    <col min="12031" max="12031" width="18.5703125" style="28" customWidth="1"/>
    <col min="12032" max="12032" width="1.42578125" style="28" customWidth="1"/>
    <col min="12033" max="12033" width="58.5703125" style="28" customWidth="1"/>
    <col min="12034" max="12035" width="11.5703125" style="28"/>
    <col min="12036" max="12036" width="2.42578125" style="28" customWidth="1"/>
    <col min="12037" max="12037" width="11.5703125" style="28"/>
    <col min="12038" max="12038" width="9.5703125" style="28" customWidth="1"/>
    <col min="12039" max="12284" width="11.5703125" style="28"/>
    <col min="12285" max="12285" width="0.42578125" style="28" customWidth="1"/>
    <col min="12286" max="12286" width="2.5703125" style="28" customWidth="1"/>
    <col min="12287" max="12287" width="18.5703125" style="28" customWidth="1"/>
    <col min="12288" max="12288" width="1.42578125" style="28" customWidth="1"/>
    <col min="12289" max="12289" width="58.5703125" style="28" customWidth="1"/>
    <col min="12290" max="12291" width="11.5703125" style="28"/>
    <col min="12292" max="12292" width="2.42578125" style="28" customWidth="1"/>
    <col min="12293" max="12293" width="11.5703125" style="28"/>
    <col min="12294" max="12294" width="9.5703125" style="28" customWidth="1"/>
    <col min="12295" max="12540" width="11.5703125" style="28"/>
    <col min="12541" max="12541" width="0.42578125" style="28" customWidth="1"/>
    <col min="12542" max="12542" width="2.5703125" style="28" customWidth="1"/>
    <col min="12543" max="12543" width="18.5703125" style="28" customWidth="1"/>
    <col min="12544" max="12544" width="1.42578125" style="28" customWidth="1"/>
    <col min="12545" max="12545" width="58.5703125" style="28" customWidth="1"/>
    <col min="12546" max="12547" width="11.5703125" style="28"/>
    <col min="12548" max="12548" width="2.42578125" style="28" customWidth="1"/>
    <col min="12549" max="12549" width="11.5703125" style="28"/>
    <col min="12550" max="12550" width="9.5703125" style="28" customWidth="1"/>
    <col min="12551" max="12796" width="11.5703125" style="28"/>
    <col min="12797" max="12797" width="0.42578125" style="28" customWidth="1"/>
    <col min="12798" max="12798" width="2.5703125" style="28" customWidth="1"/>
    <col min="12799" max="12799" width="18.5703125" style="28" customWidth="1"/>
    <col min="12800" max="12800" width="1.42578125" style="28" customWidth="1"/>
    <col min="12801" max="12801" width="58.5703125" style="28" customWidth="1"/>
    <col min="12802" max="12803" width="11.5703125" style="28"/>
    <col min="12804" max="12804" width="2.42578125" style="28" customWidth="1"/>
    <col min="12805" max="12805" width="11.5703125" style="28"/>
    <col min="12806" max="12806" width="9.5703125" style="28" customWidth="1"/>
    <col min="12807" max="13052" width="11.5703125" style="28"/>
    <col min="13053" max="13053" width="0.42578125" style="28" customWidth="1"/>
    <col min="13054" max="13054" width="2.5703125" style="28" customWidth="1"/>
    <col min="13055" max="13055" width="18.5703125" style="28" customWidth="1"/>
    <col min="13056" max="13056" width="1.42578125" style="28" customWidth="1"/>
    <col min="13057" max="13057" width="58.5703125" style="28" customWidth="1"/>
    <col min="13058" max="13059" width="11.5703125" style="28"/>
    <col min="13060" max="13060" width="2.42578125" style="28" customWidth="1"/>
    <col min="13061" max="13061" width="11.5703125" style="28"/>
    <col min="13062" max="13062" width="9.5703125" style="28" customWidth="1"/>
    <col min="13063" max="13308" width="11.5703125" style="28"/>
    <col min="13309" max="13309" width="0.42578125" style="28" customWidth="1"/>
    <col min="13310" max="13310" width="2.5703125" style="28" customWidth="1"/>
    <col min="13311" max="13311" width="18.5703125" style="28" customWidth="1"/>
    <col min="13312" max="13312" width="1.42578125" style="28" customWidth="1"/>
    <col min="13313" max="13313" width="58.5703125" style="28" customWidth="1"/>
    <col min="13314" max="13315" width="11.5703125" style="28"/>
    <col min="13316" max="13316" width="2.42578125" style="28" customWidth="1"/>
    <col min="13317" max="13317" width="11.5703125" style="28"/>
    <col min="13318" max="13318" width="9.5703125" style="28" customWidth="1"/>
    <col min="13319" max="13564" width="11.5703125" style="28"/>
    <col min="13565" max="13565" width="0.42578125" style="28" customWidth="1"/>
    <col min="13566" max="13566" width="2.5703125" style="28" customWidth="1"/>
    <col min="13567" max="13567" width="18.5703125" style="28" customWidth="1"/>
    <col min="13568" max="13568" width="1.42578125" style="28" customWidth="1"/>
    <col min="13569" max="13569" width="58.5703125" style="28" customWidth="1"/>
    <col min="13570" max="13571" width="11.5703125" style="28"/>
    <col min="13572" max="13572" width="2.42578125" style="28" customWidth="1"/>
    <col min="13573" max="13573" width="11.5703125" style="28"/>
    <col min="13574" max="13574" width="9.5703125" style="28" customWidth="1"/>
    <col min="13575" max="13820" width="11.5703125" style="28"/>
    <col min="13821" max="13821" width="0.42578125" style="28" customWidth="1"/>
    <col min="13822" max="13822" width="2.5703125" style="28" customWidth="1"/>
    <col min="13823" max="13823" width="18.5703125" style="28" customWidth="1"/>
    <col min="13824" max="13824" width="1.42578125" style="28" customWidth="1"/>
    <col min="13825" max="13825" width="58.5703125" style="28" customWidth="1"/>
    <col min="13826" max="13827" width="11.5703125" style="28"/>
    <col min="13828" max="13828" width="2.42578125" style="28" customWidth="1"/>
    <col min="13829" max="13829" width="11.5703125" style="28"/>
    <col min="13830" max="13830" width="9.5703125" style="28" customWidth="1"/>
    <col min="13831" max="14076" width="11.5703125" style="28"/>
    <col min="14077" max="14077" width="0.42578125" style="28" customWidth="1"/>
    <col min="14078" max="14078" width="2.5703125" style="28" customWidth="1"/>
    <col min="14079" max="14079" width="18.5703125" style="28" customWidth="1"/>
    <col min="14080" max="14080" width="1.42578125" style="28" customWidth="1"/>
    <col min="14081" max="14081" width="58.5703125" style="28" customWidth="1"/>
    <col min="14082" max="14083" width="11.5703125" style="28"/>
    <col min="14084" max="14084" width="2.42578125" style="28" customWidth="1"/>
    <col min="14085" max="14085" width="11.5703125" style="28"/>
    <col min="14086" max="14086" width="9.5703125" style="28" customWidth="1"/>
    <col min="14087" max="14332" width="11.5703125" style="28"/>
    <col min="14333" max="14333" width="0.42578125" style="28" customWidth="1"/>
    <col min="14334" max="14334" width="2.5703125" style="28" customWidth="1"/>
    <col min="14335" max="14335" width="18.5703125" style="28" customWidth="1"/>
    <col min="14336" max="14336" width="1.42578125" style="28" customWidth="1"/>
    <col min="14337" max="14337" width="58.5703125" style="28" customWidth="1"/>
    <col min="14338" max="14339" width="11.5703125" style="28"/>
    <col min="14340" max="14340" width="2.42578125" style="28" customWidth="1"/>
    <col min="14341" max="14341" width="11.5703125" style="28"/>
    <col min="14342" max="14342" width="9.5703125" style="28" customWidth="1"/>
    <col min="14343" max="14588" width="11.5703125" style="28"/>
    <col min="14589" max="14589" width="0.42578125" style="28" customWidth="1"/>
    <col min="14590" max="14590" width="2.5703125" style="28" customWidth="1"/>
    <col min="14591" max="14591" width="18.5703125" style="28" customWidth="1"/>
    <col min="14592" max="14592" width="1.42578125" style="28" customWidth="1"/>
    <col min="14593" max="14593" width="58.5703125" style="28" customWidth="1"/>
    <col min="14594" max="14595" width="11.5703125" style="28"/>
    <col min="14596" max="14596" width="2.42578125" style="28" customWidth="1"/>
    <col min="14597" max="14597" width="11.5703125" style="28"/>
    <col min="14598" max="14598" width="9.5703125" style="28" customWidth="1"/>
    <col min="14599" max="14844" width="11.5703125" style="28"/>
    <col min="14845" max="14845" width="0.42578125" style="28" customWidth="1"/>
    <col min="14846" max="14846" width="2.5703125" style="28" customWidth="1"/>
    <col min="14847" max="14847" width="18.5703125" style="28" customWidth="1"/>
    <col min="14848" max="14848" width="1.42578125" style="28" customWidth="1"/>
    <col min="14849" max="14849" width="58.5703125" style="28" customWidth="1"/>
    <col min="14850" max="14851" width="11.5703125" style="28"/>
    <col min="14852" max="14852" width="2.42578125" style="28" customWidth="1"/>
    <col min="14853" max="14853" width="11.5703125" style="28"/>
    <col min="14854" max="14854" width="9.5703125" style="28" customWidth="1"/>
    <col min="14855" max="15100" width="11.5703125" style="28"/>
    <col min="15101" max="15101" width="0.42578125" style="28" customWidth="1"/>
    <col min="15102" max="15102" width="2.5703125" style="28" customWidth="1"/>
    <col min="15103" max="15103" width="18.5703125" style="28" customWidth="1"/>
    <col min="15104" max="15104" width="1.42578125" style="28" customWidth="1"/>
    <col min="15105" max="15105" width="58.5703125" style="28" customWidth="1"/>
    <col min="15106" max="15107" width="11.5703125" style="28"/>
    <col min="15108" max="15108" width="2.42578125" style="28" customWidth="1"/>
    <col min="15109" max="15109" width="11.5703125" style="28"/>
    <col min="15110" max="15110" width="9.5703125" style="28" customWidth="1"/>
    <col min="15111" max="15356" width="11.5703125" style="28"/>
    <col min="15357" max="15357" width="0.42578125" style="28" customWidth="1"/>
    <col min="15358" max="15358" width="2.5703125" style="28" customWidth="1"/>
    <col min="15359" max="15359" width="18.5703125" style="28" customWidth="1"/>
    <col min="15360" max="15360" width="1.42578125" style="28" customWidth="1"/>
    <col min="15361" max="15361" width="58.5703125" style="28" customWidth="1"/>
    <col min="15362" max="15363" width="11.5703125" style="28"/>
    <col min="15364" max="15364" width="2.42578125" style="28" customWidth="1"/>
    <col min="15365" max="15365" width="11.5703125" style="28"/>
    <col min="15366" max="15366" width="9.5703125" style="28" customWidth="1"/>
    <col min="15367" max="15612" width="11.5703125" style="28"/>
    <col min="15613" max="15613" width="0.42578125" style="28" customWidth="1"/>
    <col min="15614" max="15614" width="2.5703125" style="28" customWidth="1"/>
    <col min="15615" max="15615" width="18.5703125" style="28" customWidth="1"/>
    <col min="15616" max="15616" width="1.42578125" style="28" customWidth="1"/>
    <col min="15617" max="15617" width="58.5703125" style="28" customWidth="1"/>
    <col min="15618" max="15619" width="11.5703125" style="28"/>
    <col min="15620" max="15620" width="2.42578125" style="28" customWidth="1"/>
    <col min="15621" max="15621" width="11.5703125" style="28"/>
    <col min="15622" max="15622" width="9.5703125" style="28" customWidth="1"/>
    <col min="15623" max="15868" width="11.5703125" style="28"/>
    <col min="15869" max="15869" width="0.42578125" style="28" customWidth="1"/>
    <col min="15870" max="15870" width="2.5703125" style="28" customWidth="1"/>
    <col min="15871" max="15871" width="18.5703125" style="28" customWidth="1"/>
    <col min="15872" max="15872" width="1.42578125" style="28" customWidth="1"/>
    <col min="15873" max="15873" width="58.5703125" style="28" customWidth="1"/>
    <col min="15874" max="15875" width="11.5703125" style="28"/>
    <col min="15876" max="15876" width="2.42578125" style="28" customWidth="1"/>
    <col min="15877" max="15877" width="11.5703125" style="28"/>
    <col min="15878" max="15878" width="9.5703125" style="28" customWidth="1"/>
    <col min="15879" max="16124" width="11.5703125" style="28"/>
    <col min="16125" max="16125" width="0.42578125" style="28" customWidth="1"/>
    <col min="16126" max="16126" width="2.5703125" style="28" customWidth="1"/>
    <col min="16127" max="16127" width="18.5703125" style="28" customWidth="1"/>
    <col min="16128" max="16128" width="1.42578125" style="28" customWidth="1"/>
    <col min="16129" max="16129" width="58.5703125" style="28" customWidth="1"/>
    <col min="16130" max="16131" width="11.5703125" style="28"/>
    <col min="16132" max="16132" width="2.42578125" style="28" customWidth="1"/>
    <col min="16133" max="16133" width="11.5703125" style="28"/>
    <col min="16134" max="16134" width="9.5703125" style="28" customWidth="1"/>
    <col min="16135" max="16384" width="11.5703125" style="28"/>
  </cols>
  <sheetData>
    <row r="1" spans="2:6" s="29" customFormat="1" ht="0.75" customHeight="1"/>
    <row r="2" spans="2:6" s="29" customFormat="1" ht="21" customHeight="1">
      <c r="E2" s="27" t="s">
        <v>19</v>
      </c>
    </row>
    <row r="3" spans="2:6" s="29" customFormat="1" ht="15" customHeight="1">
      <c r="E3" s="43" t="str">
        <f>Indice!E3</f>
        <v>Julio 2026</v>
      </c>
    </row>
    <row r="4" spans="2:6" s="31" customFormat="1" ht="20.25" customHeight="1">
      <c r="B4" s="39"/>
      <c r="C4" s="25" t="s">
        <v>39</v>
      </c>
    </row>
    <row r="5" spans="2:6" s="31" customFormat="1" ht="12.75" customHeight="1">
      <c r="B5" s="39"/>
      <c r="C5" s="42"/>
    </row>
    <row r="6" spans="2:6" s="31" customFormat="1" ht="13.5" customHeight="1">
      <c r="B6" s="39"/>
      <c r="C6" s="38"/>
      <c r="D6" s="37"/>
      <c r="E6" s="37"/>
    </row>
    <row r="7" spans="2:6" s="31" customFormat="1" ht="12.75" customHeight="1">
      <c r="B7" s="39"/>
      <c r="C7" s="263" t="s">
        <v>140</v>
      </c>
      <c r="D7" s="37"/>
      <c r="E7" s="41"/>
    </row>
    <row r="8" spans="2:6" s="31" customFormat="1" ht="12.75" customHeight="1">
      <c r="B8" s="39"/>
      <c r="C8" s="263"/>
      <c r="D8" s="37"/>
      <c r="E8" s="41"/>
    </row>
    <row r="9" spans="2:6" s="31" customFormat="1" ht="12.75" customHeight="1">
      <c r="B9" s="39"/>
      <c r="C9" s="263"/>
      <c r="D9" s="37"/>
      <c r="E9" s="41"/>
    </row>
    <row r="10" spans="2:6" s="31" customFormat="1" ht="12.75" customHeight="1">
      <c r="B10" s="39"/>
      <c r="C10" s="183" t="str">
        <f>CONCATENATE(TEXT(Dat_01!C47,"0,0")," MW")</f>
        <v>5,1 MW</v>
      </c>
      <c r="D10" s="37"/>
      <c r="E10" s="41"/>
      <c r="F10" s="44"/>
    </row>
    <row r="11" spans="2:6" s="31" customFormat="1" ht="12.75" customHeight="1">
      <c r="B11" s="39"/>
      <c r="C11" s="32"/>
      <c r="D11" s="37"/>
      <c r="E11" s="41"/>
      <c r="F11" s="44"/>
    </row>
    <row r="12" spans="2:6" s="31" customFormat="1" ht="12.75" customHeight="1">
      <c r="B12" s="39"/>
      <c r="D12" s="37"/>
      <c r="E12" s="37"/>
      <c r="F12" s="44"/>
    </row>
    <row r="13" spans="2:6" s="31" customFormat="1" ht="12.75" customHeight="1">
      <c r="B13" s="39"/>
      <c r="C13" s="40"/>
      <c r="D13" s="37"/>
      <c r="E13" s="37"/>
      <c r="F13" s="44"/>
    </row>
    <row r="14" spans="2:6" s="31" customFormat="1" ht="12.75" customHeight="1">
      <c r="B14" s="39"/>
      <c r="C14" s="40"/>
      <c r="D14" s="37"/>
      <c r="E14" s="37"/>
      <c r="F14" s="44"/>
    </row>
    <row r="15" spans="2:6" s="31" customFormat="1" ht="12.75" customHeight="1">
      <c r="B15" s="39"/>
      <c r="C15" s="40"/>
      <c r="D15" s="37"/>
      <c r="E15" s="37"/>
      <c r="F15" s="44"/>
    </row>
    <row r="16" spans="2:6" s="31" customFormat="1" ht="12.75" customHeight="1">
      <c r="B16" s="39"/>
      <c r="C16" s="40"/>
      <c r="D16" s="37"/>
      <c r="E16" s="37"/>
      <c r="F16" s="44"/>
    </row>
    <row r="17" spans="2:6" s="31" customFormat="1" ht="12.75" customHeight="1">
      <c r="B17" s="39"/>
      <c r="D17" s="37"/>
      <c r="E17" s="37"/>
      <c r="F17" s="44"/>
    </row>
    <row r="18" spans="2:6" s="31" customFormat="1" ht="12.75" customHeight="1">
      <c r="B18" s="39"/>
      <c r="D18" s="37"/>
      <c r="E18" s="37"/>
      <c r="F18" s="44"/>
    </row>
    <row r="19" spans="2:6" s="31" customFormat="1" ht="12.75" customHeight="1">
      <c r="B19" s="39"/>
      <c r="C19" s="40"/>
      <c r="D19" s="37"/>
      <c r="E19" s="37"/>
      <c r="F19" s="44"/>
    </row>
    <row r="20" spans="2:6" s="31" customFormat="1" ht="12.75" customHeight="1">
      <c r="B20" s="39"/>
      <c r="C20" s="38"/>
      <c r="D20" s="37"/>
      <c r="E20" s="37"/>
      <c r="F20" s="44"/>
    </row>
    <row r="21" spans="2:6" s="31" customFormat="1" ht="12.75" customHeight="1">
      <c r="B21" s="39"/>
      <c r="C21" s="38"/>
      <c r="D21" s="37"/>
      <c r="E21" s="37"/>
      <c r="F21" s="44"/>
    </row>
    <row r="22" spans="2:6" s="31" customFormat="1" ht="12.75" customHeight="1">
      <c r="B22" s="39"/>
      <c r="C22" s="38"/>
      <c r="D22" s="37"/>
      <c r="E22" s="37"/>
    </row>
    <row r="23" spans="2:6" ht="12.75" customHeight="1">
      <c r="C23" s="33"/>
      <c r="E23" s="36"/>
    </row>
    <row r="24" spans="2:6" ht="12.75" customHeight="1">
      <c r="C24" s="33"/>
      <c r="E24" s="35"/>
    </row>
    <row r="25" spans="2:6" ht="12.75" customHeight="1">
      <c r="C25" s="33"/>
      <c r="E25" s="34"/>
    </row>
    <row r="26" spans="2:6" ht="12.75" customHeight="1">
      <c r="C26" s="33"/>
    </row>
    <row r="27" spans="2:6">
      <c r="C27" s="33"/>
    </row>
    <row r="28" spans="2:6">
      <c r="C28" s="64"/>
      <c r="F28" s="44"/>
    </row>
    <row r="29" spans="2:6">
      <c r="C29" s="64"/>
      <c r="F29" s="44"/>
    </row>
    <row r="30" spans="2:6">
      <c r="C30" s="32"/>
      <c r="F30" s="44"/>
    </row>
    <row r="31" spans="2:6">
      <c r="F31" s="44"/>
    </row>
    <row r="32" spans="2:6" ht="12.75" customHeight="1">
      <c r="F32" s="44"/>
    </row>
    <row r="33" spans="5:8">
      <c r="F33" s="44"/>
    </row>
    <row r="34" spans="5:8">
      <c r="F34" s="44"/>
    </row>
    <row r="35" spans="5:8">
      <c r="F35" s="44"/>
    </row>
    <row r="36" spans="5:8">
      <c r="F36" s="44"/>
    </row>
    <row r="37" spans="5:8">
      <c r="F37" s="44"/>
    </row>
    <row r="38" spans="5:8">
      <c r="F38" s="44"/>
    </row>
    <row r="39" spans="5:8">
      <c r="E39" s="36"/>
      <c r="F39" s="44"/>
    </row>
    <row r="40" spans="5:8">
      <c r="F40" s="44"/>
      <c r="H40" s="184"/>
    </row>
  </sheetData>
  <mergeCells count="1">
    <mergeCell ref="C7:C9"/>
  </mergeCells>
  <printOptions horizontalCentered="1" verticalCentered="1"/>
  <pageMargins left="0.78740157480314965" right="0.78740157480314965" top="0.98425196850393704" bottom="0.98425196850393704" header="0" footer="0"/>
  <pageSetup paperSize="9" scale="94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C5F00-2979-46CB-BEED-720244A67E2F}">
  <sheetPr>
    <pageSetUpPr fitToPage="1"/>
  </sheetPr>
  <dimension ref="A1:M43"/>
  <sheetViews>
    <sheetView showGridLines="0" showRowColHeaders="0" zoomScaleNormal="100" workbookViewId="0"/>
  </sheetViews>
  <sheetFormatPr baseColWidth="10" defaultColWidth="11.42578125" defaultRowHeight="12.75"/>
  <cols>
    <col min="1" max="1" width="2.7109375" style="3" customWidth="1"/>
    <col min="2" max="2" width="23.7109375" style="3" customWidth="1"/>
    <col min="3" max="3" width="1.28515625" style="3" customWidth="1"/>
    <col min="4" max="4" width="105.7109375" style="3" customWidth="1"/>
    <col min="5" max="5" width="11.42578125" style="198"/>
    <col min="6" max="6" width="7.7109375" style="3" bestFit="1" customWidth="1"/>
    <col min="7" max="7" width="11.42578125" style="187"/>
    <col min="8" max="8" width="15.7109375" style="187" customWidth="1"/>
    <col min="9" max="16384" width="11.42578125" style="187"/>
  </cols>
  <sheetData>
    <row r="1" spans="1:13" s="3" customFormat="1" ht="21" customHeight="1">
      <c r="D1" s="27" t="s">
        <v>19</v>
      </c>
    </row>
    <row r="2" spans="1:13" s="3" customFormat="1" ht="15" customHeight="1">
      <c r="D2" s="26" t="str">
        <f>Indice!E3</f>
        <v>Julio 2026</v>
      </c>
    </row>
    <row r="3" spans="1:13" s="185" customFormat="1" ht="20.25" customHeight="1">
      <c r="A3" s="3"/>
      <c r="B3" s="25" t="s">
        <v>119</v>
      </c>
      <c r="D3" s="65"/>
      <c r="E3" s="3"/>
      <c r="F3" s="3"/>
    </row>
    <row r="4" spans="1:13">
      <c r="A4" s="186"/>
      <c r="B4" s="54"/>
      <c r="C4" s="185"/>
      <c r="D4" s="185"/>
      <c r="E4" s="185"/>
      <c r="F4" s="186"/>
    </row>
    <row r="5" spans="1:13">
      <c r="A5" s="186"/>
      <c r="B5" s="188"/>
      <c r="C5" s="185"/>
      <c r="D5" s="185"/>
      <c r="E5" s="185"/>
      <c r="F5" s="186"/>
    </row>
    <row r="6" spans="1:13">
      <c r="A6" s="186"/>
      <c r="B6" s="189"/>
      <c r="C6" s="190"/>
      <c r="D6" s="190"/>
      <c r="E6" s="185"/>
      <c r="F6" s="187"/>
      <c r="G6" s="191"/>
      <c r="H6" s="192"/>
      <c r="I6" s="192"/>
      <c r="J6" s="192"/>
      <c r="K6" s="192"/>
      <c r="L6" s="192"/>
      <c r="M6" s="192"/>
    </row>
    <row r="7" spans="1:13" ht="12.75" customHeight="1">
      <c r="A7" s="186"/>
      <c r="B7" s="263" t="s">
        <v>141</v>
      </c>
      <c r="C7" s="190"/>
      <c r="D7" s="193"/>
      <c r="E7" s="185"/>
      <c r="F7" s="194"/>
    </row>
    <row r="8" spans="1:13" ht="12.75" customHeight="1">
      <c r="A8" s="186"/>
      <c r="B8" s="263"/>
      <c r="C8" s="190"/>
      <c r="D8" s="193"/>
      <c r="E8" s="185"/>
      <c r="F8" s="194"/>
    </row>
    <row r="9" spans="1:13">
      <c r="A9" s="187"/>
      <c r="B9" s="263"/>
      <c r="C9" s="190"/>
      <c r="D9" s="193"/>
      <c r="E9" s="185"/>
      <c r="F9" s="195"/>
    </row>
    <row r="10" spans="1:13">
      <c r="A10" s="187"/>
      <c r="B10" s="33" t="s">
        <v>93</v>
      </c>
      <c r="C10" s="190"/>
      <c r="D10" s="193"/>
      <c r="E10" s="185"/>
      <c r="F10" s="195"/>
    </row>
    <row r="11" spans="1:13">
      <c r="A11" s="187"/>
      <c r="B11" s="196"/>
      <c r="C11" s="190"/>
      <c r="D11" s="190"/>
      <c r="E11" s="185"/>
      <c r="F11" s="195"/>
    </row>
    <row r="12" spans="1:13">
      <c r="A12" s="187"/>
      <c r="B12" s="196"/>
      <c r="C12" s="190"/>
      <c r="D12" s="190"/>
      <c r="E12" s="185"/>
      <c r="F12" s="195"/>
    </row>
    <row r="13" spans="1:13">
      <c r="A13" s="187"/>
      <c r="B13" s="196"/>
      <c r="C13" s="190"/>
      <c r="D13" s="190"/>
      <c r="E13" s="185"/>
      <c r="F13" s="195"/>
    </row>
    <row r="14" spans="1:13">
      <c r="A14" s="187"/>
      <c r="B14" s="189"/>
      <c r="C14" s="190"/>
      <c r="D14" s="190"/>
      <c r="E14" s="185"/>
      <c r="F14" s="195"/>
    </row>
    <row r="15" spans="1:13">
      <c r="A15" s="187"/>
      <c r="B15" s="189"/>
      <c r="C15" s="190"/>
      <c r="D15" s="190"/>
      <c r="E15" s="185"/>
      <c r="F15" s="195"/>
    </row>
    <row r="16" spans="1:13">
      <c r="A16" s="187"/>
      <c r="B16" s="189"/>
      <c r="C16" s="190"/>
      <c r="D16" s="190"/>
      <c r="E16" s="185"/>
      <c r="F16" s="195"/>
    </row>
    <row r="17" spans="1:6">
      <c r="A17" s="187"/>
      <c r="B17" s="189"/>
      <c r="C17" s="190"/>
      <c r="D17" s="190"/>
      <c r="E17" s="185"/>
      <c r="F17" s="195"/>
    </row>
    <row r="18" spans="1:6">
      <c r="A18" s="187"/>
      <c r="B18" s="189"/>
      <c r="C18" s="190"/>
      <c r="D18" s="190"/>
      <c r="E18" s="185"/>
      <c r="F18" s="195"/>
    </row>
    <row r="19" spans="1:6">
      <c r="A19" s="187"/>
      <c r="B19" s="189"/>
      <c r="C19" s="190"/>
      <c r="D19" s="190"/>
      <c r="E19" s="185"/>
      <c r="F19" s="195"/>
    </row>
    <row r="20" spans="1:6">
      <c r="A20" s="187"/>
      <c r="B20" s="189"/>
      <c r="C20" s="190"/>
      <c r="D20" s="190"/>
      <c r="E20" s="185"/>
      <c r="F20" s="195"/>
    </row>
    <row r="21" spans="1:6">
      <c r="A21" s="187"/>
      <c r="B21" s="189"/>
      <c r="C21" s="190"/>
      <c r="D21" s="190"/>
      <c r="E21" s="185"/>
      <c r="F21" s="195"/>
    </row>
    <row r="28" spans="1:6">
      <c r="D28" s="197"/>
    </row>
    <row r="30" spans="1:6">
      <c r="E30" s="199"/>
    </row>
    <row r="31" spans="1:6">
      <c r="E31" s="199"/>
    </row>
    <row r="32" spans="1:6">
      <c r="E32" s="199"/>
    </row>
    <row r="33" spans="5:11">
      <c r="E33" s="199"/>
    </row>
    <row r="34" spans="5:11">
      <c r="E34" s="199"/>
    </row>
    <row r="35" spans="5:11">
      <c r="E35" s="199"/>
    </row>
    <row r="40" spans="5:11">
      <c r="E40" s="3"/>
    </row>
    <row r="41" spans="5:11">
      <c r="E41" s="3"/>
    </row>
    <row r="42" spans="5:11">
      <c r="E42" s="3"/>
      <c r="K42" s="200"/>
    </row>
    <row r="43" spans="5:11">
      <c r="E43" s="3"/>
    </row>
  </sheetData>
  <mergeCells count="1">
    <mergeCell ref="B7:B9"/>
  </mergeCells>
  <printOptions horizontalCentered="1" verticalCentered="1"/>
  <pageMargins left="0.78740157480314965" right="0.78740157480314965" top="0.98425196850393704" bottom="0.98425196850393704" header="0" footer="0"/>
  <pageSetup paperSize="9" scale="61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925EE-FC71-4BB2-B6EC-ACBE88198869}">
  <sheetPr>
    <pageSetUpPr autoPageBreaks="0"/>
  </sheetPr>
  <dimension ref="A1:N24"/>
  <sheetViews>
    <sheetView showGridLines="0" showRowColHeaders="0" workbookViewId="0">
      <selection activeCell="B2" sqref="B2"/>
    </sheetView>
  </sheetViews>
  <sheetFormatPr baseColWidth="10" defaultRowHeight="12.75"/>
  <cols>
    <col min="1" max="1" width="0.42578125" style="54" customWidth="1"/>
    <col min="2" max="2" width="2.5703125" style="54" customWidth="1"/>
    <col min="3" max="3" width="23.5703125" style="54" customWidth="1"/>
    <col min="4" max="4" width="1.42578125" style="54" customWidth="1"/>
    <col min="5" max="5" width="26.7109375" style="205" customWidth="1"/>
    <col min="6" max="6" width="26.7109375" style="212" customWidth="1"/>
    <col min="7" max="8" width="11.5703125" style="205"/>
    <col min="9" max="12" width="11.5703125" style="205" bestFit="1" customWidth="1"/>
    <col min="13" max="13" width="12.42578125" style="205" bestFit="1" customWidth="1"/>
    <col min="14" max="14" width="11.5703125" style="205" bestFit="1" customWidth="1"/>
    <col min="15" max="241" width="11.5703125" style="205"/>
    <col min="242" max="242" width="0.42578125" style="205" customWidth="1"/>
    <col min="243" max="243" width="2.5703125" style="205" customWidth="1"/>
    <col min="244" max="244" width="15.42578125" style="205" customWidth="1"/>
    <col min="245" max="245" width="1.42578125" style="205" customWidth="1"/>
    <col min="246" max="246" width="27.5703125" style="205" customWidth="1"/>
    <col min="247" max="247" width="6.5703125" style="205" customWidth="1"/>
    <col min="248" max="248" width="1.5703125" style="205" customWidth="1"/>
    <col min="249" max="249" width="10.5703125" style="205" customWidth="1"/>
    <col min="250" max="250" width="5.5703125" style="205" customWidth="1"/>
    <col min="251" max="251" width="1.5703125" style="205" customWidth="1"/>
    <col min="252" max="252" width="10.5703125" style="205" customWidth="1"/>
    <col min="253" max="253" width="6.5703125" style="205" customWidth="1"/>
    <col min="254" max="254" width="1.5703125" style="205" customWidth="1"/>
    <col min="255" max="255" width="10.5703125" style="205" customWidth="1"/>
    <col min="256" max="256" width="9.5703125" style="205" customWidth="1"/>
    <col min="257" max="257" width="13.42578125" style="205" bestFit="1" customWidth="1"/>
    <col min="258" max="258" width="7.5703125" style="205" customWidth="1"/>
    <col min="259" max="259" width="11.5703125" style="205"/>
    <col min="260" max="260" width="13.42578125" style="205" bestFit="1" customWidth="1"/>
    <col min="261" max="497" width="11.5703125" style="205"/>
    <col min="498" max="498" width="0.42578125" style="205" customWidth="1"/>
    <col min="499" max="499" width="2.5703125" style="205" customWidth="1"/>
    <col min="500" max="500" width="15.42578125" style="205" customWidth="1"/>
    <col min="501" max="501" width="1.42578125" style="205" customWidth="1"/>
    <col min="502" max="502" width="27.5703125" style="205" customWidth="1"/>
    <col min="503" max="503" width="6.5703125" style="205" customWidth="1"/>
    <col min="504" max="504" width="1.5703125" style="205" customWidth="1"/>
    <col min="505" max="505" width="10.5703125" style="205" customWidth="1"/>
    <col min="506" max="506" width="5.5703125" style="205" customWidth="1"/>
    <col min="507" max="507" width="1.5703125" style="205" customWidth="1"/>
    <col min="508" max="508" width="10.5703125" style="205" customWidth="1"/>
    <col min="509" max="509" width="6.5703125" style="205" customWidth="1"/>
    <col min="510" max="510" width="1.5703125" style="205" customWidth="1"/>
    <col min="511" max="511" width="10.5703125" style="205" customWidth="1"/>
    <col min="512" max="512" width="9.5703125" style="205" customWidth="1"/>
    <col min="513" max="513" width="13.42578125" style="205" bestFit="1" customWidth="1"/>
    <col min="514" max="514" width="7.5703125" style="205" customWidth="1"/>
    <col min="515" max="515" width="11.5703125" style="205"/>
    <col min="516" max="516" width="13.42578125" style="205" bestFit="1" customWidth="1"/>
    <col min="517" max="753" width="11.5703125" style="205"/>
    <col min="754" max="754" width="0.42578125" style="205" customWidth="1"/>
    <col min="755" max="755" width="2.5703125" style="205" customWidth="1"/>
    <col min="756" max="756" width="15.42578125" style="205" customWidth="1"/>
    <col min="757" max="757" width="1.42578125" style="205" customWidth="1"/>
    <col min="758" max="758" width="27.5703125" style="205" customWidth="1"/>
    <col min="759" max="759" width="6.5703125" style="205" customWidth="1"/>
    <col min="760" max="760" width="1.5703125" style="205" customWidth="1"/>
    <col min="761" max="761" width="10.5703125" style="205" customWidth="1"/>
    <col min="762" max="762" width="5.5703125" style="205" customWidth="1"/>
    <col min="763" max="763" width="1.5703125" style="205" customWidth="1"/>
    <col min="764" max="764" width="10.5703125" style="205" customWidth="1"/>
    <col min="765" max="765" width="6.5703125" style="205" customWidth="1"/>
    <col min="766" max="766" width="1.5703125" style="205" customWidth="1"/>
    <col min="767" max="767" width="10.5703125" style="205" customWidth="1"/>
    <col min="768" max="768" width="9.5703125" style="205" customWidth="1"/>
    <col min="769" max="769" width="13.42578125" style="205" bestFit="1" customWidth="1"/>
    <col min="770" max="770" width="7.5703125" style="205" customWidth="1"/>
    <col min="771" max="771" width="11.5703125" style="205"/>
    <col min="772" max="772" width="13.42578125" style="205" bestFit="1" customWidth="1"/>
    <col min="773" max="1009" width="11.5703125" style="205"/>
    <col min="1010" max="1010" width="0.42578125" style="205" customWidth="1"/>
    <col min="1011" max="1011" width="2.5703125" style="205" customWidth="1"/>
    <col min="1012" max="1012" width="15.42578125" style="205" customWidth="1"/>
    <col min="1013" max="1013" width="1.42578125" style="205" customWidth="1"/>
    <col min="1014" max="1014" width="27.5703125" style="205" customWidth="1"/>
    <col min="1015" max="1015" width="6.5703125" style="205" customWidth="1"/>
    <col min="1016" max="1016" width="1.5703125" style="205" customWidth="1"/>
    <col min="1017" max="1017" width="10.5703125" style="205" customWidth="1"/>
    <col min="1018" max="1018" width="5.5703125" style="205" customWidth="1"/>
    <col min="1019" max="1019" width="1.5703125" style="205" customWidth="1"/>
    <col min="1020" max="1020" width="10.5703125" style="205" customWidth="1"/>
    <col min="1021" max="1021" width="6.5703125" style="205" customWidth="1"/>
    <col min="1022" max="1022" width="1.5703125" style="205" customWidth="1"/>
    <col min="1023" max="1023" width="10.5703125" style="205" customWidth="1"/>
    <col min="1024" max="1024" width="9.5703125" style="205" customWidth="1"/>
    <col min="1025" max="1025" width="13.42578125" style="205" bestFit="1" customWidth="1"/>
    <col min="1026" max="1026" width="7.5703125" style="205" customWidth="1"/>
    <col min="1027" max="1027" width="11.5703125" style="205"/>
    <col min="1028" max="1028" width="13.42578125" style="205" bestFit="1" customWidth="1"/>
    <col min="1029" max="1265" width="11.5703125" style="205"/>
    <col min="1266" max="1266" width="0.42578125" style="205" customWidth="1"/>
    <col min="1267" max="1267" width="2.5703125" style="205" customWidth="1"/>
    <col min="1268" max="1268" width="15.42578125" style="205" customWidth="1"/>
    <col min="1269" max="1269" width="1.42578125" style="205" customWidth="1"/>
    <col min="1270" max="1270" width="27.5703125" style="205" customWidth="1"/>
    <col min="1271" max="1271" width="6.5703125" style="205" customWidth="1"/>
    <col min="1272" max="1272" width="1.5703125" style="205" customWidth="1"/>
    <col min="1273" max="1273" width="10.5703125" style="205" customWidth="1"/>
    <col min="1274" max="1274" width="5.5703125" style="205" customWidth="1"/>
    <col min="1275" max="1275" width="1.5703125" style="205" customWidth="1"/>
    <col min="1276" max="1276" width="10.5703125" style="205" customWidth="1"/>
    <col min="1277" max="1277" width="6.5703125" style="205" customWidth="1"/>
    <col min="1278" max="1278" width="1.5703125" style="205" customWidth="1"/>
    <col min="1279" max="1279" width="10.5703125" style="205" customWidth="1"/>
    <col min="1280" max="1280" width="9.5703125" style="205" customWidth="1"/>
    <col min="1281" max="1281" width="13.42578125" style="205" bestFit="1" customWidth="1"/>
    <col min="1282" max="1282" width="7.5703125" style="205" customWidth="1"/>
    <col min="1283" max="1283" width="11.5703125" style="205"/>
    <col min="1284" max="1284" width="13.42578125" style="205" bestFit="1" customWidth="1"/>
    <col min="1285" max="1521" width="11.5703125" style="205"/>
    <col min="1522" max="1522" width="0.42578125" style="205" customWidth="1"/>
    <col min="1523" max="1523" width="2.5703125" style="205" customWidth="1"/>
    <col min="1524" max="1524" width="15.42578125" style="205" customWidth="1"/>
    <col min="1525" max="1525" width="1.42578125" style="205" customWidth="1"/>
    <col min="1526" max="1526" width="27.5703125" style="205" customWidth="1"/>
    <col min="1527" max="1527" width="6.5703125" style="205" customWidth="1"/>
    <col min="1528" max="1528" width="1.5703125" style="205" customWidth="1"/>
    <col min="1529" max="1529" width="10.5703125" style="205" customWidth="1"/>
    <col min="1530" max="1530" width="5.5703125" style="205" customWidth="1"/>
    <col min="1531" max="1531" width="1.5703125" style="205" customWidth="1"/>
    <col min="1532" max="1532" width="10.5703125" style="205" customWidth="1"/>
    <col min="1533" max="1533" width="6.5703125" style="205" customWidth="1"/>
    <col min="1534" max="1534" width="1.5703125" style="205" customWidth="1"/>
    <col min="1535" max="1535" width="10.5703125" style="205" customWidth="1"/>
    <col min="1536" max="1536" width="9.5703125" style="205" customWidth="1"/>
    <col min="1537" max="1537" width="13.42578125" style="205" bestFit="1" customWidth="1"/>
    <col min="1538" max="1538" width="7.5703125" style="205" customWidth="1"/>
    <col min="1539" max="1539" width="11.5703125" style="205"/>
    <col min="1540" max="1540" width="13.42578125" style="205" bestFit="1" customWidth="1"/>
    <col min="1541" max="1777" width="11.5703125" style="205"/>
    <col min="1778" max="1778" width="0.42578125" style="205" customWidth="1"/>
    <col min="1779" max="1779" width="2.5703125" style="205" customWidth="1"/>
    <col min="1780" max="1780" width="15.42578125" style="205" customWidth="1"/>
    <col min="1781" max="1781" width="1.42578125" style="205" customWidth="1"/>
    <col min="1782" max="1782" width="27.5703125" style="205" customWidth="1"/>
    <col min="1783" max="1783" width="6.5703125" style="205" customWidth="1"/>
    <col min="1784" max="1784" width="1.5703125" style="205" customWidth="1"/>
    <col min="1785" max="1785" width="10.5703125" style="205" customWidth="1"/>
    <col min="1786" max="1786" width="5.5703125" style="205" customWidth="1"/>
    <col min="1787" max="1787" width="1.5703125" style="205" customWidth="1"/>
    <col min="1788" max="1788" width="10.5703125" style="205" customWidth="1"/>
    <col min="1789" max="1789" width="6.5703125" style="205" customWidth="1"/>
    <col min="1790" max="1790" width="1.5703125" style="205" customWidth="1"/>
    <col min="1791" max="1791" width="10.5703125" style="205" customWidth="1"/>
    <col min="1792" max="1792" width="9.5703125" style="205" customWidth="1"/>
    <col min="1793" max="1793" width="13.42578125" style="205" bestFit="1" customWidth="1"/>
    <col min="1794" max="1794" width="7.5703125" style="205" customWidth="1"/>
    <col min="1795" max="1795" width="11.5703125" style="205"/>
    <col min="1796" max="1796" width="13.42578125" style="205" bestFit="1" customWidth="1"/>
    <col min="1797" max="2033" width="11.5703125" style="205"/>
    <col min="2034" max="2034" width="0.42578125" style="205" customWidth="1"/>
    <col min="2035" max="2035" width="2.5703125" style="205" customWidth="1"/>
    <col min="2036" max="2036" width="15.42578125" style="205" customWidth="1"/>
    <col min="2037" max="2037" width="1.42578125" style="205" customWidth="1"/>
    <col min="2038" max="2038" width="27.5703125" style="205" customWidth="1"/>
    <col min="2039" max="2039" width="6.5703125" style="205" customWidth="1"/>
    <col min="2040" max="2040" width="1.5703125" style="205" customWidth="1"/>
    <col min="2041" max="2041" width="10.5703125" style="205" customWidth="1"/>
    <col min="2042" max="2042" width="5.5703125" style="205" customWidth="1"/>
    <col min="2043" max="2043" width="1.5703125" style="205" customWidth="1"/>
    <col min="2044" max="2044" width="10.5703125" style="205" customWidth="1"/>
    <col min="2045" max="2045" width="6.5703125" style="205" customWidth="1"/>
    <col min="2046" max="2046" width="1.5703125" style="205" customWidth="1"/>
    <col min="2047" max="2047" width="10.5703125" style="205" customWidth="1"/>
    <col min="2048" max="2048" width="9.5703125" style="205" customWidth="1"/>
    <col min="2049" max="2049" width="13.42578125" style="205" bestFit="1" customWidth="1"/>
    <col min="2050" max="2050" width="7.5703125" style="205" customWidth="1"/>
    <col min="2051" max="2051" width="11.5703125" style="205"/>
    <col min="2052" max="2052" width="13.42578125" style="205" bestFit="1" customWidth="1"/>
    <col min="2053" max="2289" width="11.5703125" style="205"/>
    <col min="2290" max="2290" width="0.42578125" style="205" customWidth="1"/>
    <col min="2291" max="2291" width="2.5703125" style="205" customWidth="1"/>
    <col min="2292" max="2292" width="15.42578125" style="205" customWidth="1"/>
    <col min="2293" max="2293" width="1.42578125" style="205" customWidth="1"/>
    <col min="2294" max="2294" width="27.5703125" style="205" customWidth="1"/>
    <col min="2295" max="2295" width="6.5703125" style="205" customWidth="1"/>
    <col min="2296" max="2296" width="1.5703125" style="205" customWidth="1"/>
    <col min="2297" max="2297" width="10.5703125" style="205" customWidth="1"/>
    <col min="2298" max="2298" width="5.5703125" style="205" customWidth="1"/>
    <col min="2299" max="2299" width="1.5703125" style="205" customWidth="1"/>
    <col min="2300" max="2300" width="10.5703125" style="205" customWidth="1"/>
    <col min="2301" max="2301" width="6.5703125" style="205" customWidth="1"/>
    <col min="2302" max="2302" width="1.5703125" style="205" customWidth="1"/>
    <col min="2303" max="2303" width="10.5703125" style="205" customWidth="1"/>
    <col min="2304" max="2304" width="9.5703125" style="205" customWidth="1"/>
    <col min="2305" max="2305" width="13.42578125" style="205" bestFit="1" customWidth="1"/>
    <col min="2306" max="2306" width="7.5703125" style="205" customWidth="1"/>
    <col min="2307" max="2307" width="11.5703125" style="205"/>
    <col min="2308" max="2308" width="13.42578125" style="205" bestFit="1" customWidth="1"/>
    <col min="2309" max="2545" width="11.5703125" style="205"/>
    <col min="2546" max="2546" width="0.42578125" style="205" customWidth="1"/>
    <col min="2547" max="2547" width="2.5703125" style="205" customWidth="1"/>
    <col min="2548" max="2548" width="15.42578125" style="205" customWidth="1"/>
    <col min="2549" max="2549" width="1.42578125" style="205" customWidth="1"/>
    <col min="2550" max="2550" width="27.5703125" style="205" customWidth="1"/>
    <col min="2551" max="2551" width="6.5703125" style="205" customWidth="1"/>
    <col min="2552" max="2552" width="1.5703125" style="205" customWidth="1"/>
    <col min="2553" max="2553" width="10.5703125" style="205" customWidth="1"/>
    <col min="2554" max="2554" width="5.5703125" style="205" customWidth="1"/>
    <col min="2555" max="2555" width="1.5703125" style="205" customWidth="1"/>
    <col min="2556" max="2556" width="10.5703125" style="205" customWidth="1"/>
    <col min="2557" max="2557" width="6.5703125" style="205" customWidth="1"/>
    <col min="2558" max="2558" width="1.5703125" style="205" customWidth="1"/>
    <col min="2559" max="2559" width="10.5703125" style="205" customWidth="1"/>
    <col min="2560" max="2560" width="9.5703125" style="205" customWidth="1"/>
    <col min="2561" max="2561" width="13.42578125" style="205" bestFit="1" customWidth="1"/>
    <col min="2562" max="2562" width="7.5703125" style="205" customWidth="1"/>
    <col min="2563" max="2563" width="11.5703125" style="205"/>
    <col min="2564" max="2564" width="13.42578125" style="205" bestFit="1" customWidth="1"/>
    <col min="2565" max="2801" width="11.5703125" style="205"/>
    <col min="2802" max="2802" width="0.42578125" style="205" customWidth="1"/>
    <col min="2803" max="2803" width="2.5703125" style="205" customWidth="1"/>
    <col min="2804" max="2804" width="15.42578125" style="205" customWidth="1"/>
    <col min="2805" max="2805" width="1.42578125" style="205" customWidth="1"/>
    <col min="2806" max="2806" width="27.5703125" style="205" customWidth="1"/>
    <col min="2807" max="2807" width="6.5703125" style="205" customWidth="1"/>
    <col min="2808" max="2808" width="1.5703125" style="205" customWidth="1"/>
    <col min="2809" max="2809" width="10.5703125" style="205" customWidth="1"/>
    <col min="2810" max="2810" width="5.5703125" style="205" customWidth="1"/>
    <col min="2811" max="2811" width="1.5703125" style="205" customWidth="1"/>
    <col min="2812" max="2812" width="10.5703125" style="205" customWidth="1"/>
    <col min="2813" max="2813" width="6.5703125" style="205" customWidth="1"/>
    <col min="2814" max="2814" width="1.5703125" style="205" customWidth="1"/>
    <col min="2815" max="2815" width="10.5703125" style="205" customWidth="1"/>
    <col min="2816" max="2816" width="9.5703125" style="205" customWidth="1"/>
    <col min="2817" max="2817" width="13.42578125" style="205" bestFit="1" customWidth="1"/>
    <col min="2818" max="2818" width="7.5703125" style="205" customWidth="1"/>
    <col min="2819" max="2819" width="11.5703125" style="205"/>
    <col min="2820" max="2820" width="13.42578125" style="205" bestFit="1" customWidth="1"/>
    <col min="2821" max="3057" width="11.5703125" style="205"/>
    <col min="3058" max="3058" width="0.42578125" style="205" customWidth="1"/>
    <col min="3059" max="3059" width="2.5703125" style="205" customWidth="1"/>
    <col min="3060" max="3060" width="15.42578125" style="205" customWidth="1"/>
    <col min="3061" max="3061" width="1.42578125" style="205" customWidth="1"/>
    <col min="3062" max="3062" width="27.5703125" style="205" customWidth="1"/>
    <col min="3063" max="3063" width="6.5703125" style="205" customWidth="1"/>
    <col min="3064" max="3064" width="1.5703125" style="205" customWidth="1"/>
    <col min="3065" max="3065" width="10.5703125" style="205" customWidth="1"/>
    <col min="3066" max="3066" width="5.5703125" style="205" customWidth="1"/>
    <col min="3067" max="3067" width="1.5703125" style="205" customWidth="1"/>
    <col min="3068" max="3068" width="10.5703125" style="205" customWidth="1"/>
    <col min="3069" max="3069" width="6.5703125" style="205" customWidth="1"/>
    <col min="3070" max="3070" width="1.5703125" style="205" customWidth="1"/>
    <col min="3071" max="3071" width="10.5703125" style="205" customWidth="1"/>
    <col min="3072" max="3072" width="9.5703125" style="205" customWidth="1"/>
    <col min="3073" max="3073" width="13.42578125" style="205" bestFit="1" customWidth="1"/>
    <col min="3074" max="3074" width="7.5703125" style="205" customWidth="1"/>
    <col min="3075" max="3075" width="11.5703125" style="205"/>
    <col min="3076" max="3076" width="13.42578125" style="205" bestFit="1" customWidth="1"/>
    <col min="3077" max="3313" width="11.5703125" style="205"/>
    <col min="3314" max="3314" width="0.42578125" style="205" customWidth="1"/>
    <col min="3315" max="3315" width="2.5703125" style="205" customWidth="1"/>
    <col min="3316" max="3316" width="15.42578125" style="205" customWidth="1"/>
    <col min="3317" max="3317" width="1.42578125" style="205" customWidth="1"/>
    <col min="3318" max="3318" width="27.5703125" style="205" customWidth="1"/>
    <col min="3319" max="3319" width="6.5703125" style="205" customWidth="1"/>
    <col min="3320" max="3320" width="1.5703125" style="205" customWidth="1"/>
    <col min="3321" max="3321" width="10.5703125" style="205" customWidth="1"/>
    <col min="3322" max="3322" width="5.5703125" style="205" customWidth="1"/>
    <col min="3323" max="3323" width="1.5703125" style="205" customWidth="1"/>
    <col min="3324" max="3324" width="10.5703125" style="205" customWidth="1"/>
    <col min="3325" max="3325" width="6.5703125" style="205" customWidth="1"/>
    <col min="3326" max="3326" width="1.5703125" style="205" customWidth="1"/>
    <col min="3327" max="3327" width="10.5703125" style="205" customWidth="1"/>
    <col min="3328" max="3328" width="9.5703125" style="205" customWidth="1"/>
    <col min="3329" max="3329" width="13.42578125" style="205" bestFit="1" customWidth="1"/>
    <col min="3330" max="3330" width="7.5703125" style="205" customWidth="1"/>
    <col min="3331" max="3331" width="11.5703125" style="205"/>
    <col min="3332" max="3332" width="13.42578125" style="205" bestFit="1" customWidth="1"/>
    <col min="3333" max="3569" width="11.5703125" style="205"/>
    <col min="3570" max="3570" width="0.42578125" style="205" customWidth="1"/>
    <col min="3571" max="3571" width="2.5703125" style="205" customWidth="1"/>
    <col min="3572" max="3572" width="15.42578125" style="205" customWidth="1"/>
    <col min="3573" max="3573" width="1.42578125" style="205" customWidth="1"/>
    <col min="3574" max="3574" width="27.5703125" style="205" customWidth="1"/>
    <col min="3575" max="3575" width="6.5703125" style="205" customWidth="1"/>
    <col min="3576" max="3576" width="1.5703125" style="205" customWidth="1"/>
    <col min="3577" max="3577" width="10.5703125" style="205" customWidth="1"/>
    <col min="3578" max="3578" width="5.5703125" style="205" customWidth="1"/>
    <col min="3579" max="3579" width="1.5703125" style="205" customWidth="1"/>
    <col min="3580" max="3580" width="10.5703125" style="205" customWidth="1"/>
    <col min="3581" max="3581" width="6.5703125" style="205" customWidth="1"/>
    <col min="3582" max="3582" width="1.5703125" style="205" customWidth="1"/>
    <col min="3583" max="3583" width="10.5703125" style="205" customWidth="1"/>
    <col min="3584" max="3584" width="9.5703125" style="205" customWidth="1"/>
    <col min="3585" max="3585" width="13.42578125" style="205" bestFit="1" customWidth="1"/>
    <col min="3586" max="3586" width="7.5703125" style="205" customWidth="1"/>
    <col min="3587" max="3587" width="11.5703125" style="205"/>
    <col min="3588" max="3588" width="13.42578125" style="205" bestFit="1" customWidth="1"/>
    <col min="3589" max="3825" width="11.5703125" style="205"/>
    <col min="3826" max="3826" width="0.42578125" style="205" customWidth="1"/>
    <col min="3827" max="3827" width="2.5703125" style="205" customWidth="1"/>
    <col min="3828" max="3828" width="15.42578125" style="205" customWidth="1"/>
    <col min="3829" max="3829" width="1.42578125" style="205" customWidth="1"/>
    <col min="3830" max="3830" width="27.5703125" style="205" customWidth="1"/>
    <col min="3831" max="3831" width="6.5703125" style="205" customWidth="1"/>
    <col min="3832" max="3832" width="1.5703125" style="205" customWidth="1"/>
    <col min="3833" max="3833" width="10.5703125" style="205" customWidth="1"/>
    <col min="3834" max="3834" width="5.5703125" style="205" customWidth="1"/>
    <col min="3835" max="3835" width="1.5703125" style="205" customWidth="1"/>
    <col min="3836" max="3836" width="10.5703125" style="205" customWidth="1"/>
    <col min="3837" max="3837" width="6.5703125" style="205" customWidth="1"/>
    <col min="3838" max="3838" width="1.5703125" style="205" customWidth="1"/>
    <col min="3839" max="3839" width="10.5703125" style="205" customWidth="1"/>
    <col min="3840" max="3840" width="9.5703125" style="205" customWidth="1"/>
    <col min="3841" max="3841" width="13.42578125" style="205" bestFit="1" customWidth="1"/>
    <col min="3842" max="3842" width="7.5703125" style="205" customWidth="1"/>
    <col min="3843" max="3843" width="11.5703125" style="205"/>
    <col min="3844" max="3844" width="13.42578125" style="205" bestFit="1" customWidth="1"/>
    <col min="3845" max="4081" width="11.5703125" style="205"/>
    <col min="4082" max="4082" width="0.42578125" style="205" customWidth="1"/>
    <col min="4083" max="4083" width="2.5703125" style="205" customWidth="1"/>
    <col min="4084" max="4084" width="15.42578125" style="205" customWidth="1"/>
    <col min="4085" max="4085" width="1.42578125" style="205" customWidth="1"/>
    <col min="4086" max="4086" width="27.5703125" style="205" customWidth="1"/>
    <col min="4087" max="4087" width="6.5703125" style="205" customWidth="1"/>
    <col min="4088" max="4088" width="1.5703125" style="205" customWidth="1"/>
    <col min="4089" max="4089" width="10.5703125" style="205" customWidth="1"/>
    <col min="4090" max="4090" width="5.5703125" style="205" customWidth="1"/>
    <col min="4091" max="4091" width="1.5703125" style="205" customWidth="1"/>
    <col min="4092" max="4092" width="10.5703125" style="205" customWidth="1"/>
    <col min="4093" max="4093" width="6.5703125" style="205" customWidth="1"/>
    <col min="4094" max="4094" width="1.5703125" style="205" customWidth="1"/>
    <col min="4095" max="4095" width="10.5703125" style="205" customWidth="1"/>
    <col min="4096" max="4096" width="9.5703125" style="205" customWidth="1"/>
    <col min="4097" max="4097" width="13.42578125" style="205" bestFit="1" customWidth="1"/>
    <col min="4098" max="4098" width="7.5703125" style="205" customWidth="1"/>
    <col min="4099" max="4099" width="11.5703125" style="205"/>
    <col min="4100" max="4100" width="13.42578125" style="205" bestFit="1" customWidth="1"/>
    <col min="4101" max="4337" width="11.5703125" style="205"/>
    <col min="4338" max="4338" width="0.42578125" style="205" customWidth="1"/>
    <col min="4339" max="4339" width="2.5703125" style="205" customWidth="1"/>
    <col min="4340" max="4340" width="15.42578125" style="205" customWidth="1"/>
    <col min="4341" max="4341" width="1.42578125" style="205" customWidth="1"/>
    <col min="4342" max="4342" width="27.5703125" style="205" customWidth="1"/>
    <col min="4343" max="4343" width="6.5703125" style="205" customWidth="1"/>
    <col min="4344" max="4344" width="1.5703125" style="205" customWidth="1"/>
    <col min="4345" max="4345" width="10.5703125" style="205" customWidth="1"/>
    <col min="4346" max="4346" width="5.5703125" style="205" customWidth="1"/>
    <col min="4347" max="4347" width="1.5703125" style="205" customWidth="1"/>
    <col min="4348" max="4348" width="10.5703125" style="205" customWidth="1"/>
    <col min="4349" max="4349" width="6.5703125" style="205" customWidth="1"/>
    <col min="4350" max="4350" width="1.5703125" style="205" customWidth="1"/>
    <col min="4351" max="4351" width="10.5703125" style="205" customWidth="1"/>
    <col min="4352" max="4352" width="9.5703125" style="205" customWidth="1"/>
    <col min="4353" max="4353" width="13.42578125" style="205" bestFit="1" customWidth="1"/>
    <col min="4354" max="4354" width="7.5703125" style="205" customWidth="1"/>
    <col min="4355" max="4355" width="11.5703125" style="205"/>
    <col min="4356" max="4356" width="13.42578125" style="205" bestFit="1" customWidth="1"/>
    <col min="4357" max="4593" width="11.5703125" style="205"/>
    <col min="4594" max="4594" width="0.42578125" style="205" customWidth="1"/>
    <col min="4595" max="4595" width="2.5703125" style="205" customWidth="1"/>
    <col min="4596" max="4596" width="15.42578125" style="205" customWidth="1"/>
    <col min="4597" max="4597" width="1.42578125" style="205" customWidth="1"/>
    <col min="4598" max="4598" width="27.5703125" style="205" customWidth="1"/>
    <col min="4599" max="4599" width="6.5703125" style="205" customWidth="1"/>
    <col min="4600" max="4600" width="1.5703125" style="205" customWidth="1"/>
    <col min="4601" max="4601" width="10.5703125" style="205" customWidth="1"/>
    <col min="4602" max="4602" width="5.5703125" style="205" customWidth="1"/>
    <col min="4603" max="4603" width="1.5703125" style="205" customWidth="1"/>
    <col min="4604" max="4604" width="10.5703125" style="205" customWidth="1"/>
    <col min="4605" max="4605" width="6.5703125" style="205" customWidth="1"/>
    <col min="4606" max="4606" width="1.5703125" style="205" customWidth="1"/>
    <col min="4607" max="4607" width="10.5703125" style="205" customWidth="1"/>
    <col min="4608" max="4608" width="9.5703125" style="205" customWidth="1"/>
    <col min="4609" max="4609" width="13.42578125" style="205" bestFit="1" customWidth="1"/>
    <col min="4610" max="4610" width="7.5703125" style="205" customWidth="1"/>
    <col min="4611" max="4611" width="11.5703125" style="205"/>
    <col min="4612" max="4612" width="13.42578125" style="205" bestFit="1" customWidth="1"/>
    <col min="4613" max="4849" width="11.5703125" style="205"/>
    <col min="4850" max="4850" width="0.42578125" style="205" customWidth="1"/>
    <col min="4851" max="4851" width="2.5703125" style="205" customWidth="1"/>
    <col min="4852" max="4852" width="15.42578125" style="205" customWidth="1"/>
    <col min="4853" max="4853" width="1.42578125" style="205" customWidth="1"/>
    <col min="4854" max="4854" width="27.5703125" style="205" customWidth="1"/>
    <col min="4855" max="4855" width="6.5703125" style="205" customWidth="1"/>
    <col min="4856" max="4856" width="1.5703125" style="205" customWidth="1"/>
    <col min="4857" max="4857" width="10.5703125" style="205" customWidth="1"/>
    <col min="4858" max="4858" width="5.5703125" style="205" customWidth="1"/>
    <col min="4859" max="4859" width="1.5703125" style="205" customWidth="1"/>
    <col min="4860" max="4860" width="10.5703125" style="205" customWidth="1"/>
    <col min="4861" max="4861" width="6.5703125" style="205" customWidth="1"/>
    <col min="4862" max="4862" width="1.5703125" style="205" customWidth="1"/>
    <col min="4863" max="4863" width="10.5703125" style="205" customWidth="1"/>
    <col min="4864" max="4864" width="9.5703125" style="205" customWidth="1"/>
    <col min="4865" max="4865" width="13.42578125" style="205" bestFit="1" customWidth="1"/>
    <col min="4866" max="4866" width="7.5703125" style="205" customWidth="1"/>
    <col min="4867" max="4867" width="11.5703125" style="205"/>
    <col min="4868" max="4868" width="13.42578125" style="205" bestFit="1" customWidth="1"/>
    <col min="4869" max="5105" width="11.5703125" style="205"/>
    <col min="5106" max="5106" width="0.42578125" style="205" customWidth="1"/>
    <col min="5107" max="5107" width="2.5703125" style="205" customWidth="1"/>
    <col min="5108" max="5108" width="15.42578125" style="205" customWidth="1"/>
    <col min="5109" max="5109" width="1.42578125" style="205" customWidth="1"/>
    <col min="5110" max="5110" width="27.5703125" style="205" customWidth="1"/>
    <col min="5111" max="5111" width="6.5703125" style="205" customWidth="1"/>
    <col min="5112" max="5112" width="1.5703125" style="205" customWidth="1"/>
    <col min="5113" max="5113" width="10.5703125" style="205" customWidth="1"/>
    <col min="5114" max="5114" width="5.5703125" style="205" customWidth="1"/>
    <col min="5115" max="5115" width="1.5703125" style="205" customWidth="1"/>
    <col min="5116" max="5116" width="10.5703125" style="205" customWidth="1"/>
    <col min="5117" max="5117" width="6.5703125" style="205" customWidth="1"/>
    <col min="5118" max="5118" width="1.5703125" style="205" customWidth="1"/>
    <col min="5119" max="5119" width="10.5703125" style="205" customWidth="1"/>
    <col min="5120" max="5120" width="9.5703125" style="205" customWidth="1"/>
    <col min="5121" max="5121" width="13.42578125" style="205" bestFit="1" customWidth="1"/>
    <col min="5122" max="5122" width="7.5703125" style="205" customWidth="1"/>
    <col min="5123" max="5123" width="11.5703125" style="205"/>
    <col min="5124" max="5124" width="13.42578125" style="205" bestFit="1" customWidth="1"/>
    <col min="5125" max="5361" width="11.5703125" style="205"/>
    <col min="5362" max="5362" width="0.42578125" style="205" customWidth="1"/>
    <col min="5363" max="5363" width="2.5703125" style="205" customWidth="1"/>
    <col min="5364" max="5364" width="15.42578125" style="205" customWidth="1"/>
    <col min="5365" max="5365" width="1.42578125" style="205" customWidth="1"/>
    <col min="5366" max="5366" width="27.5703125" style="205" customWidth="1"/>
    <col min="5367" max="5367" width="6.5703125" style="205" customWidth="1"/>
    <col min="5368" max="5368" width="1.5703125" style="205" customWidth="1"/>
    <col min="5369" max="5369" width="10.5703125" style="205" customWidth="1"/>
    <col min="5370" max="5370" width="5.5703125" style="205" customWidth="1"/>
    <col min="5371" max="5371" width="1.5703125" style="205" customWidth="1"/>
    <col min="5372" max="5372" width="10.5703125" style="205" customWidth="1"/>
    <col min="5373" max="5373" width="6.5703125" style="205" customWidth="1"/>
    <col min="5374" max="5374" width="1.5703125" style="205" customWidth="1"/>
    <col min="5375" max="5375" width="10.5703125" style="205" customWidth="1"/>
    <col min="5376" max="5376" width="9.5703125" style="205" customWidth="1"/>
    <col min="5377" max="5377" width="13.42578125" style="205" bestFit="1" customWidth="1"/>
    <col min="5378" max="5378" width="7.5703125" style="205" customWidth="1"/>
    <col min="5379" max="5379" width="11.5703125" style="205"/>
    <col min="5380" max="5380" width="13.42578125" style="205" bestFit="1" customWidth="1"/>
    <col min="5381" max="5617" width="11.5703125" style="205"/>
    <col min="5618" max="5618" width="0.42578125" style="205" customWidth="1"/>
    <col min="5619" max="5619" width="2.5703125" style="205" customWidth="1"/>
    <col min="5620" max="5620" width="15.42578125" style="205" customWidth="1"/>
    <col min="5621" max="5621" width="1.42578125" style="205" customWidth="1"/>
    <col min="5622" max="5622" width="27.5703125" style="205" customWidth="1"/>
    <col min="5623" max="5623" width="6.5703125" style="205" customWidth="1"/>
    <col min="5624" max="5624" width="1.5703125" style="205" customWidth="1"/>
    <col min="5625" max="5625" width="10.5703125" style="205" customWidth="1"/>
    <col min="5626" max="5626" width="5.5703125" style="205" customWidth="1"/>
    <col min="5627" max="5627" width="1.5703125" style="205" customWidth="1"/>
    <col min="5628" max="5628" width="10.5703125" style="205" customWidth="1"/>
    <col min="5629" max="5629" width="6.5703125" style="205" customWidth="1"/>
    <col min="5630" max="5630" width="1.5703125" style="205" customWidth="1"/>
    <col min="5631" max="5631" width="10.5703125" style="205" customWidth="1"/>
    <col min="5632" max="5632" width="9.5703125" style="205" customWidth="1"/>
    <col min="5633" max="5633" width="13.42578125" style="205" bestFit="1" customWidth="1"/>
    <col min="5634" max="5634" width="7.5703125" style="205" customWidth="1"/>
    <col min="5635" max="5635" width="11.5703125" style="205"/>
    <col min="5636" max="5636" width="13.42578125" style="205" bestFit="1" customWidth="1"/>
    <col min="5637" max="5873" width="11.5703125" style="205"/>
    <col min="5874" max="5874" width="0.42578125" style="205" customWidth="1"/>
    <col min="5875" max="5875" width="2.5703125" style="205" customWidth="1"/>
    <col min="5876" max="5876" width="15.42578125" style="205" customWidth="1"/>
    <col min="5877" max="5877" width="1.42578125" style="205" customWidth="1"/>
    <col min="5878" max="5878" width="27.5703125" style="205" customWidth="1"/>
    <col min="5879" max="5879" width="6.5703125" style="205" customWidth="1"/>
    <col min="5880" max="5880" width="1.5703125" style="205" customWidth="1"/>
    <col min="5881" max="5881" width="10.5703125" style="205" customWidth="1"/>
    <col min="5882" max="5882" width="5.5703125" style="205" customWidth="1"/>
    <col min="5883" max="5883" width="1.5703125" style="205" customWidth="1"/>
    <col min="5884" max="5884" width="10.5703125" style="205" customWidth="1"/>
    <col min="5885" max="5885" width="6.5703125" style="205" customWidth="1"/>
    <col min="5886" max="5886" width="1.5703125" style="205" customWidth="1"/>
    <col min="5887" max="5887" width="10.5703125" style="205" customWidth="1"/>
    <col min="5888" max="5888" width="9.5703125" style="205" customWidth="1"/>
    <col min="5889" max="5889" width="13.42578125" style="205" bestFit="1" customWidth="1"/>
    <col min="5890" max="5890" width="7.5703125" style="205" customWidth="1"/>
    <col min="5891" max="5891" width="11.5703125" style="205"/>
    <col min="5892" max="5892" width="13.42578125" style="205" bestFit="1" customWidth="1"/>
    <col min="5893" max="6129" width="11.5703125" style="205"/>
    <col min="6130" max="6130" width="0.42578125" style="205" customWidth="1"/>
    <col min="6131" max="6131" width="2.5703125" style="205" customWidth="1"/>
    <col min="6132" max="6132" width="15.42578125" style="205" customWidth="1"/>
    <col min="6133" max="6133" width="1.42578125" style="205" customWidth="1"/>
    <col min="6134" max="6134" width="27.5703125" style="205" customWidth="1"/>
    <col min="6135" max="6135" width="6.5703125" style="205" customWidth="1"/>
    <col min="6136" max="6136" width="1.5703125" style="205" customWidth="1"/>
    <col min="6137" max="6137" width="10.5703125" style="205" customWidth="1"/>
    <col min="6138" max="6138" width="5.5703125" style="205" customWidth="1"/>
    <col min="6139" max="6139" width="1.5703125" style="205" customWidth="1"/>
    <col min="6140" max="6140" width="10.5703125" style="205" customWidth="1"/>
    <col min="6141" max="6141" width="6.5703125" style="205" customWidth="1"/>
    <col min="6142" max="6142" width="1.5703125" style="205" customWidth="1"/>
    <col min="6143" max="6143" width="10.5703125" style="205" customWidth="1"/>
    <col min="6144" max="6144" width="9.5703125" style="205" customWidth="1"/>
    <col min="6145" max="6145" width="13.42578125" style="205" bestFit="1" customWidth="1"/>
    <col min="6146" max="6146" width="7.5703125" style="205" customWidth="1"/>
    <col min="6147" max="6147" width="11.5703125" style="205"/>
    <col min="6148" max="6148" width="13.42578125" style="205" bestFit="1" customWidth="1"/>
    <col min="6149" max="6385" width="11.5703125" style="205"/>
    <col min="6386" max="6386" width="0.42578125" style="205" customWidth="1"/>
    <col min="6387" max="6387" width="2.5703125" style="205" customWidth="1"/>
    <col min="6388" max="6388" width="15.42578125" style="205" customWidth="1"/>
    <col min="6389" max="6389" width="1.42578125" style="205" customWidth="1"/>
    <col min="6390" max="6390" width="27.5703125" style="205" customWidth="1"/>
    <col min="6391" max="6391" width="6.5703125" style="205" customWidth="1"/>
    <col min="6392" max="6392" width="1.5703125" style="205" customWidth="1"/>
    <col min="6393" max="6393" width="10.5703125" style="205" customWidth="1"/>
    <col min="6394" max="6394" width="5.5703125" style="205" customWidth="1"/>
    <col min="6395" max="6395" width="1.5703125" style="205" customWidth="1"/>
    <col min="6396" max="6396" width="10.5703125" style="205" customWidth="1"/>
    <col min="6397" max="6397" width="6.5703125" style="205" customWidth="1"/>
    <col min="6398" max="6398" width="1.5703125" style="205" customWidth="1"/>
    <col min="6399" max="6399" width="10.5703125" style="205" customWidth="1"/>
    <col min="6400" max="6400" width="9.5703125" style="205" customWidth="1"/>
    <col min="6401" max="6401" width="13.42578125" style="205" bestFit="1" customWidth="1"/>
    <col min="6402" max="6402" width="7.5703125" style="205" customWidth="1"/>
    <col min="6403" max="6403" width="11.5703125" style="205"/>
    <col min="6404" max="6404" width="13.42578125" style="205" bestFit="1" customWidth="1"/>
    <col min="6405" max="6641" width="11.5703125" style="205"/>
    <col min="6642" max="6642" width="0.42578125" style="205" customWidth="1"/>
    <col min="6643" max="6643" width="2.5703125" style="205" customWidth="1"/>
    <col min="6644" max="6644" width="15.42578125" style="205" customWidth="1"/>
    <col min="6645" max="6645" width="1.42578125" style="205" customWidth="1"/>
    <col min="6646" max="6646" width="27.5703125" style="205" customWidth="1"/>
    <col min="6647" max="6647" width="6.5703125" style="205" customWidth="1"/>
    <col min="6648" max="6648" width="1.5703125" style="205" customWidth="1"/>
    <col min="6649" max="6649" width="10.5703125" style="205" customWidth="1"/>
    <col min="6650" max="6650" width="5.5703125" style="205" customWidth="1"/>
    <col min="6651" max="6651" width="1.5703125" style="205" customWidth="1"/>
    <col min="6652" max="6652" width="10.5703125" style="205" customWidth="1"/>
    <col min="6653" max="6653" width="6.5703125" style="205" customWidth="1"/>
    <col min="6654" max="6654" width="1.5703125" style="205" customWidth="1"/>
    <col min="6655" max="6655" width="10.5703125" style="205" customWidth="1"/>
    <col min="6656" max="6656" width="9.5703125" style="205" customWidth="1"/>
    <col min="6657" max="6657" width="13.42578125" style="205" bestFit="1" customWidth="1"/>
    <col min="6658" max="6658" width="7.5703125" style="205" customWidth="1"/>
    <col min="6659" max="6659" width="11.5703125" style="205"/>
    <col min="6660" max="6660" width="13.42578125" style="205" bestFit="1" customWidth="1"/>
    <col min="6661" max="6897" width="11.5703125" style="205"/>
    <col min="6898" max="6898" width="0.42578125" style="205" customWidth="1"/>
    <col min="6899" max="6899" width="2.5703125" style="205" customWidth="1"/>
    <col min="6900" max="6900" width="15.42578125" style="205" customWidth="1"/>
    <col min="6901" max="6901" width="1.42578125" style="205" customWidth="1"/>
    <col min="6902" max="6902" width="27.5703125" style="205" customWidth="1"/>
    <col min="6903" max="6903" width="6.5703125" style="205" customWidth="1"/>
    <col min="6904" max="6904" width="1.5703125" style="205" customWidth="1"/>
    <col min="6905" max="6905" width="10.5703125" style="205" customWidth="1"/>
    <col min="6906" max="6906" width="5.5703125" style="205" customWidth="1"/>
    <col min="6907" max="6907" width="1.5703125" style="205" customWidth="1"/>
    <col min="6908" max="6908" width="10.5703125" style="205" customWidth="1"/>
    <col min="6909" max="6909" width="6.5703125" style="205" customWidth="1"/>
    <col min="6910" max="6910" width="1.5703125" style="205" customWidth="1"/>
    <col min="6911" max="6911" width="10.5703125" style="205" customWidth="1"/>
    <col min="6912" max="6912" width="9.5703125" style="205" customWidth="1"/>
    <col min="6913" max="6913" width="13.42578125" style="205" bestFit="1" customWidth="1"/>
    <col min="6914" max="6914" width="7.5703125" style="205" customWidth="1"/>
    <col min="6915" max="6915" width="11.5703125" style="205"/>
    <col min="6916" max="6916" width="13.42578125" style="205" bestFit="1" customWidth="1"/>
    <col min="6917" max="7153" width="11.5703125" style="205"/>
    <col min="7154" max="7154" width="0.42578125" style="205" customWidth="1"/>
    <col min="7155" max="7155" width="2.5703125" style="205" customWidth="1"/>
    <col min="7156" max="7156" width="15.42578125" style="205" customWidth="1"/>
    <col min="7157" max="7157" width="1.42578125" style="205" customWidth="1"/>
    <col min="7158" max="7158" width="27.5703125" style="205" customWidth="1"/>
    <col min="7159" max="7159" width="6.5703125" style="205" customWidth="1"/>
    <col min="7160" max="7160" width="1.5703125" style="205" customWidth="1"/>
    <col min="7161" max="7161" width="10.5703125" style="205" customWidth="1"/>
    <col min="7162" max="7162" width="5.5703125" style="205" customWidth="1"/>
    <col min="7163" max="7163" width="1.5703125" style="205" customWidth="1"/>
    <col min="7164" max="7164" width="10.5703125" style="205" customWidth="1"/>
    <col min="7165" max="7165" width="6.5703125" style="205" customWidth="1"/>
    <col min="7166" max="7166" width="1.5703125" style="205" customWidth="1"/>
    <col min="7167" max="7167" width="10.5703125" style="205" customWidth="1"/>
    <col min="7168" max="7168" width="9.5703125" style="205" customWidth="1"/>
    <col min="7169" max="7169" width="13.42578125" style="205" bestFit="1" customWidth="1"/>
    <col min="7170" max="7170" width="7.5703125" style="205" customWidth="1"/>
    <col min="7171" max="7171" width="11.5703125" style="205"/>
    <col min="7172" max="7172" width="13.42578125" style="205" bestFit="1" customWidth="1"/>
    <col min="7173" max="7409" width="11.5703125" style="205"/>
    <col min="7410" max="7410" width="0.42578125" style="205" customWidth="1"/>
    <col min="7411" max="7411" width="2.5703125" style="205" customWidth="1"/>
    <col min="7412" max="7412" width="15.42578125" style="205" customWidth="1"/>
    <col min="7413" max="7413" width="1.42578125" style="205" customWidth="1"/>
    <col min="7414" max="7414" width="27.5703125" style="205" customWidth="1"/>
    <col min="7415" max="7415" width="6.5703125" style="205" customWidth="1"/>
    <col min="7416" max="7416" width="1.5703125" style="205" customWidth="1"/>
    <col min="7417" max="7417" width="10.5703125" style="205" customWidth="1"/>
    <col min="7418" max="7418" width="5.5703125" style="205" customWidth="1"/>
    <col min="7419" max="7419" width="1.5703125" style="205" customWidth="1"/>
    <col min="7420" max="7420" width="10.5703125" style="205" customWidth="1"/>
    <col min="7421" max="7421" width="6.5703125" style="205" customWidth="1"/>
    <col min="7422" max="7422" width="1.5703125" style="205" customWidth="1"/>
    <col min="7423" max="7423" width="10.5703125" style="205" customWidth="1"/>
    <col min="7424" max="7424" width="9.5703125" style="205" customWidth="1"/>
    <col min="7425" max="7425" width="13.42578125" style="205" bestFit="1" customWidth="1"/>
    <col min="7426" max="7426" width="7.5703125" style="205" customWidth="1"/>
    <col min="7427" max="7427" width="11.5703125" style="205"/>
    <col min="7428" max="7428" width="13.42578125" style="205" bestFit="1" customWidth="1"/>
    <col min="7429" max="7665" width="11.5703125" style="205"/>
    <col min="7666" max="7666" width="0.42578125" style="205" customWidth="1"/>
    <col min="7667" max="7667" width="2.5703125" style="205" customWidth="1"/>
    <col min="7668" max="7668" width="15.42578125" style="205" customWidth="1"/>
    <col min="7669" max="7669" width="1.42578125" style="205" customWidth="1"/>
    <col min="7670" max="7670" width="27.5703125" style="205" customWidth="1"/>
    <col min="7671" max="7671" width="6.5703125" style="205" customWidth="1"/>
    <col min="7672" max="7672" width="1.5703125" style="205" customWidth="1"/>
    <col min="7673" max="7673" width="10.5703125" style="205" customWidth="1"/>
    <col min="7674" max="7674" width="5.5703125" style="205" customWidth="1"/>
    <col min="7675" max="7675" width="1.5703125" style="205" customWidth="1"/>
    <col min="7676" max="7676" width="10.5703125" style="205" customWidth="1"/>
    <col min="7677" max="7677" width="6.5703125" style="205" customWidth="1"/>
    <col min="7678" max="7678" width="1.5703125" style="205" customWidth="1"/>
    <col min="7679" max="7679" width="10.5703125" style="205" customWidth="1"/>
    <col min="7680" max="7680" width="9.5703125" style="205" customWidth="1"/>
    <col min="7681" max="7681" width="13.42578125" style="205" bestFit="1" customWidth="1"/>
    <col min="7682" max="7682" width="7.5703125" style="205" customWidth="1"/>
    <col min="7683" max="7683" width="11.5703125" style="205"/>
    <col min="7684" max="7684" width="13.42578125" style="205" bestFit="1" customWidth="1"/>
    <col min="7685" max="7921" width="11.5703125" style="205"/>
    <col min="7922" max="7922" width="0.42578125" style="205" customWidth="1"/>
    <col min="7923" max="7923" width="2.5703125" style="205" customWidth="1"/>
    <col min="7924" max="7924" width="15.42578125" style="205" customWidth="1"/>
    <col min="7925" max="7925" width="1.42578125" style="205" customWidth="1"/>
    <col min="7926" max="7926" width="27.5703125" style="205" customWidth="1"/>
    <col min="7927" max="7927" width="6.5703125" style="205" customWidth="1"/>
    <col min="7928" max="7928" width="1.5703125" style="205" customWidth="1"/>
    <col min="7929" max="7929" width="10.5703125" style="205" customWidth="1"/>
    <col min="7930" max="7930" width="5.5703125" style="205" customWidth="1"/>
    <col min="7931" max="7931" width="1.5703125" style="205" customWidth="1"/>
    <col min="7932" max="7932" width="10.5703125" style="205" customWidth="1"/>
    <col min="7933" max="7933" width="6.5703125" style="205" customWidth="1"/>
    <col min="7934" max="7934" width="1.5703125" style="205" customWidth="1"/>
    <col min="7935" max="7935" width="10.5703125" style="205" customWidth="1"/>
    <col min="7936" max="7936" width="9.5703125" style="205" customWidth="1"/>
    <col min="7937" max="7937" width="13.42578125" style="205" bestFit="1" customWidth="1"/>
    <col min="7938" max="7938" width="7.5703125" style="205" customWidth="1"/>
    <col min="7939" max="7939" width="11.5703125" style="205"/>
    <col min="7940" max="7940" width="13.42578125" style="205" bestFit="1" customWidth="1"/>
    <col min="7941" max="8177" width="11.5703125" style="205"/>
    <col min="8178" max="8178" width="0.42578125" style="205" customWidth="1"/>
    <col min="8179" max="8179" width="2.5703125" style="205" customWidth="1"/>
    <col min="8180" max="8180" width="15.42578125" style="205" customWidth="1"/>
    <col min="8181" max="8181" width="1.42578125" style="205" customWidth="1"/>
    <col min="8182" max="8182" width="27.5703125" style="205" customWidth="1"/>
    <col min="8183" max="8183" width="6.5703125" style="205" customWidth="1"/>
    <col min="8184" max="8184" width="1.5703125" style="205" customWidth="1"/>
    <col min="8185" max="8185" width="10.5703125" style="205" customWidth="1"/>
    <col min="8186" max="8186" width="5.5703125" style="205" customWidth="1"/>
    <col min="8187" max="8187" width="1.5703125" style="205" customWidth="1"/>
    <col min="8188" max="8188" width="10.5703125" style="205" customWidth="1"/>
    <col min="8189" max="8189" width="6.5703125" style="205" customWidth="1"/>
    <col min="8190" max="8190" width="1.5703125" style="205" customWidth="1"/>
    <col min="8191" max="8191" width="10.5703125" style="205" customWidth="1"/>
    <col min="8192" max="8192" width="9.5703125" style="205" customWidth="1"/>
    <col min="8193" max="8193" width="13.42578125" style="205" bestFit="1" customWidth="1"/>
    <col min="8194" max="8194" width="7.5703125" style="205" customWidth="1"/>
    <col min="8195" max="8195" width="11.5703125" style="205"/>
    <col min="8196" max="8196" width="13.42578125" style="205" bestFit="1" customWidth="1"/>
    <col min="8197" max="8433" width="11.5703125" style="205"/>
    <col min="8434" max="8434" width="0.42578125" style="205" customWidth="1"/>
    <col min="8435" max="8435" width="2.5703125" style="205" customWidth="1"/>
    <col min="8436" max="8436" width="15.42578125" style="205" customWidth="1"/>
    <col min="8437" max="8437" width="1.42578125" style="205" customWidth="1"/>
    <col min="8438" max="8438" width="27.5703125" style="205" customWidth="1"/>
    <col min="8439" max="8439" width="6.5703125" style="205" customWidth="1"/>
    <col min="8440" max="8440" width="1.5703125" style="205" customWidth="1"/>
    <col min="8441" max="8441" width="10.5703125" style="205" customWidth="1"/>
    <col min="8442" max="8442" width="5.5703125" style="205" customWidth="1"/>
    <col min="8443" max="8443" width="1.5703125" style="205" customWidth="1"/>
    <col min="8444" max="8444" width="10.5703125" style="205" customWidth="1"/>
    <col min="8445" max="8445" width="6.5703125" style="205" customWidth="1"/>
    <col min="8446" max="8446" width="1.5703125" style="205" customWidth="1"/>
    <col min="8447" max="8447" width="10.5703125" style="205" customWidth="1"/>
    <col min="8448" max="8448" width="9.5703125" style="205" customWidth="1"/>
    <col min="8449" max="8449" width="13.42578125" style="205" bestFit="1" customWidth="1"/>
    <col min="8450" max="8450" width="7.5703125" style="205" customWidth="1"/>
    <col min="8451" max="8451" width="11.5703125" style="205"/>
    <col min="8452" max="8452" width="13.42578125" style="205" bestFit="1" customWidth="1"/>
    <col min="8453" max="8689" width="11.5703125" style="205"/>
    <col min="8690" max="8690" width="0.42578125" style="205" customWidth="1"/>
    <col min="8691" max="8691" width="2.5703125" style="205" customWidth="1"/>
    <col min="8692" max="8692" width="15.42578125" style="205" customWidth="1"/>
    <col min="8693" max="8693" width="1.42578125" style="205" customWidth="1"/>
    <col min="8694" max="8694" width="27.5703125" style="205" customWidth="1"/>
    <col min="8695" max="8695" width="6.5703125" style="205" customWidth="1"/>
    <col min="8696" max="8696" width="1.5703125" style="205" customWidth="1"/>
    <col min="8697" max="8697" width="10.5703125" style="205" customWidth="1"/>
    <col min="8698" max="8698" width="5.5703125" style="205" customWidth="1"/>
    <col min="8699" max="8699" width="1.5703125" style="205" customWidth="1"/>
    <col min="8700" max="8700" width="10.5703125" style="205" customWidth="1"/>
    <col min="8701" max="8701" width="6.5703125" style="205" customWidth="1"/>
    <col min="8702" max="8702" width="1.5703125" style="205" customWidth="1"/>
    <col min="8703" max="8703" width="10.5703125" style="205" customWidth="1"/>
    <col min="8704" max="8704" width="9.5703125" style="205" customWidth="1"/>
    <col min="8705" max="8705" width="13.42578125" style="205" bestFit="1" customWidth="1"/>
    <col min="8706" max="8706" width="7.5703125" style="205" customWidth="1"/>
    <col min="8707" max="8707" width="11.5703125" style="205"/>
    <col min="8708" max="8708" width="13.42578125" style="205" bestFit="1" customWidth="1"/>
    <col min="8709" max="8945" width="11.5703125" style="205"/>
    <col min="8946" max="8946" width="0.42578125" style="205" customWidth="1"/>
    <col min="8947" max="8947" width="2.5703125" style="205" customWidth="1"/>
    <col min="8948" max="8948" width="15.42578125" style="205" customWidth="1"/>
    <col min="8949" max="8949" width="1.42578125" style="205" customWidth="1"/>
    <col min="8950" max="8950" width="27.5703125" style="205" customWidth="1"/>
    <col min="8951" max="8951" width="6.5703125" style="205" customWidth="1"/>
    <col min="8952" max="8952" width="1.5703125" style="205" customWidth="1"/>
    <col min="8953" max="8953" width="10.5703125" style="205" customWidth="1"/>
    <col min="8954" max="8954" width="5.5703125" style="205" customWidth="1"/>
    <col min="8955" max="8955" width="1.5703125" style="205" customWidth="1"/>
    <col min="8956" max="8956" width="10.5703125" style="205" customWidth="1"/>
    <col min="8957" max="8957" width="6.5703125" style="205" customWidth="1"/>
    <col min="8958" max="8958" width="1.5703125" style="205" customWidth="1"/>
    <col min="8959" max="8959" width="10.5703125" style="205" customWidth="1"/>
    <col min="8960" max="8960" width="9.5703125" style="205" customWidth="1"/>
    <col min="8961" max="8961" width="13.42578125" style="205" bestFit="1" customWidth="1"/>
    <col min="8962" max="8962" width="7.5703125" style="205" customWidth="1"/>
    <col min="8963" max="8963" width="11.5703125" style="205"/>
    <col min="8964" max="8964" width="13.42578125" style="205" bestFit="1" customWidth="1"/>
    <col min="8965" max="9201" width="11.5703125" style="205"/>
    <col min="9202" max="9202" width="0.42578125" style="205" customWidth="1"/>
    <col min="9203" max="9203" width="2.5703125" style="205" customWidth="1"/>
    <col min="9204" max="9204" width="15.42578125" style="205" customWidth="1"/>
    <col min="9205" max="9205" width="1.42578125" style="205" customWidth="1"/>
    <col min="9206" max="9206" width="27.5703125" style="205" customWidth="1"/>
    <col min="9207" max="9207" width="6.5703125" style="205" customWidth="1"/>
    <col min="9208" max="9208" width="1.5703125" style="205" customWidth="1"/>
    <col min="9209" max="9209" width="10.5703125" style="205" customWidth="1"/>
    <col min="9210" max="9210" width="5.5703125" style="205" customWidth="1"/>
    <col min="9211" max="9211" width="1.5703125" style="205" customWidth="1"/>
    <col min="9212" max="9212" width="10.5703125" style="205" customWidth="1"/>
    <col min="9213" max="9213" width="6.5703125" style="205" customWidth="1"/>
    <col min="9214" max="9214" width="1.5703125" style="205" customWidth="1"/>
    <col min="9215" max="9215" width="10.5703125" style="205" customWidth="1"/>
    <col min="9216" max="9216" width="9.5703125" style="205" customWidth="1"/>
    <col min="9217" max="9217" width="13.42578125" style="205" bestFit="1" customWidth="1"/>
    <col min="9218" max="9218" width="7.5703125" style="205" customWidth="1"/>
    <col min="9219" max="9219" width="11.5703125" style="205"/>
    <col min="9220" max="9220" width="13.42578125" style="205" bestFit="1" customWidth="1"/>
    <col min="9221" max="9457" width="11.5703125" style="205"/>
    <col min="9458" max="9458" width="0.42578125" style="205" customWidth="1"/>
    <col min="9459" max="9459" width="2.5703125" style="205" customWidth="1"/>
    <col min="9460" max="9460" width="15.42578125" style="205" customWidth="1"/>
    <col min="9461" max="9461" width="1.42578125" style="205" customWidth="1"/>
    <col min="9462" max="9462" width="27.5703125" style="205" customWidth="1"/>
    <col min="9463" max="9463" width="6.5703125" style="205" customWidth="1"/>
    <col min="9464" max="9464" width="1.5703125" style="205" customWidth="1"/>
    <col min="9465" max="9465" width="10.5703125" style="205" customWidth="1"/>
    <col min="9466" max="9466" width="5.5703125" style="205" customWidth="1"/>
    <col min="9467" max="9467" width="1.5703125" style="205" customWidth="1"/>
    <col min="9468" max="9468" width="10.5703125" style="205" customWidth="1"/>
    <col min="9469" max="9469" width="6.5703125" style="205" customWidth="1"/>
    <col min="9470" max="9470" width="1.5703125" style="205" customWidth="1"/>
    <col min="9471" max="9471" width="10.5703125" style="205" customWidth="1"/>
    <col min="9472" max="9472" width="9.5703125" style="205" customWidth="1"/>
    <col min="9473" max="9473" width="13.42578125" style="205" bestFit="1" customWidth="1"/>
    <col min="9474" max="9474" width="7.5703125" style="205" customWidth="1"/>
    <col min="9475" max="9475" width="11.5703125" style="205"/>
    <col min="9476" max="9476" width="13.42578125" style="205" bestFit="1" customWidth="1"/>
    <col min="9477" max="9713" width="11.5703125" style="205"/>
    <col min="9714" max="9714" width="0.42578125" style="205" customWidth="1"/>
    <col min="9715" max="9715" width="2.5703125" style="205" customWidth="1"/>
    <col min="9716" max="9716" width="15.42578125" style="205" customWidth="1"/>
    <col min="9717" max="9717" width="1.42578125" style="205" customWidth="1"/>
    <col min="9718" max="9718" width="27.5703125" style="205" customWidth="1"/>
    <col min="9719" max="9719" width="6.5703125" style="205" customWidth="1"/>
    <col min="9720" max="9720" width="1.5703125" style="205" customWidth="1"/>
    <col min="9721" max="9721" width="10.5703125" style="205" customWidth="1"/>
    <col min="9722" max="9722" width="5.5703125" style="205" customWidth="1"/>
    <col min="9723" max="9723" width="1.5703125" style="205" customWidth="1"/>
    <col min="9724" max="9724" width="10.5703125" style="205" customWidth="1"/>
    <col min="9725" max="9725" width="6.5703125" style="205" customWidth="1"/>
    <col min="9726" max="9726" width="1.5703125" style="205" customWidth="1"/>
    <col min="9727" max="9727" width="10.5703125" style="205" customWidth="1"/>
    <col min="9728" max="9728" width="9.5703125" style="205" customWidth="1"/>
    <col min="9729" max="9729" width="13.42578125" style="205" bestFit="1" customWidth="1"/>
    <col min="9730" max="9730" width="7.5703125" style="205" customWidth="1"/>
    <col min="9731" max="9731" width="11.5703125" style="205"/>
    <col min="9732" max="9732" width="13.42578125" style="205" bestFit="1" customWidth="1"/>
    <col min="9733" max="9969" width="11.5703125" style="205"/>
    <col min="9970" max="9970" width="0.42578125" style="205" customWidth="1"/>
    <col min="9971" max="9971" width="2.5703125" style="205" customWidth="1"/>
    <col min="9972" max="9972" width="15.42578125" style="205" customWidth="1"/>
    <col min="9973" max="9973" width="1.42578125" style="205" customWidth="1"/>
    <col min="9974" max="9974" width="27.5703125" style="205" customWidth="1"/>
    <col min="9975" max="9975" width="6.5703125" style="205" customWidth="1"/>
    <col min="9976" max="9976" width="1.5703125" style="205" customWidth="1"/>
    <col min="9977" max="9977" width="10.5703125" style="205" customWidth="1"/>
    <col min="9978" max="9978" width="5.5703125" style="205" customWidth="1"/>
    <col min="9979" max="9979" width="1.5703125" style="205" customWidth="1"/>
    <col min="9980" max="9980" width="10.5703125" style="205" customWidth="1"/>
    <col min="9981" max="9981" width="6.5703125" style="205" customWidth="1"/>
    <col min="9982" max="9982" width="1.5703125" style="205" customWidth="1"/>
    <col min="9983" max="9983" width="10.5703125" style="205" customWidth="1"/>
    <col min="9984" max="9984" width="9.5703125" style="205" customWidth="1"/>
    <col min="9985" max="9985" width="13.42578125" style="205" bestFit="1" customWidth="1"/>
    <col min="9986" max="9986" width="7.5703125" style="205" customWidth="1"/>
    <col min="9987" max="9987" width="11.5703125" style="205"/>
    <col min="9988" max="9988" width="13.42578125" style="205" bestFit="1" customWidth="1"/>
    <col min="9989" max="10225" width="11.5703125" style="205"/>
    <col min="10226" max="10226" width="0.42578125" style="205" customWidth="1"/>
    <col min="10227" max="10227" width="2.5703125" style="205" customWidth="1"/>
    <col min="10228" max="10228" width="15.42578125" style="205" customWidth="1"/>
    <col min="10229" max="10229" width="1.42578125" style="205" customWidth="1"/>
    <col min="10230" max="10230" width="27.5703125" style="205" customWidth="1"/>
    <col min="10231" max="10231" width="6.5703125" style="205" customWidth="1"/>
    <col min="10232" max="10232" width="1.5703125" style="205" customWidth="1"/>
    <col min="10233" max="10233" width="10.5703125" style="205" customWidth="1"/>
    <col min="10234" max="10234" width="5.5703125" style="205" customWidth="1"/>
    <col min="10235" max="10235" width="1.5703125" style="205" customWidth="1"/>
    <col min="10236" max="10236" width="10.5703125" style="205" customWidth="1"/>
    <col min="10237" max="10237" width="6.5703125" style="205" customWidth="1"/>
    <col min="10238" max="10238" width="1.5703125" style="205" customWidth="1"/>
    <col min="10239" max="10239" width="10.5703125" style="205" customWidth="1"/>
    <col min="10240" max="10240" width="9.5703125" style="205" customWidth="1"/>
    <col min="10241" max="10241" width="13.42578125" style="205" bestFit="1" customWidth="1"/>
    <col min="10242" max="10242" width="7.5703125" style="205" customWidth="1"/>
    <col min="10243" max="10243" width="11.5703125" style="205"/>
    <col min="10244" max="10244" width="13.42578125" style="205" bestFit="1" customWidth="1"/>
    <col min="10245" max="10481" width="11.5703125" style="205"/>
    <col min="10482" max="10482" width="0.42578125" style="205" customWidth="1"/>
    <col min="10483" max="10483" width="2.5703125" style="205" customWidth="1"/>
    <col min="10484" max="10484" width="15.42578125" style="205" customWidth="1"/>
    <col min="10485" max="10485" width="1.42578125" style="205" customWidth="1"/>
    <col min="10486" max="10486" width="27.5703125" style="205" customWidth="1"/>
    <col min="10487" max="10487" width="6.5703125" style="205" customWidth="1"/>
    <col min="10488" max="10488" width="1.5703125" style="205" customWidth="1"/>
    <col min="10489" max="10489" width="10.5703125" style="205" customWidth="1"/>
    <col min="10490" max="10490" width="5.5703125" style="205" customWidth="1"/>
    <col min="10491" max="10491" width="1.5703125" style="205" customWidth="1"/>
    <col min="10492" max="10492" width="10.5703125" style="205" customWidth="1"/>
    <col min="10493" max="10493" width="6.5703125" style="205" customWidth="1"/>
    <col min="10494" max="10494" width="1.5703125" style="205" customWidth="1"/>
    <col min="10495" max="10495" width="10.5703125" style="205" customWidth="1"/>
    <col min="10496" max="10496" width="9.5703125" style="205" customWidth="1"/>
    <col min="10497" max="10497" width="13.42578125" style="205" bestFit="1" customWidth="1"/>
    <col min="10498" max="10498" width="7.5703125" style="205" customWidth="1"/>
    <col min="10499" max="10499" width="11.5703125" style="205"/>
    <col min="10500" max="10500" width="13.42578125" style="205" bestFit="1" customWidth="1"/>
    <col min="10501" max="10737" width="11.5703125" style="205"/>
    <col min="10738" max="10738" width="0.42578125" style="205" customWidth="1"/>
    <col min="10739" max="10739" width="2.5703125" style="205" customWidth="1"/>
    <col min="10740" max="10740" width="15.42578125" style="205" customWidth="1"/>
    <col min="10741" max="10741" width="1.42578125" style="205" customWidth="1"/>
    <col min="10742" max="10742" width="27.5703125" style="205" customWidth="1"/>
    <col min="10743" max="10743" width="6.5703125" style="205" customWidth="1"/>
    <col min="10744" max="10744" width="1.5703125" style="205" customWidth="1"/>
    <col min="10745" max="10745" width="10.5703125" style="205" customWidth="1"/>
    <col min="10746" max="10746" width="5.5703125" style="205" customWidth="1"/>
    <col min="10747" max="10747" width="1.5703125" style="205" customWidth="1"/>
    <col min="10748" max="10748" width="10.5703125" style="205" customWidth="1"/>
    <col min="10749" max="10749" width="6.5703125" style="205" customWidth="1"/>
    <col min="10750" max="10750" width="1.5703125" style="205" customWidth="1"/>
    <col min="10751" max="10751" width="10.5703125" style="205" customWidth="1"/>
    <col min="10752" max="10752" width="9.5703125" style="205" customWidth="1"/>
    <col min="10753" max="10753" width="13.42578125" style="205" bestFit="1" customWidth="1"/>
    <col min="10754" max="10754" width="7.5703125" style="205" customWidth="1"/>
    <col min="10755" max="10755" width="11.5703125" style="205"/>
    <col min="10756" max="10756" width="13.42578125" style="205" bestFit="1" customWidth="1"/>
    <col min="10757" max="10993" width="11.5703125" style="205"/>
    <col min="10994" max="10994" width="0.42578125" style="205" customWidth="1"/>
    <col min="10995" max="10995" width="2.5703125" style="205" customWidth="1"/>
    <col min="10996" max="10996" width="15.42578125" style="205" customWidth="1"/>
    <col min="10997" max="10997" width="1.42578125" style="205" customWidth="1"/>
    <col min="10998" max="10998" width="27.5703125" style="205" customWidth="1"/>
    <col min="10999" max="10999" width="6.5703125" style="205" customWidth="1"/>
    <col min="11000" max="11000" width="1.5703125" style="205" customWidth="1"/>
    <col min="11001" max="11001" width="10.5703125" style="205" customWidth="1"/>
    <col min="11002" max="11002" width="5.5703125" style="205" customWidth="1"/>
    <col min="11003" max="11003" width="1.5703125" style="205" customWidth="1"/>
    <col min="11004" max="11004" width="10.5703125" style="205" customWidth="1"/>
    <col min="11005" max="11005" width="6.5703125" style="205" customWidth="1"/>
    <col min="11006" max="11006" width="1.5703125" style="205" customWidth="1"/>
    <col min="11007" max="11007" width="10.5703125" style="205" customWidth="1"/>
    <col min="11008" max="11008" width="9.5703125" style="205" customWidth="1"/>
    <col min="11009" max="11009" width="13.42578125" style="205" bestFit="1" customWidth="1"/>
    <col min="11010" max="11010" width="7.5703125" style="205" customWidth="1"/>
    <col min="11011" max="11011" width="11.5703125" style="205"/>
    <col min="11012" max="11012" width="13.42578125" style="205" bestFit="1" customWidth="1"/>
    <col min="11013" max="11249" width="11.5703125" style="205"/>
    <col min="11250" max="11250" width="0.42578125" style="205" customWidth="1"/>
    <col min="11251" max="11251" width="2.5703125" style="205" customWidth="1"/>
    <col min="11252" max="11252" width="15.42578125" style="205" customWidth="1"/>
    <col min="11253" max="11253" width="1.42578125" style="205" customWidth="1"/>
    <col min="11254" max="11254" width="27.5703125" style="205" customWidth="1"/>
    <col min="11255" max="11255" width="6.5703125" style="205" customWidth="1"/>
    <col min="11256" max="11256" width="1.5703125" style="205" customWidth="1"/>
    <col min="11257" max="11257" width="10.5703125" style="205" customWidth="1"/>
    <col min="11258" max="11258" width="5.5703125" style="205" customWidth="1"/>
    <col min="11259" max="11259" width="1.5703125" style="205" customWidth="1"/>
    <col min="11260" max="11260" width="10.5703125" style="205" customWidth="1"/>
    <col min="11261" max="11261" width="6.5703125" style="205" customWidth="1"/>
    <col min="11262" max="11262" width="1.5703125" style="205" customWidth="1"/>
    <col min="11263" max="11263" width="10.5703125" style="205" customWidth="1"/>
    <col min="11264" max="11264" width="9.5703125" style="205" customWidth="1"/>
    <col min="11265" max="11265" width="13.42578125" style="205" bestFit="1" customWidth="1"/>
    <col min="11266" max="11266" width="7.5703125" style="205" customWidth="1"/>
    <col min="11267" max="11267" width="11.5703125" style="205"/>
    <col min="11268" max="11268" width="13.42578125" style="205" bestFit="1" customWidth="1"/>
    <col min="11269" max="11505" width="11.5703125" style="205"/>
    <col min="11506" max="11506" width="0.42578125" style="205" customWidth="1"/>
    <col min="11507" max="11507" width="2.5703125" style="205" customWidth="1"/>
    <col min="11508" max="11508" width="15.42578125" style="205" customWidth="1"/>
    <col min="11509" max="11509" width="1.42578125" style="205" customWidth="1"/>
    <col min="11510" max="11510" width="27.5703125" style="205" customWidth="1"/>
    <col min="11511" max="11511" width="6.5703125" style="205" customWidth="1"/>
    <col min="11512" max="11512" width="1.5703125" style="205" customWidth="1"/>
    <col min="11513" max="11513" width="10.5703125" style="205" customWidth="1"/>
    <col min="11514" max="11514" width="5.5703125" style="205" customWidth="1"/>
    <col min="11515" max="11515" width="1.5703125" style="205" customWidth="1"/>
    <col min="11516" max="11516" width="10.5703125" style="205" customWidth="1"/>
    <col min="11517" max="11517" width="6.5703125" style="205" customWidth="1"/>
    <col min="11518" max="11518" width="1.5703125" style="205" customWidth="1"/>
    <col min="11519" max="11519" width="10.5703125" style="205" customWidth="1"/>
    <col min="11520" max="11520" width="9.5703125" style="205" customWidth="1"/>
    <col min="11521" max="11521" width="13.42578125" style="205" bestFit="1" customWidth="1"/>
    <col min="11522" max="11522" width="7.5703125" style="205" customWidth="1"/>
    <col min="11523" max="11523" width="11.5703125" style="205"/>
    <col min="11524" max="11524" width="13.42578125" style="205" bestFit="1" customWidth="1"/>
    <col min="11525" max="11761" width="11.5703125" style="205"/>
    <col min="11762" max="11762" width="0.42578125" style="205" customWidth="1"/>
    <col min="11763" max="11763" width="2.5703125" style="205" customWidth="1"/>
    <col min="11764" max="11764" width="15.42578125" style="205" customWidth="1"/>
    <col min="11765" max="11765" width="1.42578125" style="205" customWidth="1"/>
    <col min="11766" max="11766" width="27.5703125" style="205" customWidth="1"/>
    <col min="11767" max="11767" width="6.5703125" style="205" customWidth="1"/>
    <col min="11768" max="11768" width="1.5703125" style="205" customWidth="1"/>
    <col min="11769" max="11769" width="10.5703125" style="205" customWidth="1"/>
    <col min="11770" max="11770" width="5.5703125" style="205" customWidth="1"/>
    <col min="11771" max="11771" width="1.5703125" style="205" customWidth="1"/>
    <col min="11772" max="11772" width="10.5703125" style="205" customWidth="1"/>
    <col min="11773" max="11773" width="6.5703125" style="205" customWidth="1"/>
    <col min="11774" max="11774" width="1.5703125" style="205" customWidth="1"/>
    <col min="11775" max="11775" width="10.5703125" style="205" customWidth="1"/>
    <col min="11776" max="11776" width="9.5703125" style="205" customWidth="1"/>
    <col min="11777" max="11777" width="13.42578125" style="205" bestFit="1" customWidth="1"/>
    <col min="11778" max="11778" width="7.5703125" style="205" customWidth="1"/>
    <col min="11779" max="11779" width="11.5703125" style="205"/>
    <col min="11780" max="11780" width="13.42578125" style="205" bestFit="1" customWidth="1"/>
    <col min="11781" max="12017" width="11.5703125" style="205"/>
    <col min="12018" max="12018" width="0.42578125" style="205" customWidth="1"/>
    <col min="12019" max="12019" width="2.5703125" style="205" customWidth="1"/>
    <col min="12020" max="12020" width="15.42578125" style="205" customWidth="1"/>
    <col min="12021" max="12021" width="1.42578125" style="205" customWidth="1"/>
    <col min="12022" max="12022" width="27.5703125" style="205" customWidth="1"/>
    <col min="12023" max="12023" width="6.5703125" style="205" customWidth="1"/>
    <col min="12024" max="12024" width="1.5703125" style="205" customWidth="1"/>
    <col min="12025" max="12025" width="10.5703125" style="205" customWidth="1"/>
    <col min="12026" max="12026" width="5.5703125" style="205" customWidth="1"/>
    <col min="12027" max="12027" width="1.5703125" style="205" customWidth="1"/>
    <col min="12028" max="12028" width="10.5703125" style="205" customWidth="1"/>
    <col min="12029" max="12029" width="6.5703125" style="205" customWidth="1"/>
    <col min="12030" max="12030" width="1.5703125" style="205" customWidth="1"/>
    <col min="12031" max="12031" width="10.5703125" style="205" customWidth="1"/>
    <col min="12032" max="12032" width="9.5703125" style="205" customWidth="1"/>
    <col min="12033" max="12033" width="13.42578125" style="205" bestFit="1" customWidth="1"/>
    <col min="12034" max="12034" width="7.5703125" style="205" customWidth="1"/>
    <col min="12035" max="12035" width="11.5703125" style="205"/>
    <col min="12036" max="12036" width="13.42578125" style="205" bestFit="1" customWidth="1"/>
    <col min="12037" max="12273" width="11.5703125" style="205"/>
    <col min="12274" max="12274" width="0.42578125" style="205" customWidth="1"/>
    <col min="12275" max="12275" width="2.5703125" style="205" customWidth="1"/>
    <col min="12276" max="12276" width="15.42578125" style="205" customWidth="1"/>
    <col min="12277" max="12277" width="1.42578125" style="205" customWidth="1"/>
    <col min="12278" max="12278" width="27.5703125" style="205" customWidth="1"/>
    <col min="12279" max="12279" width="6.5703125" style="205" customWidth="1"/>
    <col min="12280" max="12280" width="1.5703125" style="205" customWidth="1"/>
    <col min="12281" max="12281" width="10.5703125" style="205" customWidth="1"/>
    <col min="12282" max="12282" width="5.5703125" style="205" customWidth="1"/>
    <col min="12283" max="12283" width="1.5703125" style="205" customWidth="1"/>
    <col min="12284" max="12284" width="10.5703125" style="205" customWidth="1"/>
    <col min="12285" max="12285" width="6.5703125" style="205" customWidth="1"/>
    <col min="12286" max="12286" width="1.5703125" style="205" customWidth="1"/>
    <col min="12287" max="12287" width="10.5703125" style="205" customWidth="1"/>
    <col min="12288" max="12288" width="9.5703125" style="205" customWidth="1"/>
    <col min="12289" max="12289" width="13.42578125" style="205" bestFit="1" customWidth="1"/>
    <col min="12290" max="12290" width="7.5703125" style="205" customWidth="1"/>
    <col min="12291" max="12291" width="11.5703125" style="205"/>
    <col min="12292" max="12292" width="13.42578125" style="205" bestFit="1" customWidth="1"/>
    <col min="12293" max="12529" width="11.5703125" style="205"/>
    <col min="12530" max="12530" width="0.42578125" style="205" customWidth="1"/>
    <col min="12531" max="12531" width="2.5703125" style="205" customWidth="1"/>
    <col min="12532" max="12532" width="15.42578125" style="205" customWidth="1"/>
    <col min="12533" max="12533" width="1.42578125" style="205" customWidth="1"/>
    <col min="12534" max="12534" width="27.5703125" style="205" customWidth="1"/>
    <col min="12535" max="12535" width="6.5703125" style="205" customWidth="1"/>
    <col min="12536" max="12536" width="1.5703125" style="205" customWidth="1"/>
    <col min="12537" max="12537" width="10.5703125" style="205" customWidth="1"/>
    <col min="12538" max="12538" width="5.5703125" style="205" customWidth="1"/>
    <col min="12539" max="12539" width="1.5703125" style="205" customWidth="1"/>
    <col min="12540" max="12540" width="10.5703125" style="205" customWidth="1"/>
    <col min="12541" max="12541" width="6.5703125" style="205" customWidth="1"/>
    <col min="12542" max="12542" width="1.5703125" style="205" customWidth="1"/>
    <col min="12543" max="12543" width="10.5703125" style="205" customWidth="1"/>
    <col min="12544" max="12544" width="9.5703125" style="205" customWidth="1"/>
    <col min="12545" max="12545" width="13.42578125" style="205" bestFit="1" customWidth="1"/>
    <col min="12546" max="12546" width="7.5703125" style="205" customWidth="1"/>
    <col min="12547" max="12547" width="11.5703125" style="205"/>
    <col min="12548" max="12548" width="13.42578125" style="205" bestFit="1" customWidth="1"/>
    <col min="12549" max="12785" width="11.5703125" style="205"/>
    <col min="12786" max="12786" width="0.42578125" style="205" customWidth="1"/>
    <col min="12787" max="12787" width="2.5703125" style="205" customWidth="1"/>
    <col min="12788" max="12788" width="15.42578125" style="205" customWidth="1"/>
    <col min="12789" max="12789" width="1.42578125" style="205" customWidth="1"/>
    <col min="12790" max="12790" width="27.5703125" style="205" customWidth="1"/>
    <col min="12791" max="12791" width="6.5703125" style="205" customWidth="1"/>
    <col min="12792" max="12792" width="1.5703125" style="205" customWidth="1"/>
    <col min="12793" max="12793" width="10.5703125" style="205" customWidth="1"/>
    <col min="12794" max="12794" width="5.5703125" style="205" customWidth="1"/>
    <col min="12795" max="12795" width="1.5703125" style="205" customWidth="1"/>
    <col min="12796" max="12796" width="10.5703125" style="205" customWidth="1"/>
    <col min="12797" max="12797" width="6.5703125" style="205" customWidth="1"/>
    <col min="12798" max="12798" width="1.5703125" style="205" customWidth="1"/>
    <col min="12799" max="12799" width="10.5703125" style="205" customWidth="1"/>
    <col min="12800" max="12800" width="9.5703125" style="205" customWidth="1"/>
    <col min="12801" max="12801" width="13.42578125" style="205" bestFit="1" customWidth="1"/>
    <col min="12802" max="12802" width="7.5703125" style="205" customWidth="1"/>
    <col min="12803" max="12803" width="11.5703125" style="205"/>
    <col min="12804" max="12804" width="13.42578125" style="205" bestFit="1" customWidth="1"/>
    <col min="12805" max="13041" width="11.5703125" style="205"/>
    <col min="13042" max="13042" width="0.42578125" style="205" customWidth="1"/>
    <col min="13043" max="13043" width="2.5703125" style="205" customWidth="1"/>
    <col min="13044" max="13044" width="15.42578125" style="205" customWidth="1"/>
    <col min="13045" max="13045" width="1.42578125" style="205" customWidth="1"/>
    <col min="13046" max="13046" width="27.5703125" style="205" customWidth="1"/>
    <col min="13047" max="13047" width="6.5703125" style="205" customWidth="1"/>
    <col min="13048" max="13048" width="1.5703125" style="205" customWidth="1"/>
    <col min="13049" max="13049" width="10.5703125" style="205" customWidth="1"/>
    <col min="13050" max="13050" width="5.5703125" style="205" customWidth="1"/>
    <col min="13051" max="13051" width="1.5703125" style="205" customWidth="1"/>
    <col min="13052" max="13052" width="10.5703125" style="205" customWidth="1"/>
    <col min="13053" max="13053" width="6.5703125" style="205" customWidth="1"/>
    <col min="13054" max="13054" width="1.5703125" style="205" customWidth="1"/>
    <col min="13055" max="13055" width="10.5703125" style="205" customWidth="1"/>
    <col min="13056" max="13056" width="9.5703125" style="205" customWidth="1"/>
    <col min="13057" max="13057" width="13.42578125" style="205" bestFit="1" customWidth="1"/>
    <col min="13058" max="13058" width="7.5703125" style="205" customWidth="1"/>
    <col min="13059" max="13059" width="11.5703125" style="205"/>
    <col min="13060" max="13060" width="13.42578125" style="205" bestFit="1" customWidth="1"/>
    <col min="13061" max="13297" width="11.5703125" style="205"/>
    <col min="13298" max="13298" width="0.42578125" style="205" customWidth="1"/>
    <col min="13299" max="13299" width="2.5703125" style="205" customWidth="1"/>
    <col min="13300" max="13300" width="15.42578125" style="205" customWidth="1"/>
    <col min="13301" max="13301" width="1.42578125" style="205" customWidth="1"/>
    <col min="13302" max="13302" width="27.5703125" style="205" customWidth="1"/>
    <col min="13303" max="13303" width="6.5703125" style="205" customWidth="1"/>
    <col min="13304" max="13304" width="1.5703125" style="205" customWidth="1"/>
    <col min="13305" max="13305" width="10.5703125" style="205" customWidth="1"/>
    <col min="13306" max="13306" width="5.5703125" style="205" customWidth="1"/>
    <col min="13307" max="13307" width="1.5703125" style="205" customWidth="1"/>
    <col min="13308" max="13308" width="10.5703125" style="205" customWidth="1"/>
    <col min="13309" max="13309" width="6.5703125" style="205" customWidth="1"/>
    <col min="13310" max="13310" width="1.5703125" style="205" customWidth="1"/>
    <col min="13311" max="13311" width="10.5703125" style="205" customWidth="1"/>
    <col min="13312" max="13312" width="9.5703125" style="205" customWidth="1"/>
    <col min="13313" max="13313" width="13.42578125" style="205" bestFit="1" customWidth="1"/>
    <col min="13314" max="13314" width="7.5703125" style="205" customWidth="1"/>
    <col min="13315" max="13315" width="11.5703125" style="205"/>
    <col min="13316" max="13316" width="13.42578125" style="205" bestFit="1" customWidth="1"/>
    <col min="13317" max="13553" width="11.5703125" style="205"/>
    <col min="13554" max="13554" width="0.42578125" style="205" customWidth="1"/>
    <col min="13555" max="13555" width="2.5703125" style="205" customWidth="1"/>
    <col min="13556" max="13556" width="15.42578125" style="205" customWidth="1"/>
    <col min="13557" max="13557" width="1.42578125" style="205" customWidth="1"/>
    <col min="13558" max="13558" width="27.5703125" style="205" customWidth="1"/>
    <col min="13559" max="13559" width="6.5703125" style="205" customWidth="1"/>
    <col min="13560" max="13560" width="1.5703125" style="205" customWidth="1"/>
    <col min="13561" max="13561" width="10.5703125" style="205" customWidth="1"/>
    <col min="13562" max="13562" width="5.5703125" style="205" customWidth="1"/>
    <col min="13563" max="13563" width="1.5703125" style="205" customWidth="1"/>
    <col min="13564" max="13564" width="10.5703125" style="205" customWidth="1"/>
    <col min="13565" max="13565" width="6.5703125" style="205" customWidth="1"/>
    <col min="13566" max="13566" width="1.5703125" style="205" customWidth="1"/>
    <col min="13567" max="13567" width="10.5703125" style="205" customWidth="1"/>
    <col min="13568" max="13568" width="9.5703125" style="205" customWidth="1"/>
    <col min="13569" max="13569" width="13.42578125" style="205" bestFit="1" customWidth="1"/>
    <col min="13570" max="13570" width="7.5703125" style="205" customWidth="1"/>
    <col min="13571" max="13571" width="11.5703125" style="205"/>
    <col min="13572" max="13572" width="13.42578125" style="205" bestFit="1" customWidth="1"/>
    <col min="13573" max="13809" width="11.5703125" style="205"/>
    <col min="13810" max="13810" width="0.42578125" style="205" customWidth="1"/>
    <col min="13811" max="13811" width="2.5703125" style="205" customWidth="1"/>
    <col min="13812" max="13812" width="15.42578125" style="205" customWidth="1"/>
    <col min="13813" max="13813" width="1.42578125" style="205" customWidth="1"/>
    <col min="13814" max="13814" width="27.5703125" style="205" customWidth="1"/>
    <col min="13815" max="13815" width="6.5703125" style="205" customWidth="1"/>
    <col min="13816" max="13816" width="1.5703125" style="205" customWidth="1"/>
    <col min="13817" max="13817" width="10.5703125" style="205" customWidth="1"/>
    <col min="13818" max="13818" width="5.5703125" style="205" customWidth="1"/>
    <col min="13819" max="13819" width="1.5703125" style="205" customWidth="1"/>
    <col min="13820" max="13820" width="10.5703125" style="205" customWidth="1"/>
    <col min="13821" max="13821" width="6.5703125" style="205" customWidth="1"/>
    <col min="13822" max="13822" width="1.5703125" style="205" customWidth="1"/>
    <col min="13823" max="13823" width="10.5703125" style="205" customWidth="1"/>
    <col min="13824" max="13824" width="9.5703125" style="205" customWidth="1"/>
    <col min="13825" max="13825" width="13.42578125" style="205" bestFit="1" customWidth="1"/>
    <col min="13826" max="13826" width="7.5703125" style="205" customWidth="1"/>
    <col min="13827" max="13827" width="11.5703125" style="205"/>
    <col min="13828" max="13828" width="13.42578125" style="205" bestFit="1" customWidth="1"/>
    <col min="13829" max="14065" width="11.5703125" style="205"/>
    <col min="14066" max="14066" width="0.42578125" style="205" customWidth="1"/>
    <col min="14067" max="14067" width="2.5703125" style="205" customWidth="1"/>
    <col min="14068" max="14068" width="15.42578125" style="205" customWidth="1"/>
    <col min="14069" max="14069" width="1.42578125" style="205" customWidth="1"/>
    <col min="14070" max="14070" width="27.5703125" style="205" customWidth="1"/>
    <col min="14071" max="14071" width="6.5703125" style="205" customWidth="1"/>
    <col min="14072" max="14072" width="1.5703125" style="205" customWidth="1"/>
    <col min="14073" max="14073" width="10.5703125" style="205" customWidth="1"/>
    <col min="14074" max="14074" width="5.5703125" style="205" customWidth="1"/>
    <col min="14075" max="14075" width="1.5703125" style="205" customWidth="1"/>
    <col min="14076" max="14076" width="10.5703125" style="205" customWidth="1"/>
    <col min="14077" max="14077" width="6.5703125" style="205" customWidth="1"/>
    <col min="14078" max="14078" width="1.5703125" style="205" customWidth="1"/>
    <col min="14079" max="14079" width="10.5703125" style="205" customWidth="1"/>
    <col min="14080" max="14080" width="9.5703125" style="205" customWidth="1"/>
    <col min="14081" max="14081" width="13.42578125" style="205" bestFit="1" customWidth="1"/>
    <col min="14082" max="14082" width="7.5703125" style="205" customWidth="1"/>
    <col min="14083" max="14083" width="11.5703125" style="205"/>
    <col min="14084" max="14084" width="13.42578125" style="205" bestFit="1" customWidth="1"/>
    <col min="14085" max="14321" width="11.5703125" style="205"/>
    <col min="14322" max="14322" width="0.42578125" style="205" customWidth="1"/>
    <col min="14323" max="14323" width="2.5703125" style="205" customWidth="1"/>
    <col min="14324" max="14324" width="15.42578125" style="205" customWidth="1"/>
    <col min="14325" max="14325" width="1.42578125" style="205" customWidth="1"/>
    <col min="14326" max="14326" width="27.5703125" style="205" customWidth="1"/>
    <col min="14327" max="14327" width="6.5703125" style="205" customWidth="1"/>
    <col min="14328" max="14328" width="1.5703125" style="205" customWidth="1"/>
    <col min="14329" max="14329" width="10.5703125" style="205" customWidth="1"/>
    <col min="14330" max="14330" width="5.5703125" style="205" customWidth="1"/>
    <col min="14331" max="14331" width="1.5703125" style="205" customWidth="1"/>
    <col min="14332" max="14332" width="10.5703125" style="205" customWidth="1"/>
    <col min="14333" max="14333" width="6.5703125" style="205" customWidth="1"/>
    <col min="14334" max="14334" width="1.5703125" style="205" customWidth="1"/>
    <col min="14335" max="14335" width="10.5703125" style="205" customWidth="1"/>
    <col min="14336" max="14336" width="9.5703125" style="205" customWidth="1"/>
    <col min="14337" max="14337" width="13.42578125" style="205" bestFit="1" customWidth="1"/>
    <col min="14338" max="14338" width="7.5703125" style="205" customWidth="1"/>
    <col min="14339" max="14339" width="11.5703125" style="205"/>
    <col min="14340" max="14340" width="13.42578125" style="205" bestFit="1" customWidth="1"/>
    <col min="14341" max="14577" width="11.5703125" style="205"/>
    <col min="14578" max="14578" width="0.42578125" style="205" customWidth="1"/>
    <col min="14579" max="14579" width="2.5703125" style="205" customWidth="1"/>
    <col min="14580" max="14580" width="15.42578125" style="205" customWidth="1"/>
    <col min="14581" max="14581" width="1.42578125" style="205" customWidth="1"/>
    <col min="14582" max="14582" width="27.5703125" style="205" customWidth="1"/>
    <col min="14583" max="14583" width="6.5703125" style="205" customWidth="1"/>
    <col min="14584" max="14584" width="1.5703125" style="205" customWidth="1"/>
    <col min="14585" max="14585" width="10.5703125" style="205" customWidth="1"/>
    <col min="14586" max="14586" width="5.5703125" style="205" customWidth="1"/>
    <col min="14587" max="14587" width="1.5703125" style="205" customWidth="1"/>
    <col min="14588" max="14588" width="10.5703125" style="205" customWidth="1"/>
    <col min="14589" max="14589" width="6.5703125" style="205" customWidth="1"/>
    <col min="14590" max="14590" width="1.5703125" style="205" customWidth="1"/>
    <col min="14591" max="14591" width="10.5703125" style="205" customWidth="1"/>
    <col min="14592" max="14592" width="9.5703125" style="205" customWidth="1"/>
    <col min="14593" max="14593" width="13.42578125" style="205" bestFit="1" customWidth="1"/>
    <col min="14594" max="14594" width="7.5703125" style="205" customWidth="1"/>
    <col min="14595" max="14595" width="11.5703125" style="205"/>
    <col min="14596" max="14596" width="13.42578125" style="205" bestFit="1" customWidth="1"/>
    <col min="14597" max="14833" width="11.5703125" style="205"/>
    <col min="14834" max="14834" width="0.42578125" style="205" customWidth="1"/>
    <col min="14835" max="14835" width="2.5703125" style="205" customWidth="1"/>
    <col min="14836" max="14836" width="15.42578125" style="205" customWidth="1"/>
    <col min="14837" max="14837" width="1.42578125" style="205" customWidth="1"/>
    <col min="14838" max="14838" width="27.5703125" style="205" customWidth="1"/>
    <col min="14839" max="14839" width="6.5703125" style="205" customWidth="1"/>
    <col min="14840" max="14840" width="1.5703125" style="205" customWidth="1"/>
    <col min="14841" max="14841" width="10.5703125" style="205" customWidth="1"/>
    <col min="14842" max="14842" width="5.5703125" style="205" customWidth="1"/>
    <col min="14843" max="14843" width="1.5703125" style="205" customWidth="1"/>
    <col min="14844" max="14844" width="10.5703125" style="205" customWidth="1"/>
    <col min="14845" max="14845" width="6.5703125" style="205" customWidth="1"/>
    <col min="14846" max="14846" width="1.5703125" style="205" customWidth="1"/>
    <col min="14847" max="14847" width="10.5703125" style="205" customWidth="1"/>
    <col min="14848" max="14848" width="9.5703125" style="205" customWidth="1"/>
    <col min="14849" max="14849" width="13.42578125" style="205" bestFit="1" customWidth="1"/>
    <col min="14850" max="14850" width="7.5703125" style="205" customWidth="1"/>
    <col min="14851" max="14851" width="11.5703125" style="205"/>
    <col min="14852" max="14852" width="13.42578125" style="205" bestFit="1" customWidth="1"/>
    <col min="14853" max="15089" width="11.5703125" style="205"/>
    <col min="15090" max="15090" width="0.42578125" style="205" customWidth="1"/>
    <col min="15091" max="15091" width="2.5703125" style="205" customWidth="1"/>
    <col min="15092" max="15092" width="15.42578125" style="205" customWidth="1"/>
    <col min="15093" max="15093" width="1.42578125" style="205" customWidth="1"/>
    <col min="15094" max="15094" width="27.5703125" style="205" customWidth="1"/>
    <col min="15095" max="15095" width="6.5703125" style="205" customWidth="1"/>
    <col min="15096" max="15096" width="1.5703125" style="205" customWidth="1"/>
    <col min="15097" max="15097" width="10.5703125" style="205" customWidth="1"/>
    <col min="15098" max="15098" width="5.5703125" style="205" customWidth="1"/>
    <col min="15099" max="15099" width="1.5703125" style="205" customWidth="1"/>
    <col min="15100" max="15100" width="10.5703125" style="205" customWidth="1"/>
    <col min="15101" max="15101" width="6.5703125" style="205" customWidth="1"/>
    <col min="15102" max="15102" width="1.5703125" style="205" customWidth="1"/>
    <col min="15103" max="15103" width="10.5703125" style="205" customWidth="1"/>
    <col min="15104" max="15104" width="9.5703125" style="205" customWidth="1"/>
    <col min="15105" max="15105" width="13.42578125" style="205" bestFit="1" customWidth="1"/>
    <col min="15106" max="15106" width="7.5703125" style="205" customWidth="1"/>
    <col min="15107" max="15107" width="11.5703125" style="205"/>
    <col min="15108" max="15108" width="13.42578125" style="205" bestFit="1" customWidth="1"/>
    <col min="15109" max="15345" width="11.5703125" style="205"/>
    <col min="15346" max="15346" width="0.42578125" style="205" customWidth="1"/>
    <col min="15347" max="15347" width="2.5703125" style="205" customWidth="1"/>
    <col min="15348" max="15348" width="15.42578125" style="205" customWidth="1"/>
    <col min="15349" max="15349" width="1.42578125" style="205" customWidth="1"/>
    <col min="15350" max="15350" width="27.5703125" style="205" customWidth="1"/>
    <col min="15351" max="15351" width="6.5703125" style="205" customWidth="1"/>
    <col min="15352" max="15352" width="1.5703125" style="205" customWidth="1"/>
    <col min="15353" max="15353" width="10.5703125" style="205" customWidth="1"/>
    <col min="15354" max="15354" width="5.5703125" style="205" customWidth="1"/>
    <col min="15355" max="15355" width="1.5703125" style="205" customWidth="1"/>
    <col min="15356" max="15356" width="10.5703125" style="205" customWidth="1"/>
    <col min="15357" max="15357" width="6.5703125" style="205" customWidth="1"/>
    <col min="15358" max="15358" width="1.5703125" style="205" customWidth="1"/>
    <col min="15359" max="15359" width="10.5703125" style="205" customWidth="1"/>
    <col min="15360" max="15360" width="9.5703125" style="205" customWidth="1"/>
    <col min="15361" max="15361" width="13.42578125" style="205" bestFit="1" customWidth="1"/>
    <col min="15362" max="15362" width="7.5703125" style="205" customWidth="1"/>
    <col min="15363" max="15363" width="11.5703125" style="205"/>
    <col min="15364" max="15364" width="13.42578125" style="205" bestFit="1" customWidth="1"/>
    <col min="15365" max="15601" width="11.5703125" style="205"/>
    <col min="15602" max="15602" width="0.42578125" style="205" customWidth="1"/>
    <col min="15603" max="15603" width="2.5703125" style="205" customWidth="1"/>
    <col min="15604" max="15604" width="15.42578125" style="205" customWidth="1"/>
    <col min="15605" max="15605" width="1.42578125" style="205" customWidth="1"/>
    <col min="15606" max="15606" width="27.5703125" style="205" customWidth="1"/>
    <col min="15607" max="15607" width="6.5703125" style="205" customWidth="1"/>
    <col min="15608" max="15608" width="1.5703125" style="205" customWidth="1"/>
    <col min="15609" max="15609" width="10.5703125" style="205" customWidth="1"/>
    <col min="15610" max="15610" width="5.5703125" style="205" customWidth="1"/>
    <col min="15611" max="15611" width="1.5703125" style="205" customWidth="1"/>
    <col min="15612" max="15612" width="10.5703125" style="205" customWidth="1"/>
    <col min="15613" max="15613" width="6.5703125" style="205" customWidth="1"/>
    <col min="15614" max="15614" width="1.5703125" style="205" customWidth="1"/>
    <col min="15615" max="15615" width="10.5703125" style="205" customWidth="1"/>
    <col min="15616" max="15616" width="9.5703125" style="205" customWidth="1"/>
    <col min="15617" max="15617" width="13.42578125" style="205" bestFit="1" customWidth="1"/>
    <col min="15618" max="15618" width="7.5703125" style="205" customWidth="1"/>
    <col min="15619" max="15619" width="11.5703125" style="205"/>
    <col min="15620" max="15620" width="13.42578125" style="205" bestFit="1" customWidth="1"/>
    <col min="15621" max="15857" width="11.5703125" style="205"/>
    <col min="15858" max="15858" width="0.42578125" style="205" customWidth="1"/>
    <col min="15859" max="15859" width="2.5703125" style="205" customWidth="1"/>
    <col min="15860" max="15860" width="15.42578125" style="205" customWidth="1"/>
    <col min="15861" max="15861" width="1.42578125" style="205" customWidth="1"/>
    <col min="15862" max="15862" width="27.5703125" style="205" customWidth="1"/>
    <col min="15863" max="15863" width="6.5703125" style="205" customWidth="1"/>
    <col min="15864" max="15864" width="1.5703125" style="205" customWidth="1"/>
    <col min="15865" max="15865" width="10.5703125" style="205" customWidth="1"/>
    <col min="15866" max="15866" width="5.5703125" style="205" customWidth="1"/>
    <col min="15867" max="15867" width="1.5703125" style="205" customWidth="1"/>
    <col min="15868" max="15868" width="10.5703125" style="205" customWidth="1"/>
    <col min="15869" max="15869" width="6.5703125" style="205" customWidth="1"/>
    <col min="15870" max="15870" width="1.5703125" style="205" customWidth="1"/>
    <col min="15871" max="15871" width="10.5703125" style="205" customWidth="1"/>
    <col min="15872" max="15872" width="9.5703125" style="205" customWidth="1"/>
    <col min="15873" max="15873" width="13.42578125" style="205" bestFit="1" customWidth="1"/>
    <col min="15874" max="15874" width="7.5703125" style="205" customWidth="1"/>
    <col min="15875" max="15875" width="11.5703125" style="205"/>
    <col min="15876" max="15876" width="13.42578125" style="205" bestFit="1" customWidth="1"/>
    <col min="15877" max="16113" width="11.5703125" style="205"/>
    <col min="16114" max="16114" width="0.42578125" style="205" customWidth="1"/>
    <col min="16115" max="16115" width="2.5703125" style="205" customWidth="1"/>
    <col min="16116" max="16116" width="15.42578125" style="205" customWidth="1"/>
    <col min="16117" max="16117" width="1.42578125" style="205" customWidth="1"/>
    <col min="16118" max="16118" width="27.5703125" style="205" customWidth="1"/>
    <col min="16119" max="16119" width="6.5703125" style="205" customWidth="1"/>
    <col min="16120" max="16120" width="1.5703125" style="205" customWidth="1"/>
    <col min="16121" max="16121" width="10.5703125" style="205" customWidth="1"/>
    <col min="16122" max="16122" width="5.5703125" style="205" customWidth="1"/>
    <col min="16123" max="16123" width="1.5703125" style="205" customWidth="1"/>
    <col min="16124" max="16124" width="10.5703125" style="205" customWidth="1"/>
    <col min="16125" max="16125" width="6.5703125" style="205" customWidth="1"/>
    <col min="16126" max="16126" width="1.5703125" style="205" customWidth="1"/>
    <col min="16127" max="16127" width="10.5703125" style="205" customWidth="1"/>
    <col min="16128" max="16128" width="9.5703125" style="205" customWidth="1"/>
    <col min="16129" max="16129" width="13.42578125" style="205" bestFit="1" customWidth="1"/>
    <col min="16130" max="16130" width="7.5703125" style="205" customWidth="1"/>
    <col min="16131" max="16131" width="11.5703125" style="205"/>
    <col min="16132" max="16132" width="13.42578125" style="205" bestFit="1" customWidth="1"/>
    <col min="16133" max="16384" width="11.5703125" style="205"/>
  </cols>
  <sheetData>
    <row r="1" spans="1:14" s="54" customFormat="1" ht="0.75" customHeight="1"/>
    <row r="2" spans="1:14" s="54" customFormat="1" ht="21" customHeight="1">
      <c r="E2" s="65"/>
      <c r="G2" s="27" t="s">
        <v>19</v>
      </c>
    </row>
    <row r="3" spans="1:14" s="54" customFormat="1" ht="15" customHeight="1">
      <c r="E3" s="62"/>
      <c r="F3" s="62"/>
      <c r="G3" s="43" t="str">
        <f>Indice!E3</f>
        <v>Julio 2026</v>
      </c>
    </row>
    <row r="4" spans="1:14" s="58" customFormat="1" ht="20.25" customHeight="1">
      <c r="B4" s="57"/>
      <c r="C4" s="25" t="s">
        <v>119</v>
      </c>
      <c r="G4" s="203"/>
    </row>
    <row r="5" spans="1:14" s="58" customFormat="1" ht="12.75" customHeight="1">
      <c r="B5" s="57"/>
      <c r="C5" s="45"/>
      <c r="G5" s="203"/>
    </row>
    <row r="6" spans="1:14" s="58" customFormat="1" ht="13.5" customHeight="1">
      <c r="B6" s="57"/>
      <c r="D6" s="55"/>
      <c r="E6" s="55"/>
      <c r="G6" s="203"/>
    </row>
    <row r="7" spans="1:14" s="58" customFormat="1" ht="12.75" customHeight="1">
      <c r="B7" s="57"/>
      <c r="C7" s="264" t="s">
        <v>142</v>
      </c>
      <c r="D7" s="55"/>
      <c r="E7" s="267" t="s">
        <v>143</v>
      </c>
      <c r="F7" s="267"/>
      <c r="G7" s="203"/>
    </row>
    <row r="8" spans="1:14" ht="12.75" customHeight="1">
      <c r="A8" s="58"/>
      <c r="B8" s="57"/>
      <c r="C8" s="264"/>
      <c r="D8" s="55"/>
      <c r="E8" s="268" t="str">
        <f>CONCATENATE(TEXT(SUM(Dat_01!Z23:Z24),"0,00")," MWh")</f>
        <v>-18,02 MWh</v>
      </c>
      <c r="F8" s="268"/>
      <c r="G8" s="204"/>
    </row>
    <row r="9" spans="1:14">
      <c r="A9" s="58"/>
      <c r="B9" s="57"/>
      <c r="C9" s="264"/>
      <c r="D9" s="55"/>
      <c r="F9" s="205"/>
      <c r="G9" s="207"/>
      <c r="H9" s="208"/>
      <c r="I9" s="208"/>
      <c r="J9" s="209"/>
      <c r="K9" s="208"/>
      <c r="L9" s="209"/>
      <c r="M9" s="208"/>
      <c r="N9" s="209"/>
    </row>
    <row r="10" spans="1:14">
      <c r="C10" s="206"/>
      <c r="E10" s="265" t="s">
        <v>123</v>
      </c>
      <c r="F10" s="266" t="str">
        <f>CONCATENATE(TEXT(Dat_01!Z23,"0,00")," MWh")</f>
        <v>0,00 MWh</v>
      </c>
    </row>
    <row r="11" spans="1:14">
      <c r="E11" s="265"/>
      <c r="F11" s="266"/>
    </row>
    <row r="12" spans="1:14">
      <c r="E12" s="210"/>
      <c r="F12" s="210"/>
    </row>
    <row r="13" spans="1:14">
      <c r="E13" s="210"/>
      <c r="F13" s="210"/>
    </row>
    <row r="14" spans="1:14">
      <c r="F14" s="210"/>
    </row>
    <row r="15" spans="1:14">
      <c r="E15" s="210"/>
      <c r="F15" s="211"/>
    </row>
    <row r="16" spans="1:14">
      <c r="E16" s="210"/>
      <c r="F16" s="210"/>
    </row>
    <row r="17" spans="1:14">
      <c r="E17" s="210"/>
      <c r="F17" s="210"/>
    </row>
    <row r="18" spans="1:14">
      <c r="E18" s="210"/>
      <c r="F18" s="210"/>
    </row>
    <row r="19" spans="1:14">
      <c r="E19" s="210"/>
      <c r="F19" s="210"/>
    </row>
    <row r="20" spans="1:14">
      <c r="E20" s="210"/>
      <c r="F20" s="210"/>
    </row>
    <row r="21" spans="1:14">
      <c r="E21" s="210"/>
      <c r="F21" s="210"/>
    </row>
    <row r="22" spans="1:14">
      <c r="E22" s="210"/>
      <c r="F22" s="210"/>
    </row>
    <row r="23" spans="1:14">
      <c r="E23" s="265" t="s">
        <v>124</v>
      </c>
      <c r="F23" s="266" t="str">
        <f>CONCATENATE(TEXT(Dat_01!Z24,"0,00")," MWh")</f>
        <v>-18,02 MWh</v>
      </c>
    </row>
    <row r="24" spans="1:14" s="212" customFormat="1">
      <c r="A24" s="54"/>
      <c r="B24" s="54"/>
      <c r="C24" s="54"/>
      <c r="D24" s="54"/>
      <c r="E24" s="265"/>
      <c r="F24" s="266"/>
      <c r="G24" s="205"/>
      <c r="H24" s="205"/>
      <c r="I24" s="205"/>
      <c r="J24" s="205"/>
      <c r="K24" s="205"/>
      <c r="L24" s="205"/>
      <c r="M24" s="205"/>
      <c r="N24" s="205"/>
    </row>
  </sheetData>
  <mergeCells count="7">
    <mergeCell ref="E23:E24"/>
    <mergeCell ref="F23:F24"/>
    <mergeCell ref="C7:C9"/>
    <mergeCell ref="E7:F7"/>
    <mergeCell ref="E8:F8"/>
    <mergeCell ref="E10:E11"/>
    <mergeCell ref="F10:F11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4294967292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2F24B-A72E-4F9F-945C-A0E2A12FD6EB}">
  <dimension ref="C1:Y44"/>
  <sheetViews>
    <sheetView showGridLines="0" showRowColHeaders="0" topLeftCell="A2" zoomScaleNormal="100" workbookViewId="0">
      <selection activeCell="B2" sqref="B2"/>
    </sheetView>
  </sheetViews>
  <sheetFormatPr baseColWidth="10" defaultColWidth="11.5703125" defaultRowHeight="12.75"/>
  <cols>
    <col min="1" max="1" width="0.42578125" style="54" customWidth="1"/>
    <col min="2" max="2" width="2.5703125" style="54" customWidth="1"/>
    <col min="3" max="3" width="23.5703125" style="54" customWidth="1"/>
    <col min="4" max="4" width="1.42578125" style="54" customWidth="1"/>
    <col min="5" max="5" width="105.5703125" style="54" customWidth="1"/>
    <col min="6" max="6" width="11.5703125" style="54"/>
    <col min="7" max="7" width="30.42578125" style="54" bestFit="1" customWidth="1"/>
    <col min="8" max="16384" width="11.5703125" style="54"/>
  </cols>
  <sheetData>
    <row r="1" spans="3:25" ht="0.6" customHeight="1"/>
    <row r="2" spans="3:25" ht="21" customHeight="1">
      <c r="E2" s="27" t="s">
        <v>19</v>
      </c>
    </row>
    <row r="3" spans="3:25" ht="15" customHeight="1">
      <c r="E3" s="26" t="s">
        <v>205</v>
      </c>
    </row>
    <row r="4" spans="3:25" ht="20.100000000000001" customHeight="1">
      <c r="C4" s="25" t="s">
        <v>151</v>
      </c>
    </row>
    <row r="5" spans="3:25" ht="12.6" customHeight="1"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</row>
    <row r="7" spans="3:25" ht="12.75" customHeight="1">
      <c r="C7" s="253" t="s">
        <v>152</v>
      </c>
      <c r="E7" s="222"/>
    </row>
    <row r="8" spans="3:25">
      <c r="C8" s="253"/>
      <c r="E8" s="222"/>
    </row>
    <row r="9" spans="3:25">
      <c r="C9" s="253"/>
      <c r="E9" s="222"/>
    </row>
    <row r="10" spans="3:25">
      <c r="C10" s="70" t="s">
        <v>27</v>
      </c>
      <c r="E10" s="222"/>
    </row>
    <row r="11" spans="3:25">
      <c r="E11" s="222"/>
    </row>
    <row r="12" spans="3:25">
      <c r="E12" s="222"/>
    </row>
    <row r="13" spans="3:25">
      <c r="E13" s="222"/>
    </row>
    <row r="14" spans="3:25">
      <c r="E14" s="222"/>
    </row>
    <row r="15" spans="3:25">
      <c r="E15" s="222"/>
    </row>
    <row r="16" spans="3:25">
      <c r="E16" s="222"/>
    </row>
    <row r="17" spans="5:11">
      <c r="E17" s="222"/>
    </row>
    <row r="18" spans="5:11">
      <c r="E18" s="222"/>
    </row>
    <row r="19" spans="5:11">
      <c r="E19" s="222"/>
    </row>
    <row r="20" spans="5:11">
      <c r="E20" s="222"/>
    </row>
    <row r="21" spans="5:11">
      <c r="E21" s="222"/>
    </row>
    <row r="22" spans="5:11">
      <c r="E22" s="222"/>
    </row>
    <row r="26" spans="5:11">
      <c r="E26" s="223"/>
      <c r="F26" s="224"/>
      <c r="G26" s="224"/>
      <c r="H26" s="224"/>
      <c r="I26" s="224"/>
      <c r="J26" s="224"/>
      <c r="K26" s="224"/>
    </row>
    <row r="40" spans="3:5">
      <c r="E40" s="36"/>
    </row>
    <row r="42" spans="3:5">
      <c r="C42" s="70"/>
    </row>
    <row r="43" spans="3:5">
      <c r="C43" s="70"/>
    </row>
    <row r="44" spans="3:5">
      <c r="C44" s="70"/>
    </row>
  </sheetData>
  <mergeCells count="1">
    <mergeCell ref="C7:C9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30CC6-279B-4312-B227-6607528E53DE}">
  <sheetPr>
    <pageSetUpPr autoPageBreaks="0"/>
  </sheetPr>
  <dimension ref="A1:N20"/>
  <sheetViews>
    <sheetView showGridLines="0" showRowColHeaders="0" zoomScaleNormal="100" workbookViewId="0">
      <selection activeCell="B2" sqref="B2"/>
    </sheetView>
  </sheetViews>
  <sheetFormatPr baseColWidth="10" defaultRowHeight="12.75"/>
  <cols>
    <col min="1" max="1" width="0.42578125" style="54" customWidth="1"/>
    <col min="2" max="2" width="2.5703125" style="54" customWidth="1"/>
    <col min="3" max="3" width="23.5703125" style="54" customWidth="1"/>
    <col min="4" max="4" width="1.42578125" style="54" customWidth="1"/>
    <col min="5" max="5" width="26.7109375" style="205" customWidth="1"/>
    <col min="6" max="6" width="26.7109375" style="212" customWidth="1"/>
    <col min="7" max="8" width="11.42578125" style="205"/>
    <col min="9" max="12" width="11.5703125" style="205" bestFit="1" customWidth="1"/>
    <col min="13" max="13" width="12.42578125" style="205" bestFit="1" customWidth="1"/>
    <col min="14" max="14" width="11.5703125" style="205" bestFit="1" customWidth="1"/>
    <col min="15" max="241" width="11.42578125" style="205"/>
    <col min="242" max="242" width="0.42578125" style="205" customWidth="1"/>
    <col min="243" max="243" width="2.5703125" style="205" customWidth="1"/>
    <col min="244" max="244" width="15.42578125" style="205" customWidth="1"/>
    <col min="245" max="245" width="1.42578125" style="205" customWidth="1"/>
    <col min="246" max="246" width="27.5703125" style="205" customWidth="1"/>
    <col min="247" max="247" width="6.5703125" style="205" customWidth="1"/>
    <col min="248" max="248" width="1.5703125" style="205" customWidth="1"/>
    <col min="249" max="249" width="10.5703125" style="205" customWidth="1"/>
    <col min="250" max="250" width="5.5703125" style="205" customWidth="1"/>
    <col min="251" max="251" width="1.5703125" style="205" customWidth="1"/>
    <col min="252" max="252" width="10.5703125" style="205" customWidth="1"/>
    <col min="253" max="253" width="6.5703125" style="205" customWidth="1"/>
    <col min="254" max="254" width="1.5703125" style="205" customWidth="1"/>
    <col min="255" max="255" width="10.5703125" style="205" customWidth="1"/>
    <col min="256" max="256" width="9.5703125" style="205" customWidth="1"/>
    <col min="257" max="257" width="13.42578125" style="205" bestFit="1" customWidth="1"/>
    <col min="258" max="258" width="7.5703125" style="205" customWidth="1"/>
    <col min="259" max="259" width="11.42578125" style="205"/>
    <col min="260" max="260" width="13.42578125" style="205" bestFit="1" customWidth="1"/>
    <col min="261" max="497" width="11.42578125" style="205"/>
    <col min="498" max="498" width="0.42578125" style="205" customWidth="1"/>
    <col min="499" max="499" width="2.5703125" style="205" customWidth="1"/>
    <col min="500" max="500" width="15.42578125" style="205" customWidth="1"/>
    <col min="501" max="501" width="1.42578125" style="205" customWidth="1"/>
    <col min="502" max="502" width="27.5703125" style="205" customWidth="1"/>
    <col min="503" max="503" width="6.5703125" style="205" customWidth="1"/>
    <col min="504" max="504" width="1.5703125" style="205" customWidth="1"/>
    <col min="505" max="505" width="10.5703125" style="205" customWidth="1"/>
    <col min="506" max="506" width="5.5703125" style="205" customWidth="1"/>
    <col min="507" max="507" width="1.5703125" style="205" customWidth="1"/>
    <col min="508" max="508" width="10.5703125" style="205" customWidth="1"/>
    <col min="509" max="509" width="6.5703125" style="205" customWidth="1"/>
    <col min="510" max="510" width="1.5703125" style="205" customWidth="1"/>
    <col min="511" max="511" width="10.5703125" style="205" customWidth="1"/>
    <col min="512" max="512" width="9.5703125" style="205" customWidth="1"/>
    <col min="513" max="513" width="13.42578125" style="205" bestFit="1" customWidth="1"/>
    <col min="514" max="514" width="7.5703125" style="205" customWidth="1"/>
    <col min="515" max="515" width="11.42578125" style="205"/>
    <col min="516" max="516" width="13.42578125" style="205" bestFit="1" customWidth="1"/>
    <col min="517" max="753" width="11.42578125" style="205"/>
    <col min="754" max="754" width="0.42578125" style="205" customWidth="1"/>
    <col min="755" max="755" width="2.5703125" style="205" customWidth="1"/>
    <col min="756" max="756" width="15.42578125" style="205" customWidth="1"/>
    <col min="757" max="757" width="1.42578125" style="205" customWidth="1"/>
    <col min="758" max="758" width="27.5703125" style="205" customWidth="1"/>
    <col min="759" max="759" width="6.5703125" style="205" customWidth="1"/>
    <col min="760" max="760" width="1.5703125" style="205" customWidth="1"/>
    <col min="761" max="761" width="10.5703125" style="205" customWidth="1"/>
    <col min="762" max="762" width="5.5703125" style="205" customWidth="1"/>
    <col min="763" max="763" width="1.5703125" style="205" customWidth="1"/>
    <col min="764" max="764" width="10.5703125" style="205" customWidth="1"/>
    <col min="765" max="765" width="6.5703125" style="205" customWidth="1"/>
    <col min="766" max="766" width="1.5703125" style="205" customWidth="1"/>
    <col min="767" max="767" width="10.5703125" style="205" customWidth="1"/>
    <col min="768" max="768" width="9.5703125" style="205" customWidth="1"/>
    <col min="769" max="769" width="13.42578125" style="205" bestFit="1" customWidth="1"/>
    <col min="770" max="770" width="7.5703125" style="205" customWidth="1"/>
    <col min="771" max="771" width="11.42578125" style="205"/>
    <col min="772" max="772" width="13.42578125" style="205" bestFit="1" customWidth="1"/>
    <col min="773" max="1009" width="11.42578125" style="205"/>
    <col min="1010" max="1010" width="0.42578125" style="205" customWidth="1"/>
    <col min="1011" max="1011" width="2.5703125" style="205" customWidth="1"/>
    <col min="1012" max="1012" width="15.42578125" style="205" customWidth="1"/>
    <col min="1013" max="1013" width="1.42578125" style="205" customWidth="1"/>
    <col min="1014" max="1014" width="27.5703125" style="205" customWidth="1"/>
    <col min="1015" max="1015" width="6.5703125" style="205" customWidth="1"/>
    <col min="1016" max="1016" width="1.5703125" style="205" customWidth="1"/>
    <col min="1017" max="1017" width="10.5703125" style="205" customWidth="1"/>
    <col min="1018" max="1018" width="5.5703125" style="205" customWidth="1"/>
    <col min="1019" max="1019" width="1.5703125" style="205" customWidth="1"/>
    <col min="1020" max="1020" width="10.5703125" style="205" customWidth="1"/>
    <col min="1021" max="1021" width="6.5703125" style="205" customWidth="1"/>
    <col min="1022" max="1022" width="1.5703125" style="205" customWidth="1"/>
    <col min="1023" max="1023" width="10.5703125" style="205" customWidth="1"/>
    <col min="1024" max="1024" width="9.5703125" style="205" customWidth="1"/>
    <col min="1025" max="1025" width="13.42578125" style="205" bestFit="1" customWidth="1"/>
    <col min="1026" max="1026" width="7.5703125" style="205" customWidth="1"/>
    <col min="1027" max="1027" width="11.42578125" style="205"/>
    <col min="1028" max="1028" width="13.42578125" style="205" bestFit="1" customWidth="1"/>
    <col min="1029" max="1265" width="11.42578125" style="205"/>
    <col min="1266" max="1266" width="0.42578125" style="205" customWidth="1"/>
    <col min="1267" max="1267" width="2.5703125" style="205" customWidth="1"/>
    <col min="1268" max="1268" width="15.42578125" style="205" customWidth="1"/>
    <col min="1269" max="1269" width="1.42578125" style="205" customWidth="1"/>
    <col min="1270" max="1270" width="27.5703125" style="205" customWidth="1"/>
    <col min="1271" max="1271" width="6.5703125" style="205" customWidth="1"/>
    <col min="1272" max="1272" width="1.5703125" style="205" customWidth="1"/>
    <col min="1273" max="1273" width="10.5703125" style="205" customWidth="1"/>
    <col min="1274" max="1274" width="5.5703125" style="205" customWidth="1"/>
    <col min="1275" max="1275" width="1.5703125" style="205" customWidth="1"/>
    <col min="1276" max="1276" width="10.5703125" style="205" customWidth="1"/>
    <col min="1277" max="1277" width="6.5703125" style="205" customWidth="1"/>
    <col min="1278" max="1278" width="1.5703125" style="205" customWidth="1"/>
    <col min="1279" max="1279" width="10.5703125" style="205" customWidth="1"/>
    <col min="1280" max="1280" width="9.5703125" style="205" customWidth="1"/>
    <col min="1281" max="1281" width="13.42578125" style="205" bestFit="1" customWidth="1"/>
    <col min="1282" max="1282" width="7.5703125" style="205" customWidth="1"/>
    <col min="1283" max="1283" width="11.42578125" style="205"/>
    <col min="1284" max="1284" width="13.42578125" style="205" bestFit="1" customWidth="1"/>
    <col min="1285" max="1521" width="11.42578125" style="205"/>
    <col min="1522" max="1522" width="0.42578125" style="205" customWidth="1"/>
    <col min="1523" max="1523" width="2.5703125" style="205" customWidth="1"/>
    <col min="1524" max="1524" width="15.42578125" style="205" customWidth="1"/>
    <col min="1525" max="1525" width="1.42578125" style="205" customWidth="1"/>
    <col min="1526" max="1526" width="27.5703125" style="205" customWidth="1"/>
    <col min="1527" max="1527" width="6.5703125" style="205" customWidth="1"/>
    <col min="1528" max="1528" width="1.5703125" style="205" customWidth="1"/>
    <col min="1529" max="1529" width="10.5703125" style="205" customWidth="1"/>
    <col min="1530" max="1530" width="5.5703125" style="205" customWidth="1"/>
    <col min="1531" max="1531" width="1.5703125" style="205" customWidth="1"/>
    <col min="1532" max="1532" width="10.5703125" style="205" customWidth="1"/>
    <col min="1533" max="1533" width="6.5703125" style="205" customWidth="1"/>
    <col min="1534" max="1534" width="1.5703125" style="205" customWidth="1"/>
    <col min="1535" max="1535" width="10.5703125" style="205" customWidth="1"/>
    <col min="1536" max="1536" width="9.5703125" style="205" customWidth="1"/>
    <col min="1537" max="1537" width="13.42578125" style="205" bestFit="1" customWidth="1"/>
    <col min="1538" max="1538" width="7.5703125" style="205" customWidth="1"/>
    <col min="1539" max="1539" width="11.42578125" style="205"/>
    <col min="1540" max="1540" width="13.42578125" style="205" bestFit="1" customWidth="1"/>
    <col min="1541" max="1777" width="11.42578125" style="205"/>
    <col min="1778" max="1778" width="0.42578125" style="205" customWidth="1"/>
    <col min="1779" max="1779" width="2.5703125" style="205" customWidth="1"/>
    <col min="1780" max="1780" width="15.42578125" style="205" customWidth="1"/>
    <col min="1781" max="1781" width="1.42578125" style="205" customWidth="1"/>
    <col min="1782" max="1782" width="27.5703125" style="205" customWidth="1"/>
    <col min="1783" max="1783" width="6.5703125" style="205" customWidth="1"/>
    <col min="1784" max="1784" width="1.5703125" style="205" customWidth="1"/>
    <col min="1785" max="1785" width="10.5703125" style="205" customWidth="1"/>
    <col min="1786" max="1786" width="5.5703125" style="205" customWidth="1"/>
    <col min="1787" max="1787" width="1.5703125" style="205" customWidth="1"/>
    <col min="1788" max="1788" width="10.5703125" style="205" customWidth="1"/>
    <col min="1789" max="1789" width="6.5703125" style="205" customWidth="1"/>
    <col min="1790" max="1790" width="1.5703125" style="205" customWidth="1"/>
    <col min="1791" max="1791" width="10.5703125" style="205" customWidth="1"/>
    <col min="1792" max="1792" width="9.5703125" style="205" customWidth="1"/>
    <col min="1793" max="1793" width="13.42578125" style="205" bestFit="1" customWidth="1"/>
    <col min="1794" max="1794" width="7.5703125" style="205" customWidth="1"/>
    <col min="1795" max="1795" width="11.42578125" style="205"/>
    <col min="1796" max="1796" width="13.42578125" style="205" bestFit="1" customWidth="1"/>
    <col min="1797" max="2033" width="11.42578125" style="205"/>
    <col min="2034" max="2034" width="0.42578125" style="205" customWidth="1"/>
    <col min="2035" max="2035" width="2.5703125" style="205" customWidth="1"/>
    <col min="2036" max="2036" width="15.42578125" style="205" customWidth="1"/>
    <col min="2037" max="2037" width="1.42578125" style="205" customWidth="1"/>
    <col min="2038" max="2038" width="27.5703125" style="205" customWidth="1"/>
    <col min="2039" max="2039" width="6.5703125" style="205" customWidth="1"/>
    <col min="2040" max="2040" width="1.5703125" style="205" customWidth="1"/>
    <col min="2041" max="2041" width="10.5703125" style="205" customWidth="1"/>
    <col min="2042" max="2042" width="5.5703125" style="205" customWidth="1"/>
    <col min="2043" max="2043" width="1.5703125" style="205" customWidth="1"/>
    <col min="2044" max="2044" width="10.5703125" style="205" customWidth="1"/>
    <col min="2045" max="2045" width="6.5703125" style="205" customWidth="1"/>
    <col min="2046" max="2046" width="1.5703125" style="205" customWidth="1"/>
    <col min="2047" max="2047" width="10.5703125" style="205" customWidth="1"/>
    <col min="2048" max="2048" width="9.5703125" style="205" customWidth="1"/>
    <col min="2049" max="2049" width="13.42578125" style="205" bestFit="1" customWidth="1"/>
    <col min="2050" max="2050" width="7.5703125" style="205" customWidth="1"/>
    <col min="2051" max="2051" width="11.42578125" style="205"/>
    <col min="2052" max="2052" width="13.42578125" style="205" bestFit="1" customWidth="1"/>
    <col min="2053" max="2289" width="11.42578125" style="205"/>
    <col min="2290" max="2290" width="0.42578125" style="205" customWidth="1"/>
    <col min="2291" max="2291" width="2.5703125" style="205" customWidth="1"/>
    <col min="2292" max="2292" width="15.42578125" style="205" customWidth="1"/>
    <col min="2293" max="2293" width="1.42578125" style="205" customWidth="1"/>
    <col min="2294" max="2294" width="27.5703125" style="205" customWidth="1"/>
    <col min="2295" max="2295" width="6.5703125" style="205" customWidth="1"/>
    <col min="2296" max="2296" width="1.5703125" style="205" customWidth="1"/>
    <col min="2297" max="2297" width="10.5703125" style="205" customWidth="1"/>
    <col min="2298" max="2298" width="5.5703125" style="205" customWidth="1"/>
    <col min="2299" max="2299" width="1.5703125" style="205" customWidth="1"/>
    <col min="2300" max="2300" width="10.5703125" style="205" customWidth="1"/>
    <col min="2301" max="2301" width="6.5703125" style="205" customWidth="1"/>
    <col min="2302" max="2302" width="1.5703125" style="205" customWidth="1"/>
    <col min="2303" max="2303" width="10.5703125" style="205" customWidth="1"/>
    <col min="2304" max="2304" width="9.5703125" style="205" customWidth="1"/>
    <col min="2305" max="2305" width="13.42578125" style="205" bestFit="1" customWidth="1"/>
    <col min="2306" max="2306" width="7.5703125" style="205" customWidth="1"/>
    <col min="2307" max="2307" width="11.42578125" style="205"/>
    <col min="2308" max="2308" width="13.42578125" style="205" bestFit="1" customWidth="1"/>
    <col min="2309" max="2545" width="11.42578125" style="205"/>
    <col min="2546" max="2546" width="0.42578125" style="205" customWidth="1"/>
    <col min="2547" max="2547" width="2.5703125" style="205" customWidth="1"/>
    <col min="2548" max="2548" width="15.42578125" style="205" customWidth="1"/>
    <col min="2549" max="2549" width="1.42578125" style="205" customWidth="1"/>
    <col min="2550" max="2550" width="27.5703125" style="205" customWidth="1"/>
    <col min="2551" max="2551" width="6.5703125" style="205" customWidth="1"/>
    <col min="2552" max="2552" width="1.5703125" style="205" customWidth="1"/>
    <col min="2553" max="2553" width="10.5703125" style="205" customWidth="1"/>
    <col min="2554" max="2554" width="5.5703125" style="205" customWidth="1"/>
    <col min="2555" max="2555" width="1.5703125" style="205" customWidth="1"/>
    <col min="2556" max="2556" width="10.5703125" style="205" customWidth="1"/>
    <col min="2557" max="2557" width="6.5703125" style="205" customWidth="1"/>
    <col min="2558" max="2558" width="1.5703125" style="205" customWidth="1"/>
    <col min="2559" max="2559" width="10.5703125" style="205" customWidth="1"/>
    <col min="2560" max="2560" width="9.5703125" style="205" customWidth="1"/>
    <col min="2561" max="2561" width="13.42578125" style="205" bestFit="1" customWidth="1"/>
    <col min="2562" max="2562" width="7.5703125" style="205" customWidth="1"/>
    <col min="2563" max="2563" width="11.42578125" style="205"/>
    <col min="2564" max="2564" width="13.42578125" style="205" bestFit="1" customWidth="1"/>
    <col min="2565" max="2801" width="11.42578125" style="205"/>
    <col min="2802" max="2802" width="0.42578125" style="205" customWidth="1"/>
    <col min="2803" max="2803" width="2.5703125" style="205" customWidth="1"/>
    <col min="2804" max="2804" width="15.42578125" style="205" customWidth="1"/>
    <col min="2805" max="2805" width="1.42578125" style="205" customWidth="1"/>
    <col min="2806" max="2806" width="27.5703125" style="205" customWidth="1"/>
    <col min="2807" max="2807" width="6.5703125" style="205" customWidth="1"/>
    <col min="2808" max="2808" width="1.5703125" style="205" customWidth="1"/>
    <col min="2809" max="2809" width="10.5703125" style="205" customWidth="1"/>
    <col min="2810" max="2810" width="5.5703125" style="205" customWidth="1"/>
    <col min="2811" max="2811" width="1.5703125" style="205" customWidth="1"/>
    <col min="2812" max="2812" width="10.5703125" style="205" customWidth="1"/>
    <col min="2813" max="2813" width="6.5703125" style="205" customWidth="1"/>
    <col min="2814" max="2814" width="1.5703125" style="205" customWidth="1"/>
    <col min="2815" max="2815" width="10.5703125" style="205" customWidth="1"/>
    <col min="2816" max="2816" width="9.5703125" style="205" customWidth="1"/>
    <col min="2817" max="2817" width="13.42578125" style="205" bestFit="1" customWidth="1"/>
    <col min="2818" max="2818" width="7.5703125" style="205" customWidth="1"/>
    <col min="2819" max="2819" width="11.42578125" style="205"/>
    <col min="2820" max="2820" width="13.42578125" style="205" bestFit="1" customWidth="1"/>
    <col min="2821" max="3057" width="11.42578125" style="205"/>
    <col min="3058" max="3058" width="0.42578125" style="205" customWidth="1"/>
    <col min="3059" max="3059" width="2.5703125" style="205" customWidth="1"/>
    <col min="3060" max="3060" width="15.42578125" style="205" customWidth="1"/>
    <col min="3061" max="3061" width="1.42578125" style="205" customWidth="1"/>
    <col min="3062" max="3062" width="27.5703125" style="205" customWidth="1"/>
    <col min="3063" max="3063" width="6.5703125" style="205" customWidth="1"/>
    <col min="3064" max="3064" width="1.5703125" style="205" customWidth="1"/>
    <col min="3065" max="3065" width="10.5703125" style="205" customWidth="1"/>
    <col min="3066" max="3066" width="5.5703125" style="205" customWidth="1"/>
    <col min="3067" max="3067" width="1.5703125" style="205" customWidth="1"/>
    <col min="3068" max="3068" width="10.5703125" style="205" customWidth="1"/>
    <col min="3069" max="3069" width="6.5703125" style="205" customWidth="1"/>
    <col min="3070" max="3070" width="1.5703125" style="205" customWidth="1"/>
    <col min="3071" max="3071" width="10.5703125" style="205" customWidth="1"/>
    <col min="3072" max="3072" width="9.5703125" style="205" customWidth="1"/>
    <col min="3073" max="3073" width="13.42578125" style="205" bestFit="1" customWidth="1"/>
    <col min="3074" max="3074" width="7.5703125" style="205" customWidth="1"/>
    <col min="3075" max="3075" width="11.42578125" style="205"/>
    <col min="3076" max="3076" width="13.42578125" style="205" bestFit="1" customWidth="1"/>
    <col min="3077" max="3313" width="11.42578125" style="205"/>
    <col min="3314" max="3314" width="0.42578125" style="205" customWidth="1"/>
    <col min="3315" max="3315" width="2.5703125" style="205" customWidth="1"/>
    <col min="3316" max="3316" width="15.42578125" style="205" customWidth="1"/>
    <col min="3317" max="3317" width="1.42578125" style="205" customWidth="1"/>
    <col min="3318" max="3318" width="27.5703125" style="205" customWidth="1"/>
    <col min="3319" max="3319" width="6.5703125" style="205" customWidth="1"/>
    <col min="3320" max="3320" width="1.5703125" style="205" customWidth="1"/>
    <col min="3321" max="3321" width="10.5703125" style="205" customWidth="1"/>
    <col min="3322" max="3322" width="5.5703125" style="205" customWidth="1"/>
    <col min="3323" max="3323" width="1.5703125" style="205" customWidth="1"/>
    <col min="3324" max="3324" width="10.5703125" style="205" customWidth="1"/>
    <col min="3325" max="3325" width="6.5703125" style="205" customWidth="1"/>
    <col min="3326" max="3326" width="1.5703125" style="205" customWidth="1"/>
    <col min="3327" max="3327" width="10.5703125" style="205" customWidth="1"/>
    <col min="3328" max="3328" width="9.5703125" style="205" customWidth="1"/>
    <col min="3329" max="3329" width="13.42578125" style="205" bestFit="1" customWidth="1"/>
    <col min="3330" max="3330" width="7.5703125" style="205" customWidth="1"/>
    <col min="3331" max="3331" width="11.42578125" style="205"/>
    <col min="3332" max="3332" width="13.42578125" style="205" bestFit="1" customWidth="1"/>
    <col min="3333" max="3569" width="11.42578125" style="205"/>
    <col min="3570" max="3570" width="0.42578125" style="205" customWidth="1"/>
    <col min="3571" max="3571" width="2.5703125" style="205" customWidth="1"/>
    <col min="3572" max="3572" width="15.42578125" style="205" customWidth="1"/>
    <col min="3573" max="3573" width="1.42578125" style="205" customWidth="1"/>
    <col min="3574" max="3574" width="27.5703125" style="205" customWidth="1"/>
    <col min="3575" max="3575" width="6.5703125" style="205" customWidth="1"/>
    <col min="3576" max="3576" width="1.5703125" style="205" customWidth="1"/>
    <col min="3577" max="3577" width="10.5703125" style="205" customWidth="1"/>
    <col min="3578" max="3578" width="5.5703125" style="205" customWidth="1"/>
    <col min="3579" max="3579" width="1.5703125" style="205" customWidth="1"/>
    <col min="3580" max="3580" width="10.5703125" style="205" customWidth="1"/>
    <col min="3581" max="3581" width="6.5703125" style="205" customWidth="1"/>
    <col min="3582" max="3582" width="1.5703125" style="205" customWidth="1"/>
    <col min="3583" max="3583" width="10.5703125" style="205" customWidth="1"/>
    <col min="3584" max="3584" width="9.5703125" style="205" customWidth="1"/>
    <col min="3585" max="3585" width="13.42578125" style="205" bestFit="1" customWidth="1"/>
    <col min="3586" max="3586" width="7.5703125" style="205" customWidth="1"/>
    <col min="3587" max="3587" width="11.42578125" style="205"/>
    <col min="3588" max="3588" width="13.42578125" style="205" bestFit="1" customWidth="1"/>
    <col min="3589" max="3825" width="11.42578125" style="205"/>
    <col min="3826" max="3826" width="0.42578125" style="205" customWidth="1"/>
    <col min="3827" max="3827" width="2.5703125" style="205" customWidth="1"/>
    <col min="3828" max="3828" width="15.42578125" style="205" customWidth="1"/>
    <col min="3829" max="3829" width="1.42578125" style="205" customWidth="1"/>
    <col min="3830" max="3830" width="27.5703125" style="205" customWidth="1"/>
    <col min="3831" max="3831" width="6.5703125" style="205" customWidth="1"/>
    <col min="3832" max="3832" width="1.5703125" style="205" customWidth="1"/>
    <col min="3833" max="3833" width="10.5703125" style="205" customWidth="1"/>
    <col min="3834" max="3834" width="5.5703125" style="205" customWidth="1"/>
    <col min="3835" max="3835" width="1.5703125" style="205" customWidth="1"/>
    <col min="3836" max="3836" width="10.5703125" style="205" customWidth="1"/>
    <col min="3837" max="3837" width="6.5703125" style="205" customWidth="1"/>
    <col min="3838" max="3838" width="1.5703125" style="205" customWidth="1"/>
    <col min="3839" max="3839" width="10.5703125" style="205" customWidth="1"/>
    <col min="3840" max="3840" width="9.5703125" style="205" customWidth="1"/>
    <col min="3841" max="3841" width="13.42578125" style="205" bestFit="1" customWidth="1"/>
    <col min="3842" max="3842" width="7.5703125" style="205" customWidth="1"/>
    <col min="3843" max="3843" width="11.42578125" style="205"/>
    <col min="3844" max="3844" width="13.42578125" style="205" bestFit="1" customWidth="1"/>
    <col min="3845" max="4081" width="11.42578125" style="205"/>
    <col min="4082" max="4082" width="0.42578125" style="205" customWidth="1"/>
    <col min="4083" max="4083" width="2.5703125" style="205" customWidth="1"/>
    <col min="4084" max="4084" width="15.42578125" style="205" customWidth="1"/>
    <col min="4085" max="4085" width="1.42578125" style="205" customWidth="1"/>
    <col min="4086" max="4086" width="27.5703125" style="205" customWidth="1"/>
    <col min="4087" max="4087" width="6.5703125" style="205" customWidth="1"/>
    <col min="4088" max="4088" width="1.5703125" style="205" customWidth="1"/>
    <col min="4089" max="4089" width="10.5703125" style="205" customWidth="1"/>
    <col min="4090" max="4090" width="5.5703125" style="205" customWidth="1"/>
    <col min="4091" max="4091" width="1.5703125" style="205" customWidth="1"/>
    <col min="4092" max="4092" width="10.5703125" style="205" customWidth="1"/>
    <col min="4093" max="4093" width="6.5703125" style="205" customWidth="1"/>
    <col min="4094" max="4094" width="1.5703125" style="205" customWidth="1"/>
    <col min="4095" max="4095" width="10.5703125" style="205" customWidth="1"/>
    <col min="4096" max="4096" width="9.5703125" style="205" customWidth="1"/>
    <col min="4097" max="4097" width="13.42578125" style="205" bestFit="1" customWidth="1"/>
    <col min="4098" max="4098" width="7.5703125" style="205" customWidth="1"/>
    <col min="4099" max="4099" width="11.42578125" style="205"/>
    <col min="4100" max="4100" width="13.42578125" style="205" bestFit="1" customWidth="1"/>
    <col min="4101" max="4337" width="11.42578125" style="205"/>
    <col min="4338" max="4338" width="0.42578125" style="205" customWidth="1"/>
    <col min="4339" max="4339" width="2.5703125" style="205" customWidth="1"/>
    <col min="4340" max="4340" width="15.42578125" style="205" customWidth="1"/>
    <col min="4341" max="4341" width="1.42578125" style="205" customWidth="1"/>
    <col min="4342" max="4342" width="27.5703125" style="205" customWidth="1"/>
    <col min="4343" max="4343" width="6.5703125" style="205" customWidth="1"/>
    <col min="4344" max="4344" width="1.5703125" style="205" customWidth="1"/>
    <col min="4345" max="4345" width="10.5703125" style="205" customWidth="1"/>
    <col min="4346" max="4346" width="5.5703125" style="205" customWidth="1"/>
    <col min="4347" max="4347" width="1.5703125" style="205" customWidth="1"/>
    <col min="4348" max="4348" width="10.5703125" style="205" customWidth="1"/>
    <col min="4349" max="4349" width="6.5703125" style="205" customWidth="1"/>
    <col min="4350" max="4350" width="1.5703125" style="205" customWidth="1"/>
    <col min="4351" max="4351" width="10.5703125" style="205" customWidth="1"/>
    <col min="4352" max="4352" width="9.5703125" style="205" customWidth="1"/>
    <col min="4353" max="4353" width="13.42578125" style="205" bestFit="1" customWidth="1"/>
    <col min="4354" max="4354" width="7.5703125" style="205" customWidth="1"/>
    <col min="4355" max="4355" width="11.42578125" style="205"/>
    <col min="4356" max="4356" width="13.42578125" style="205" bestFit="1" customWidth="1"/>
    <col min="4357" max="4593" width="11.42578125" style="205"/>
    <col min="4594" max="4594" width="0.42578125" style="205" customWidth="1"/>
    <col min="4595" max="4595" width="2.5703125" style="205" customWidth="1"/>
    <col min="4596" max="4596" width="15.42578125" style="205" customWidth="1"/>
    <col min="4597" max="4597" width="1.42578125" style="205" customWidth="1"/>
    <col min="4598" max="4598" width="27.5703125" style="205" customWidth="1"/>
    <col min="4599" max="4599" width="6.5703125" style="205" customWidth="1"/>
    <col min="4600" max="4600" width="1.5703125" style="205" customWidth="1"/>
    <col min="4601" max="4601" width="10.5703125" style="205" customWidth="1"/>
    <col min="4602" max="4602" width="5.5703125" style="205" customWidth="1"/>
    <col min="4603" max="4603" width="1.5703125" style="205" customWidth="1"/>
    <col min="4604" max="4604" width="10.5703125" style="205" customWidth="1"/>
    <col min="4605" max="4605" width="6.5703125" style="205" customWidth="1"/>
    <col min="4606" max="4606" width="1.5703125" style="205" customWidth="1"/>
    <col min="4607" max="4607" width="10.5703125" style="205" customWidth="1"/>
    <col min="4608" max="4608" width="9.5703125" style="205" customWidth="1"/>
    <col min="4609" max="4609" width="13.42578125" style="205" bestFit="1" customWidth="1"/>
    <col min="4610" max="4610" width="7.5703125" style="205" customWidth="1"/>
    <col min="4611" max="4611" width="11.42578125" style="205"/>
    <col min="4612" max="4612" width="13.42578125" style="205" bestFit="1" customWidth="1"/>
    <col min="4613" max="4849" width="11.42578125" style="205"/>
    <col min="4850" max="4850" width="0.42578125" style="205" customWidth="1"/>
    <col min="4851" max="4851" width="2.5703125" style="205" customWidth="1"/>
    <col min="4852" max="4852" width="15.42578125" style="205" customWidth="1"/>
    <col min="4853" max="4853" width="1.42578125" style="205" customWidth="1"/>
    <col min="4854" max="4854" width="27.5703125" style="205" customWidth="1"/>
    <col min="4855" max="4855" width="6.5703125" style="205" customWidth="1"/>
    <col min="4856" max="4856" width="1.5703125" style="205" customWidth="1"/>
    <col min="4857" max="4857" width="10.5703125" style="205" customWidth="1"/>
    <col min="4858" max="4858" width="5.5703125" style="205" customWidth="1"/>
    <col min="4859" max="4859" width="1.5703125" style="205" customWidth="1"/>
    <col min="4860" max="4860" width="10.5703125" style="205" customWidth="1"/>
    <col min="4861" max="4861" width="6.5703125" style="205" customWidth="1"/>
    <col min="4862" max="4862" width="1.5703125" style="205" customWidth="1"/>
    <col min="4863" max="4863" width="10.5703125" style="205" customWidth="1"/>
    <col min="4864" max="4864" width="9.5703125" style="205" customWidth="1"/>
    <col min="4865" max="4865" width="13.42578125" style="205" bestFit="1" customWidth="1"/>
    <col min="4866" max="4866" width="7.5703125" style="205" customWidth="1"/>
    <col min="4867" max="4867" width="11.42578125" style="205"/>
    <col min="4868" max="4868" width="13.42578125" style="205" bestFit="1" customWidth="1"/>
    <col min="4869" max="5105" width="11.42578125" style="205"/>
    <col min="5106" max="5106" width="0.42578125" style="205" customWidth="1"/>
    <col min="5107" max="5107" width="2.5703125" style="205" customWidth="1"/>
    <col min="5108" max="5108" width="15.42578125" style="205" customWidth="1"/>
    <col min="5109" max="5109" width="1.42578125" style="205" customWidth="1"/>
    <col min="5110" max="5110" width="27.5703125" style="205" customWidth="1"/>
    <col min="5111" max="5111" width="6.5703125" style="205" customWidth="1"/>
    <col min="5112" max="5112" width="1.5703125" style="205" customWidth="1"/>
    <col min="5113" max="5113" width="10.5703125" style="205" customWidth="1"/>
    <col min="5114" max="5114" width="5.5703125" style="205" customWidth="1"/>
    <col min="5115" max="5115" width="1.5703125" style="205" customWidth="1"/>
    <col min="5116" max="5116" width="10.5703125" style="205" customWidth="1"/>
    <col min="5117" max="5117" width="6.5703125" style="205" customWidth="1"/>
    <col min="5118" max="5118" width="1.5703125" style="205" customWidth="1"/>
    <col min="5119" max="5119" width="10.5703125" style="205" customWidth="1"/>
    <col min="5120" max="5120" width="9.5703125" style="205" customWidth="1"/>
    <col min="5121" max="5121" width="13.42578125" style="205" bestFit="1" customWidth="1"/>
    <col min="5122" max="5122" width="7.5703125" style="205" customWidth="1"/>
    <col min="5123" max="5123" width="11.42578125" style="205"/>
    <col min="5124" max="5124" width="13.42578125" style="205" bestFit="1" customWidth="1"/>
    <col min="5125" max="5361" width="11.42578125" style="205"/>
    <col min="5362" max="5362" width="0.42578125" style="205" customWidth="1"/>
    <col min="5363" max="5363" width="2.5703125" style="205" customWidth="1"/>
    <col min="5364" max="5364" width="15.42578125" style="205" customWidth="1"/>
    <col min="5365" max="5365" width="1.42578125" style="205" customWidth="1"/>
    <col min="5366" max="5366" width="27.5703125" style="205" customWidth="1"/>
    <col min="5367" max="5367" width="6.5703125" style="205" customWidth="1"/>
    <col min="5368" max="5368" width="1.5703125" style="205" customWidth="1"/>
    <col min="5369" max="5369" width="10.5703125" style="205" customWidth="1"/>
    <col min="5370" max="5370" width="5.5703125" style="205" customWidth="1"/>
    <col min="5371" max="5371" width="1.5703125" style="205" customWidth="1"/>
    <col min="5372" max="5372" width="10.5703125" style="205" customWidth="1"/>
    <col min="5373" max="5373" width="6.5703125" style="205" customWidth="1"/>
    <col min="5374" max="5374" width="1.5703125" style="205" customWidth="1"/>
    <col min="5375" max="5375" width="10.5703125" style="205" customWidth="1"/>
    <col min="5376" max="5376" width="9.5703125" style="205" customWidth="1"/>
    <col min="5377" max="5377" width="13.42578125" style="205" bestFit="1" customWidth="1"/>
    <col min="5378" max="5378" width="7.5703125" style="205" customWidth="1"/>
    <col min="5379" max="5379" width="11.42578125" style="205"/>
    <col min="5380" max="5380" width="13.42578125" style="205" bestFit="1" customWidth="1"/>
    <col min="5381" max="5617" width="11.42578125" style="205"/>
    <col min="5618" max="5618" width="0.42578125" style="205" customWidth="1"/>
    <col min="5619" max="5619" width="2.5703125" style="205" customWidth="1"/>
    <col min="5620" max="5620" width="15.42578125" style="205" customWidth="1"/>
    <col min="5621" max="5621" width="1.42578125" style="205" customWidth="1"/>
    <col min="5622" max="5622" width="27.5703125" style="205" customWidth="1"/>
    <col min="5623" max="5623" width="6.5703125" style="205" customWidth="1"/>
    <col min="5624" max="5624" width="1.5703125" style="205" customWidth="1"/>
    <col min="5625" max="5625" width="10.5703125" style="205" customWidth="1"/>
    <col min="5626" max="5626" width="5.5703125" style="205" customWidth="1"/>
    <col min="5627" max="5627" width="1.5703125" style="205" customWidth="1"/>
    <col min="5628" max="5628" width="10.5703125" style="205" customWidth="1"/>
    <col min="5629" max="5629" width="6.5703125" style="205" customWidth="1"/>
    <col min="5630" max="5630" width="1.5703125" style="205" customWidth="1"/>
    <col min="5631" max="5631" width="10.5703125" style="205" customWidth="1"/>
    <col min="5632" max="5632" width="9.5703125" style="205" customWidth="1"/>
    <col min="5633" max="5633" width="13.42578125" style="205" bestFit="1" customWidth="1"/>
    <col min="5634" max="5634" width="7.5703125" style="205" customWidth="1"/>
    <col min="5635" max="5635" width="11.42578125" style="205"/>
    <col min="5636" max="5636" width="13.42578125" style="205" bestFit="1" customWidth="1"/>
    <col min="5637" max="5873" width="11.42578125" style="205"/>
    <col min="5874" max="5874" width="0.42578125" style="205" customWidth="1"/>
    <col min="5875" max="5875" width="2.5703125" style="205" customWidth="1"/>
    <col min="5876" max="5876" width="15.42578125" style="205" customWidth="1"/>
    <col min="5877" max="5877" width="1.42578125" style="205" customWidth="1"/>
    <col min="5878" max="5878" width="27.5703125" style="205" customWidth="1"/>
    <col min="5879" max="5879" width="6.5703125" style="205" customWidth="1"/>
    <col min="5880" max="5880" width="1.5703125" style="205" customWidth="1"/>
    <col min="5881" max="5881" width="10.5703125" style="205" customWidth="1"/>
    <col min="5882" max="5882" width="5.5703125" style="205" customWidth="1"/>
    <col min="5883" max="5883" width="1.5703125" style="205" customWidth="1"/>
    <col min="5884" max="5884" width="10.5703125" style="205" customWidth="1"/>
    <col min="5885" max="5885" width="6.5703125" style="205" customWidth="1"/>
    <col min="5886" max="5886" width="1.5703125" style="205" customWidth="1"/>
    <col min="5887" max="5887" width="10.5703125" style="205" customWidth="1"/>
    <col min="5888" max="5888" width="9.5703125" style="205" customWidth="1"/>
    <col min="5889" max="5889" width="13.42578125" style="205" bestFit="1" customWidth="1"/>
    <col min="5890" max="5890" width="7.5703125" style="205" customWidth="1"/>
    <col min="5891" max="5891" width="11.42578125" style="205"/>
    <col min="5892" max="5892" width="13.42578125" style="205" bestFit="1" customWidth="1"/>
    <col min="5893" max="6129" width="11.42578125" style="205"/>
    <col min="6130" max="6130" width="0.42578125" style="205" customWidth="1"/>
    <col min="6131" max="6131" width="2.5703125" style="205" customWidth="1"/>
    <col min="6132" max="6132" width="15.42578125" style="205" customWidth="1"/>
    <col min="6133" max="6133" width="1.42578125" style="205" customWidth="1"/>
    <col min="6134" max="6134" width="27.5703125" style="205" customWidth="1"/>
    <col min="6135" max="6135" width="6.5703125" style="205" customWidth="1"/>
    <col min="6136" max="6136" width="1.5703125" style="205" customWidth="1"/>
    <col min="6137" max="6137" width="10.5703125" style="205" customWidth="1"/>
    <col min="6138" max="6138" width="5.5703125" style="205" customWidth="1"/>
    <col min="6139" max="6139" width="1.5703125" style="205" customWidth="1"/>
    <col min="6140" max="6140" width="10.5703125" style="205" customWidth="1"/>
    <col min="6141" max="6141" width="6.5703125" style="205" customWidth="1"/>
    <col min="6142" max="6142" width="1.5703125" style="205" customWidth="1"/>
    <col min="6143" max="6143" width="10.5703125" style="205" customWidth="1"/>
    <col min="6144" max="6144" width="9.5703125" style="205" customWidth="1"/>
    <col min="6145" max="6145" width="13.42578125" style="205" bestFit="1" customWidth="1"/>
    <col min="6146" max="6146" width="7.5703125" style="205" customWidth="1"/>
    <col min="6147" max="6147" width="11.42578125" style="205"/>
    <col min="6148" max="6148" width="13.42578125" style="205" bestFit="1" customWidth="1"/>
    <col min="6149" max="6385" width="11.42578125" style="205"/>
    <col min="6386" max="6386" width="0.42578125" style="205" customWidth="1"/>
    <col min="6387" max="6387" width="2.5703125" style="205" customWidth="1"/>
    <col min="6388" max="6388" width="15.42578125" style="205" customWidth="1"/>
    <col min="6389" max="6389" width="1.42578125" style="205" customWidth="1"/>
    <col min="6390" max="6390" width="27.5703125" style="205" customWidth="1"/>
    <col min="6391" max="6391" width="6.5703125" style="205" customWidth="1"/>
    <col min="6392" max="6392" width="1.5703125" style="205" customWidth="1"/>
    <col min="6393" max="6393" width="10.5703125" style="205" customWidth="1"/>
    <col min="6394" max="6394" width="5.5703125" style="205" customWidth="1"/>
    <col min="6395" max="6395" width="1.5703125" style="205" customWidth="1"/>
    <col min="6396" max="6396" width="10.5703125" style="205" customWidth="1"/>
    <col min="6397" max="6397" width="6.5703125" style="205" customWidth="1"/>
    <col min="6398" max="6398" width="1.5703125" style="205" customWidth="1"/>
    <col min="6399" max="6399" width="10.5703125" style="205" customWidth="1"/>
    <col min="6400" max="6400" width="9.5703125" style="205" customWidth="1"/>
    <col min="6401" max="6401" width="13.42578125" style="205" bestFit="1" customWidth="1"/>
    <col min="6402" max="6402" width="7.5703125" style="205" customWidth="1"/>
    <col min="6403" max="6403" width="11.42578125" style="205"/>
    <col min="6404" max="6404" width="13.42578125" style="205" bestFit="1" customWidth="1"/>
    <col min="6405" max="6641" width="11.42578125" style="205"/>
    <col min="6642" max="6642" width="0.42578125" style="205" customWidth="1"/>
    <col min="6643" max="6643" width="2.5703125" style="205" customWidth="1"/>
    <col min="6644" max="6644" width="15.42578125" style="205" customWidth="1"/>
    <col min="6645" max="6645" width="1.42578125" style="205" customWidth="1"/>
    <col min="6646" max="6646" width="27.5703125" style="205" customWidth="1"/>
    <col min="6647" max="6647" width="6.5703125" style="205" customWidth="1"/>
    <col min="6648" max="6648" width="1.5703125" style="205" customWidth="1"/>
    <col min="6649" max="6649" width="10.5703125" style="205" customWidth="1"/>
    <col min="6650" max="6650" width="5.5703125" style="205" customWidth="1"/>
    <col min="6651" max="6651" width="1.5703125" style="205" customWidth="1"/>
    <col min="6652" max="6652" width="10.5703125" style="205" customWidth="1"/>
    <col min="6653" max="6653" width="6.5703125" style="205" customWidth="1"/>
    <col min="6654" max="6654" width="1.5703125" style="205" customWidth="1"/>
    <col min="6655" max="6655" width="10.5703125" style="205" customWidth="1"/>
    <col min="6656" max="6656" width="9.5703125" style="205" customWidth="1"/>
    <col min="6657" max="6657" width="13.42578125" style="205" bestFit="1" customWidth="1"/>
    <col min="6658" max="6658" width="7.5703125" style="205" customWidth="1"/>
    <col min="6659" max="6659" width="11.42578125" style="205"/>
    <col min="6660" max="6660" width="13.42578125" style="205" bestFit="1" customWidth="1"/>
    <col min="6661" max="6897" width="11.42578125" style="205"/>
    <col min="6898" max="6898" width="0.42578125" style="205" customWidth="1"/>
    <col min="6899" max="6899" width="2.5703125" style="205" customWidth="1"/>
    <col min="6900" max="6900" width="15.42578125" style="205" customWidth="1"/>
    <col min="6901" max="6901" width="1.42578125" style="205" customWidth="1"/>
    <col min="6902" max="6902" width="27.5703125" style="205" customWidth="1"/>
    <col min="6903" max="6903" width="6.5703125" style="205" customWidth="1"/>
    <col min="6904" max="6904" width="1.5703125" style="205" customWidth="1"/>
    <col min="6905" max="6905" width="10.5703125" style="205" customWidth="1"/>
    <col min="6906" max="6906" width="5.5703125" style="205" customWidth="1"/>
    <col min="6907" max="6907" width="1.5703125" style="205" customWidth="1"/>
    <col min="6908" max="6908" width="10.5703125" style="205" customWidth="1"/>
    <col min="6909" max="6909" width="6.5703125" style="205" customWidth="1"/>
    <col min="6910" max="6910" width="1.5703125" style="205" customWidth="1"/>
    <col min="6911" max="6911" width="10.5703125" style="205" customWidth="1"/>
    <col min="6912" max="6912" width="9.5703125" style="205" customWidth="1"/>
    <col min="6913" max="6913" width="13.42578125" style="205" bestFit="1" customWidth="1"/>
    <col min="6914" max="6914" width="7.5703125" style="205" customWidth="1"/>
    <col min="6915" max="6915" width="11.42578125" style="205"/>
    <col min="6916" max="6916" width="13.42578125" style="205" bestFit="1" customWidth="1"/>
    <col min="6917" max="7153" width="11.42578125" style="205"/>
    <col min="7154" max="7154" width="0.42578125" style="205" customWidth="1"/>
    <col min="7155" max="7155" width="2.5703125" style="205" customWidth="1"/>
    <col min="7156" max="7156" width="15.42578125" style="205" customWidth="1"/>
    <col min="7157" max="7157" width="1.42578125" style="205" customWidth="1"/>
    <col min="7158" max="7158" width="27.5703125" style="205" customWidth="1"/>
    <col min="7159" max="7159" width="6.5703125" style="205" customWidth="1"/>
    <col min="7160" max="7160" width="1.5703125" style="205" customWidth="1"/>
    <col min="7161" max="7161" width="10.5703125" style="205" customWidth="1"/>
    <col min="7162" max="7162" width="5.5703125" style="205" customWidth="1"/>
    <col min="7163" max="7163" width="1.5703125" style="205" customWidth="1"/>
    <col min="7164" max="7164" width="10.5703125" style="205" customWidth="1"/>
    <col min="7165" max="7165" width="6.5703125" style="205" customWidth="1"/>
    <col min="7166" max="7166" width="1.5703125" style="205" customWidth="1"/>
    <col min="7167" max="7167" width="10.5703125" style="205" customWidth="1"/>
    <col min="7168" max="7168" width="9.5703125" style="205" customWidth="1"/>
    <col min="7169" max="7169" width="13.42578125" style="205" bestFit="1" customWidth="1"/>
    <col min="7170" max="7170" width="7.5703125" style="205" customWidth="1"/>
    <col min="7171" max="7171" width="11.42578125" style="205"/>
    <col min="7172" max="7172" width="13.42578125" style="205" bestFit="1" customWidth="1"/>
    <col min="7173" max="7409" width="11.42578125" style="205"/>
    <col min="7410" max="7410" width="0.42578125" style="205" customWidth="1"/>
    <col min="7411" max="7411" width="2.5703125" style="205" customWidth="1"/>
    <col min="7412" max="7412" width="15.42578125" style="205" customWidth="1"/>
    <col min="7413" max="7413" width="1.42578125" style="205" customWidth="1"/>
    <col min="7414" max="7414" width="27.5703125" style="205" customWidth="1"/>
    <col min="7415" max="7415" width="6.5703125" style="205" customWidth="1"/>
    <col min="7416" max="7416" width="1.5703125" style="205" customWidth="1"/>
    <col min="7417" max="7417" width="10.5703125" style="205" customWidth="1"/>
    <col min="7418" max="7418" width="5.5703125" style="205" customWidth="1"/>
    <col min="7419" max="7419" width="1.5703125" style="205" customWidth="1"/>
    <col min="7420" max="7420" width="10.5703125" style="205" customWidth="1"/>
    <col min="7421" max="7421" width="6.5703125" style="205" customWidth="1"/>
    <col min="7422" max="7422" width="1.5703125" style="205" customWidth="1"/>
    <col min="7423" max="7423" width="10.5703125" style="205" customWidth="1"/>
    <col min="7424" max="7424" width="9.5703125" style="205" customWidth="1"/>
    <col min="7425" max="7425" width="13.42578125" style="205" bestFit="1" customWidth="1"/>
    <col min="7426" max="7426" width="7.5703125" style="205" customWidth="1"/>
    <col min="7427" max="7427" width="11.42578125" style="205"/>
    <col min="7428" max="7428" width="13.42578125" style="205" bestFit="1" customWidth="1"/>
    <col min="7429" max="7665" width="11.42578125" style="205"/>
    <col min="7666" max="7666" width="0.42578125" style="205" customWidth="1"/>
    <col min="7667" max="7667" width="2.5703125" style="205" customWidth="1"/>
    <col min="7668" max="7668" width="15.42578125" style="205" customWidth="1"/>
    <col min="7669" max="7669" width="1.42578125" style="205" customWidth="1"/>
    <col min="7670" max="7670" width="27.5703125" style="205" customWidth="1"/>
    <col min="7671" max="7671" width="6.5703125" style="205" customWidth="1"/>
    <col min="7672" max="7672" width="1.5703125" style="205" customWidth="1"/>
    <col min="7673" max="7673" width="10.5703125" style="205" customWidth="1"/>
    <col min="7674" max="7674" width="5.5703125" style="205" customWidth="1"/>
    <col min="7675" max="7675" width="1.5703125" style="205" customWidth="1"/>
    <col min="7676" max="7676" width="10.5703125" style="205" customWidth="1"/>
    <col min="7677" max="7677" width="6.5703125" style="205" customWidth="1"/>
    <col min="7678" max="7678" width="1.5703125" style="205" customWidth="1"/>
    <col min="7679" max="7679" width="10.5703125" style="205" customWidth="1"/>
    <col min="7680" max="7680" width="9.5703125" style="205" customWidth="1"/>
    <col min="7681" max="7681" width="13.42578125" style="205" bestFit="1" customWidth="1"/>
    <col min="7682" max="7682" width="7.5703125" style="205" customWidth="1"/>
    <col min="7683" max="7683" width="11.42578125" style="205"/>
    <col min="7684" max="7684" width="13.42578125" style="205" bestFit="1" customWidth="1"/>
    <col min="7685" max="7921" width="11.42578125" style="205"/>
    <col min="7922" max="7922" width="0.42578125" style="205" customWidth="1"/>
    <col min="7923" max="7923" width="2.5703125" style="205" customWidth="1"/>
    <col min="7924" max="7924" width="15.42578125" style="205" customWidth="1"/>
    <col min="7925" max="7925" width="1.42578125" style="205" customWidth="1"/>
    <col min="7926" max="7926" width="27.5703125" style="205" customWidth="1"/>
    <col min="7927" max="7927" width="6.5703125" style="205" customWidth="1"/>
    <col min="7928" max="7928" width="1.5703125" style="205" customWidth="1"/>
    <col min="7929" max="7929" width="10.5703125" style="205" customWidth="1"/>
    <col min="7930" max="7930" width="5.5703125" style="205" customWidth="1"/>
    <col min="7931" max="7931" width="1.5703125" style="205" customWidth="1"/>
    <col min="7932" max="7932" width="10.5703125" style="205" customWidth="1"/>
    <col min="7933" max="7933" width="6.5703125" style="205" customWidth="1"/>
    <col min="7934" max="7934" width="1.5703125" style="205" customWidth="1"/>
    <col min="7935" max="7935" width="10.5703125" style="205" customWidth="1"/>
    <col min="7936" max="7936" width="9.5703125" style="205" customWidth="1"/>
    <col min="7937" max="7937" width="13.42578125" style="205" bestFit="1" customWidth="1"/>
    <col min="7938" max="7938" width="7.5703125" style="205" customWidth="1"/>
    <col min="7939" max="7939" width="11.42578125" style="205"/>
    <col min="7940" max="7940" width="13.42578125" style="205" bestFit="1" customWidth="1"/>
    <col min="7941" max="8177" width="11.42578125" style="205"/>
    <col min="8178" max="8178" width="0.42578125" style="205" customWidth="1"/>
    <col min="8179" max="8179" width="2.5703125" style="205" customWidth="1"/>
    <col min="8180" max="8180" width="15.42578125" style="205" customWidth="1"/>
    <col min="8181" max="8181" width="1.42578125" style="205" customWidth="1"/>
    <col min="8182" max="8182" width="27.5703125" style="205" customWidth="1"/>
    <col min="8183" max="8183" width="6.5703125" style="205" customWidth="1"/>
    <col min="8184" max="8184" width="1.5703125" style="205" customWidth="1"/>
    <col min="8185" max="8185" width="10.5703125" style="205" customWidth="1"/>
    <col min="8186" max="8186" width="5.5703125" style="205" customWidth="1"/>
    <col min="8187" max="8187" width="1.5703125" style="205" customWidth="1"/>
    <col min="8188" max="8188" width="10.5703125" style="205" customWidth="1"/>
    <col min="8189" max="8189" width="6.5703125" style="205" customWidth="1"/>
    <col min="8190" max="8190" width="1.5703125" style="205" customWidth="1"/>
    <col min="8191" max="8191" width="10.5703125" style="205" customWidth="1"/>
    <col min="8192" max="8192" width="9.5703125" style="205" customWidth="1"/>
    <col min="8193" max="8193" width="13.42578125" style="205" bestFit="1" customWidth="1"/>
    <col min="8194" max="8194" width="7.5703125" style="205" customWidth="1"/>
    <col min="8195" max="8195" width="11.42578125" style="205"/>
    <col min="8196" max="8196" width="13.42578125" style="205" bestFit="1" customWidth="1"/>
    <col min="8197" max="8433" width="11.42578125" style="205"/>
    <col min="8434" max="8434" width="0.42578125" style="205" customWidth="1"/>
    <col min="8435" max="8435" width="2.5703125" style="205" customWidth="1"/>
    <col min="8436" max="8436" width="15.42578125" style="205" customWidth="1"/>
    <col min="8437" max="8437" width="1.42578125" style="205" customWidth="1"/>
    <col min="8438" max="8438" width="27.5703125" style="205" customWidth="1"/>
    <col min="8439" max="8439" width="6.5703125" style="205" customWidth="1"/>
    <col min="8440" max="8440" width="1.5703125" style="205" customWidth="1"/>
    <col min="8441" max="8441" width="10.5703125" style="205" customWidth="1"/>
    <col min="8442" max="8442" width="5.5703125" style="205" customWidth="1"/>
    <col min="8443" max="8443" width="1.5703125" style="205" customWidth="1"/>
    <col min="8444" max="8444" width="10.5703125" style="205" customWidth="1"/>
    <col min="8445" max="8445" width="6.5703125" style="205" customWidth="1"/>
    <col min="8446" max="8446" width="1.5703125" style="205" customWidth="1"/>
    <col min="8447" max="8447" width="10.5703125" style="205" customWidth="1"/>
    <col min="8448" max="8448" width="9.5703125" style="205" customWidth="1"/>
    <col min="8449" max="8449" width="13.42578125" style="205" bestFit="1" customWidth="1"/>
    <col min="8450" max="8450" width="7.5703125" style="205" customWidth="1"/>
    <col min="8451" max="8451" width="11.42578125" style="205"/>
    <col min="8452" max="8452" width="13.42578125" style="205" bestFit="1" customWidth="1"/>
    <col min="8453" max="8689" width="11.42578125" style="205"/>
    <col min="8690" max="8690" width="0.42578125" style="205" customWidth="1"/>
    <col min="8691" max="8691" width="2.5703125" style="205" customWidth="1"/>
    <col min="8692" max="8692" width="15.42578125" style="205" customWidth="1"/>
    <col min="8693" max="8693" width="1.42578125" style="205" customWidth="1"/>
    <col min="8694" max="8694" width="27.5703125" style="205" customWidth="1"/>
    <col min="8695" max="8695" width="6.5703125" style="205" customWidth="1"/>
    <col min="8696" max="8696" width="1.5703125" style="205" customWidth="1"/>
    <col min="8697" max="8697" width="10.5703125" style="205" customWidth="1"/>
    <col min="8698" max="8698" width="5.5703125" style="205" customWidth="1"/>
    <col min="8699" max="8699" width="1.5703125" style="205" customWidth="1"/>
    <col min="8700" max="8700" width="10.5703125" style="205" customWidth="1"/>
    <col min="8701" max="8701" width="6.5703125" style="205" customWidth="1"/>
    <col min="8702" max="8702" width="1.5703125" style="205" customWidth="1"/>
    <col min="8703" max="8703" width="10.5703125" style="205" customWidth="1"/>
    <col min="8704" max="8704" width="9.5703125" style="205" customWidth="1"/>
    <col min="8705" max="8705" width="13.42578125" style="205" bestFit="1" customWidth="1"/>
    <col min="8706" max="8706" width="7.5703125" style="205" customWidth="1"/>
    <col min="8707" max="8707" width="11.42578125" style="205"/>
    <col min="8708" max="8708" width="13.42578125" style="205" bestFit="1" customWidth="1"/>
    <col min="8709" max="8945" width="11.42578125" style="205"/>
    <col min="8946" max="8946" width="0.42578125" style="205" customWidth="1"/>
    <col min="8947" max="8947" width="2.5703125" style="205" customWidth="1"/>
    <col min="8948" max="8948" width="15.42578125" style="205" customWidth="1"/>
    <col min="8949" max="8949" width="1.42578125" style="205" customWidth="1"/>
    <col min="8950" max="8950" width="27.5703125" style="205" customWidth="1"/>
    <col min="8951" max="8951" width="6.5703125" style="205" customWidth="1"/>
    <col min="8952" max="8952" width="1.5703125" style="205" customWidth="1"/>
    <col min="8953" max="8953" width="10.5703125" style="205" customWidth="1"/>
    <col min="8954" max="8954" width="5.5703125" style="205" customWidth="1"/>
    <col min="8955" max="8955" width="1.5703125" style="205" customWidth="1"/>
    <col min="8956" max="8956" width="10.5703125" style="205" customWidth="1"/>
    <col min="8957" max="8957" width="6.5703125" style="205" customWidth="1"/>
    <col min="8958" max="8958" width="1.5703125" style="205" customWidth="1"/>
    <col min="8959" max="8959" width="10.5703125" style="205" customWidth="1"/>
    <col min="8960" max="8960" width="9.5703125" style="205" customWidth="1"/>
    <col min="8961" max="8961" width="13.42578125" style="205" bestFit="1" customWidth="1"/>
    <col min="8962" max="8962" width="7.5703125" style="205" customWidth="1"/>
    <col min="8963" max="8963" width="11.42578125" style="205"/>
    <col min="8964" max="8964" width="13.42578125" style="205" bestFit="1" customWidth="1"/>
    <col min="8965" max="9201" width="11.42578125" style="205"/>
    <col min="9202" max="9202" width="0.42578125" style="205" customWidth="1"/>
    <col min="9203" max="9203" width="2.5703125" style="205" customWidth="1"/>
    <col min="9204" max="9204" width="15.42578125" style="205" customWidth="1"/>
    <col min="9205" max="9205" width="1.42578125" style="205" customWidth="1"/>
    <col min="9206" max="9206" width="27.5703125" style="205" customWidth="1"/>
    <col min="9207" max="9207" width="6.5703125" style="205" customWidth="1"/>
    <col min="9208" max="9208" width="1.5703125" style="205" customWidth="1"/>
    <col min="9209" max="9209" width="10.5703125" style="205" customWidth="1"/>
    <col min="9210" max="9210" width="5.5703125" style="205" customWidth="1"/>
    <col min="9211" max="9211" width="1.5703125" style="205" customWidth="1"/>
    <col min="9212" max="9212" width="10.5703125" style="205" customWidth="1"/>
    <col min="9213" max="9213" width="6.5703125" style="205" customWidth="1"/>
    <col min="9214" max="9214" width="1.5703125" style="205" customWidth="1"/>
    <col min="9215" max="9215" width="10.5703125" style="205" customWidth="1"/>
    <col min="9216" max="9216" width="9.5703125" style="205" customWidth="1"/>
    <col min="9217" max="9217" width="13.42578125" style="205" bestFit="1" customWidth="1"/>
    <col min="9218" max="9218" width="7.5703125" style="205" customWidth="1"/>
    <col min="9219" max="9219" width="11.42578125" style="205"/>
    <col min="9220" max="9220" width="13.42578125" style="205" bestFit="1" customWidth="1"/>
    <col min="9221" max="9457" width="11.42578125" style="205"/>
    <col min="9458" max="9458" width="0.42578125" style="205" customWidth="1"/>
    <col min="9459" max="9459" width="2.5703125" style="205" customWidth="1"/>
    <col min="9460" max="9460" width="15.42578125" style="205" customWidth="1"/>
    <col min="9461" max="9461" width="1.42578125" style="205" customWidth="1"/>
    <col min="9462" max="9462" width="27.5703125" style="205" customWidth="1"/>
    <col min="9463" max="9463" width="6.5703125" style="205" customWidth="1"/>
    <col min="9464" max="9464" width="1.5703125" style="205" customWidth="1"/>
    <col min="9465" max="9465" width="10.5703125" style="205" customWidth="1"/>
    <col min="9466" max="9466" width="5.5703125" style="205" customWidth="1"/>
    <col min="9467" max="9467" width="1.5703125" style="205" customWidth="1"/>
    <col min="9468" max="9468" width="10.5703125" style="205" customWidth="1"/>
    <col min="9469" max="9469" width="6.5703125" style="205" customWidth="1"/>
    <col min="9470" max="9470" width="1.5703125" style="205" customWidth="1"/>
    <col min="9471" max="9471" width="10.5703125" style="205" customWidth="1"/>
    <col min="9472" max="9472" width="9.5703125" style="205" customWidth="1"/>
    <col min="9473" max="9473" width="13.42578125" style="205" bestFit="1" customWidth="1"/>
    <col min="9474" max="9474" width="7.5703125" style="205" customWidth="1"/>
    <col min="9475" max="9475" width="11.42578125" style="205"/>
    <col min="9476" max="9476" width="13.42578125" style="205" bestFit="1" customWidth="1"/>
    <col min="9477" max="9713" width="11.42578125" style="205"/>
    <col min="9714" max="9714" width="0.42578125" style="205" customWidth="1"/>
    <col min="9715" max="9715" width="2.5703125" style="205" customWidth="1"/>
    <col min="9716" max="9716" width="15.42578125" style="205" customWidth="1"/>
    <col min="9717" max="9717" width="1.42578125" style="205" customWidth="1"/>
    <col min="9718" max="9718" width="27.5703125" style="205" customWidth="1"/>
    <col min="9719" max="9719" width="6.5703125" style="205" customWidth="1"/>
    <col min="9720" max="9720" width="1.5703125" style="205" customWidth="1"/>
    <col min="9721" max="9721" width="10.5703125" style="205" customWidth="1"/>
    <col min="9722" max="9722" width="5.5703125" style="205" customWidth="1"/>
    <col min="9723" max="9723" width="1.5703125" style="205" customWidth="1"/>
    <col min="9724" max="9724" width="10.5703125" style="205" customWidth="1"/>
    <col min="9725" max="9725" width="6.5703125" style="205" customWidth="1"/>
    <col min="9726" max="9726" width="1.5703125" style="205" customWidth="1"/>
    <col min="9727" max="9727" width="10.5703125" style="205" customWidth="1"/>
    <col min="9728" max="9728" width="9.5703125" style="205" customWidth="1"/>
    <col min="9729" max="9729" width="13.42578125" style="205" bestFit="1" customWidth="1"/>
    <col min="9730" max="9730" width="7.5703125" style="205" customWidth="1"/>
    <col min="9731" max="9731" width="11.42578125" style="205"/>
    <col min="9732" max="9732" width="13.42578125" style="205" bestFit="1" customWidth="1"/>
    <col min="9733" max="9969" width="11.42578125" style="205"/>
    <col min="9970" max="9970" width="0.42578125" style="205" customWidth="1"/>
    <col min="9971" max="9971" width="2.5703125" style="205" customWidth="1"/>
    <col min="9972" max="9972" width="15.42578125" style="205" customWidth="1"/>
    <col min="9973" max="9973" width="1.42578125" style="205" customWidth="1"/>
    <col min="9974" max="9974" width="27.5703125" style="205" customWidth="1"/>
    <col min="9975" max="9975" width="6.5703125" style="205" customWidth="1"/>
    <col min="9976" max="9976" width="1.5703125" style="205" customWidth="1"/>
    <col min="9977" max="9977" width="10.5703125" style="205" customWidth="1"/>
    <col min="9978" max="9978" width="5.5703125" style="205" customWidth="1"/>
    <col min="9979" max="9979" width="1.5703125" style="205" customWidth="1"/>
    <col min="9980" max="9980" width="10.5703125" style="205" customWidth="1"/>
    <col min="9981" max="9981" width="6.5703125" style="205" customWidth="1"/>
    <col min="9982" max="9982" width="1.5703125" style="205" customWidth="1"/>
    <col min="9983" max="9983" width="10.5703125" style="205" customWidth="1"/>
    <col min="9984" max="9984" width="9.5703125" style="205" customWidth="1"/>
    <col min="9985" max="9985" width="13.42578125" style="205" bestFit="1" customWidth="1"/>
    <col min="9986" max="9986" width="7.5703125" style="205" customWidth="1"/>
    <col min="9987" max="9987" width="11.42578125" style="205"/>
    <col min="9988" max="9988" width="13.42578125" style="205" bestFit="1" customWidth="1"/>
    <col min="9989" max="10225" width="11.42578125" style="205"/>
    <col min="10226" max="10226" width="0.42578125" style="205" customWidth="1"/>
    <col min="10227" max="10227" width="2.5703125" style="205" customWidth="1"/>
    <col min="10228" max="10228" width="15.42578125" style="205" customWidth="1"/>
    <col min="10229" max="10229" width="1.42578125" style="205" customWidth="1"/>
    <col min="10230" max="10230" width="27.5703125" style="205" customWidth="1"/>
    <col min="10231" max="10231" width="6.5703125" style="205" customWidth="1"/>
    <col min="10232" max="10232" width="1.5703125" style="205" customWidth="1"/>
    <col min="10233" max="10233" width="10.5703125" style="205" customWidth="1"/>
    <col min="10234" max="10234" width="5.5703125" style="205" customWidth="1"/>
    <col min="10235" max="10235" width="1.5703125" style="205" customWidth="1"/>
    <col min="10236" max="10236" width="10.5703125" style="205" customWidth="1"/>
    <col min="10237" max="10237" width="6.5703125" style="205" customWidth="1"/>
    <col min="10238" max="10238" width="1.5703125" style="205" customWidth="1"/>
    <col min="10239" max="10239" width="10.5703125" style="205" customWidth="1"/>
    <col min="10240" max="10240" width="9.5703125" style="205" customWidth="1"/>
    <col min="10241" max="10241" width="13.42578125" style="205" bestFit="1" customWidth="1"/>
    <col min="10242" max="10242" width="7.5703125" style="205" customWidth="1"/>
    <col min="10243" max="10243" width="11.42578125" style="205"/>
    <col min="10244" max="10244" width="13.42578125" style="205" bestFit="1" customWidth="1"/>
    <col min="10245" max="10481" width="11.42578125" style="205"/>
    <col min="10482" max="10482" width="0.42578125" style="205" customWidth="1"/>
    <col min="10483" max="10483" width="2.5703125" style="205" customWidth="1"/>
    <col min="10484" max="10484" width="15.42578125" style="205" customWidth="1"/>
    <col min="10485" max="10485" width="1.42578125" style="205" customWidth="1"/>
    <col min="10486" max="10486" width="27.5703125" style="205" customWidth="1"/>
    <col min="10487" max="10487" width="6.5703125" style="205" customWidth="1"/>
    <col min="10488" max="10488" width="1.5703125" style="205" customWidth="1"/>
    <col min="10489" max="10489" width="10.5703125" style="205" customWidth="1"/>
    <col min="10490" max="10490" width="5.5703125" style="205" customWidth="1"/>
    <col min="10491" max="10491" width="1.5703125" style="205" customWidth="1"/>
    <col min="10492" max="10492" width="10.5703125" style="205" customWidth="1"/>
    <col min="10493" max="10493" width="6.5703125" style="205" customWidth="1"/>
    <col min="10494" max="10494" width="1.5703125" style="205" customWidth="1"/>
    <col min="10495" max="10495" width="10.5703125" style="205" customWidth="1"/>
    <col min="10496" max="10496" width="9.5703125" style="205" customWidth="1"/>
    <col min="10497" max="10497" width="13.42578125" style="205" bestFit="1" customWidth="1"/>
    <col min="10498" max="10498" width="7.5703125" style="205" customWidth="1"/>
    <col min="10499" max="10499" width="11.42578125" style="205"/>
    <col min="10500" max="10500" width="13.42578125" style="205" bestFit="1" customWidth="1"/>
    <col min="10501" max="10737" width="11.42578125" style="205"/>
    <col min="10738" max="10738" width="0.42578125" style="205" customWidth="1"/>
    <col min="10739" max="10739" width="2.5703125" style="205" customWidth="1"/>
    <col min="10740" max="10740" width="15.42578125" style="205" customWidth="1"/>
    <col min="10741" max="10741" width="1.42578125" style="205" customWidth="1"/>
    <col min="10742" max="10742" width="27.5703125" style="205" customWidth="1"/>
    <col min="10743" max="10743" width="6.5703125" style="205" customWidth="1"/>
    <col min="10744" max="10744" width="1.5703125" style="205" customWidth="1"/>
    <col min="10745" max="10745" width="10.5703125" style="205" customWidth="1"/>
    <col min="10746" max="10746" width="5.5703125" style="205" customWidth="1"/>
    <col min="10747" max="10747" width="1.5703125" style="205" customWidth="1"/>
    <col min="10748" max="10748" width="10.5703125" style="205" customWidth="1"/>
    <col min="10749" max="10749" width="6.5703125" style="205" customWidth="1"/>
    <col min="10750" max="10750" width="1.5703125" style="205" customWidth="1"/>
    <col min="10751" max="10751" width="10.5703125" style="205" customWidth="1"/>
    <col min="10752" max="10752" width="9.5703125" style="205" customWidth="1"/>
    <col min="10753" max="10753" width="13.42578125" style="205" bestFit="1" customWidth="1"/>
    <col min="10754" max="10754" width="7.5703125" style="205" customWidth="1"/>
    <col min="10755" max="10755" width="11.42578125" style="205"/>
    <col min="10756" max="10756" width="13.42578125" style="205" bestFit="1" customWidth="1"/>
    <col min="10757" max="10993" width="11.42578125" style="205"/>
    <col min="10994" max="10994" width="0.42578125" style="205" customWidth="1"/>
    <col min="10995" max="10995" width="2.5703125" style="205" customWidth="1"/>
    <col min="10996" max="10996" width="15.42578125" style="205" customWidth="1"/>
    <col min="10997" max="10997" width="1.42578125" style="205" customWidth="1"/>
    <col min="10998" max="10998" width="27.5703125" style="205" customWidth="1"/>
    <col min="10999" max="10999" width="6.5703125" style="205" customWidth="1"/>
    <col min="11000" max="11000" width="1.5703125" style="205" customWidth="1"/>
    <col min="11001" max="11001" width="10.5703125" style="205" customWidth="1"/>
    <col min="11002" max="11002" width="5.5703125" style="205" customWidth="1"/>
    <col min="11003" max="11003" width="1.5703125" style="205" customWidth="1"/>
    <col min="11004" max="11004" width="10.5703125" style="205" customWidth="1"/>
    <col min="11005" max="11005" width="6.5703125" style="205" customWidth="1"/>
    <col min="11006" max="11006" width="1.5703125" style="205" customWidth="1"/>
    <col min="11007" max="11007" width="10.5703125" style="205" customWidth="1"/>
    <col min="11008" max="11008" width="9.5703125" style="205" customWidth="1"/>
    <col min="11009" max="11009" width="13.42578125" style="205" bestFit="1" customWidth="1"/>
    <col min="11010" max="11010" width="7.5703125" style="205" customWidth="1"/>
    <col min="11011" max="11011" width="11.42578125" style="205"/>
    <col min="11012" max="11012" width="13.42578125" style="205" bestFit="1" customWidth="1"/>
    <col min="11013" max="11249" width="11.42578125" style="205"/>
    <col min="11250" max="11250" width="0.42578125" style="205" customWidth="1"/>
    <col min="11251" max="11251" width="2.5703125" style="205" customWidth="1"/>
    <col min="11252" max="11252" width="15.42578125" style="205" customWidth="1"/>
    <col min="11253" max="11253" width="1.42578125" style="205" customWidth="1"/>
    <col min="11254" max="11254" width="27.5703125" style="205" customWidth="1"/>
    <col min="11255" max="11255" width="6.5703125" style="205" customWidth="1"/>
    <col min="11256" max="11256" width="1.5703125" style="205" customWidth="1"/>
    <col min="11257" max="11257" width="10.5703125" style="205" customWidth="1"/>
    <col min="11258" max="11258" width="5.5703125" style="205" customWidth="1"/>
    <col min="11259" max="11259" width="1.5703125" style="205" customWidth="1"/>
    <col min="11260" max="11260" width="10.5703125" style="205" customWidth="1"/>
    <col min="11261" max="11261" width="6.5703125" style="205" customWidth="1"/>
    <col min="11262" max="11262" width="1.5703125" style="205" customWidth="1"/>
    <col min="11263" max="11263" width="10.5703125" style="205" customWidth="1"/>
    <col min="11264" max="11264" width="9.5703125" style="205" customWidth="1"/>
    <col min="11265" max="11265" width="13.42578125" style="205" bestFit="1" customWidth="1"/>
    <col min="11266" max="11266" width="7.5703125" style="205" customWidth="1"/>
    <col min="11267" max="11267" width="11.42578125" style="205"/>
    <col min="11268" max="11268" width="13.42578125" style="205" bestFit="1" customWidth="1"/>
    <col min="11269" max="11505" width="11.42578125" style="205"/>
    <col min="11506" max="11506" width="0.42578125" style="205" customWidth="1"/>
    <col min="11507" max="11507" width="2.5703125" style="205" customWidth="1"/>
    <col min="11508" max="11508" width="15.42578125" style="205" customWidth="1"/>
    <col min="11509" max="11509" width="1.42578125" style="205" customWidth="1"/>
    <col min="11510" max="11510" width="27.5703125" style="205" customWidth="1"/>
    <col min="11511" max="11511" width="6.5703125" style="205" customWidth="1"/>
    <col min="11512" max="11512" width="1.5703125" style="205" customWidth="1"/>
    <col min="11513" max="11513" width="10.5703125" style="205" customWidth="1"/>
    <col min="11514" max="11514" width="5.5703125" style="205" customWidth="1"/>
    <col min="11515" max="11515" width="1.5703125" style="205" customWidth="1"/>
    <col min="11516" max="11516" width="10.5703125" style="205" customWidth="1"/>
    <col min="11517" max="11517" width="6.5703125" style="205" customWidth="1"/>
    <col min="11518" max="11518" width="1.5703125" style="205" customWidth="1"/>
    <col min="11519" max="11519" width="10.5703125" style="205" customWidth="1"/>
    <col min="11520" max="11520" width="9.5703125" style="205" customWidth="1"/>
    <col min="11521" max="11521" width="13.42578125" style="205" bestFit="1" customWidth="1"/>
    <col min="11522" max="11522" width="7.5703125" style="205" customWidth="1"/>
    <col min="11523" max="11523" width="11.42578125" style="205"/>
    <col min="11524" max="11524" width="13.42578125" style="205" bestFit="1" customWidth="1"/>
    <col min="11525" max="11761" width="11.42578125" style="205"/>
    <col min="11762" max="11762" width="0.42578125" style="205" customWidth="1"/>
    <col min="11763" max="11763" width="2.5703125" style="205" customWidth="1"/>
    <col min="11764" max="11764" width="15.42578125" style="205" customWidth="1"/>
    <col min="11765" max="11765" width="1.42578125" style="205" customWidth="1"/>
    <col min="11766" max="11766" width="27.5703125" style="205" customWidth="1"/>
    <col min="11767" max="11767" width="6.5703125" style="205" customWidth="1"/>
    <col min="11768" max="11768" width="1.5703125" style="205" customWidth="1"/>
    <col min="11769" max="11769" width="10.5703125" style="205" customWidth="1"/>
    <col min="11770" max="11770" width="5.5703125" style="205" customWidth="1"/>
    <col min="11771" max="11771" width="1.5703125" style="205" customWidth="1"/>
    <col min="11772" max="11772" width="10.5703125" style="205" customWidth="1"/>
    <col min="11773" max="11773" width="6.5703125" style="205" customWidth="1"/>
    <col min="11774" max="11774" width="1.5703125" style="205" customWidth="1"/>
    <col min="11775" max="11775" width="10.5703125" style="205" customWidth="1"/>
    <col min="11776" max="11776" width="9.5703125" style="205" customWidth="1"/>
    <col min="11777" max="11777" width="13.42578125" style="205" bestFit="1" customWidth="1"/>
    <col min="11778" max="11778" width="7.5703125" style="205" customWidth="1"/>
    <col min="11779" max="11779" width="11.42578125" style="205"/>
    <col min="11780" max="11780" width="13.42578125" style="205" bestFit="1" customWidth="1"/>
    <col min="11781" max="12017" width="11.42578125" style="205"/>
    <col min="12018" max="12018" width="0.42578125" style="205" customWidth="1"/>
    <col min="12019" max="12019" width="2.5703125" style="205" customWidth="1"/>
    <col min="12020" max="12020" width="15.42578125" style="205" customWidth="1"/>
    <col min="12021" max="12021" width="1.42578125" style="205" customWidth="1"/>
    <col min="12022" max="12022" width="27.5703125" style="205" customWidth="1"/>
    <col min="12023" max="12023" width="6.5703125" style="205" customWidth="1"/>
    <col min="12024" max="12024" width="1.5703125" style="205" customWidth="1"/>
    <col min="12025" max="12025" width="10.5703125" style="205" customWidth="1"/>
    <col min="12026" max="12026" width="5.5703125" style="205" customWidth="1"/>
    <col min="12027" max="12027" width="1.5703125" style="205" customWidth="1"/>
    <col min="12028" max="12028" width="10.5703125" style="205" customWidth="1"/>
    <col min="12029" max="12029" width="6.5703125" style="205" customWidth="1"/>
    <col min="12030" max="12030" width="1.5703125" style="205" customWidth="1"/>
    <col min="12031" max="12031" width="10.5703125" style="205" customWidth="1"/>
    <col min="12032" max="12032" width="9.5703125" style="205" customWidth="1"/>
    <col min="12033" max="12033" width="13.42578125" style="205" bestFit="1" customWidth="1"/>
    <col min="12034" max="12034" width="7.5703125" style="205" customWidth="1"/>
    <col min="12035" max="12035" width="11.42578125" style="205"/>
    <col min="12036" max="12036" width="13.42578125" style="205" bestFit="1" customWidth="1"/>
    <col min="12037" max="12273" width="11.42578125" style="205"/>
    <col min="12274" max="12274" width="0.42578125" style="205" customWidth="1"/>
    <col min="12275" max="12275" width="2.5703125" style="205" customWidth="1"/>
    <col min="12276" max="12276" width="15.42578125" style="205" customWidth="1"/>
    <col min="12277" max="12277" width="1.42578125" style="205" customWidth="1"/>
    <col min="12278" max="12278" width="27.5703125" style="205" customWidth="1"/>
    <col min="12279" max="12279" width="6.5703125" style="205" customWidth="1"/>
    <col min="12280" max="12280" width="1.5703125" style="205" customWidth="1"/>
    <col min="12281" max="12281" width="10.5703125" style="205" customWidth="1"/>
    <col min="12282" max="12282" width="5.5703125" style="205" customWidth="1"/>
    <col min="12283" max="12283" width="1.5703125" style="205" customWidth="1"/>
    <col min="12284" max="12284" width="10.5703125" style="205" customWidth="1"/>
    <col min="12285" max="12285" width="6.5703125" style="205" customWidth="1"/>
    <col min="12286" max="12286" width="1.5703125" style="205" customWidth="1"/>
    <col min="12287" max="12287" width="10.5703125" style="205" customWidth="1"/>
    <col min="12288" max="12288" width="9.5703125" style="205" customWidth="1"/>
    <col min="12289" max="12289" width="13.42578125" style="205" bestFit="1" customWidth="1"/>
    <col min="12290" max="12290" width="7.5703125" style="205" customWidth="1"/>
    <col min="12291" max="12291" width="11.42578125" style="205"/>
    <col min="12292" max="12292" width="13.42578125" style="205" bestFit="1" customWidth="1"/>
    <col min="12293" max="12529" width="11.42578125" style="205"/>
    <col min="12530" max="12530" width="0.42578125" style="205" customWidth="1"/>
    <col min="12531" max="12531" width="2.5703125" style="205" customWidth="1"/>
    <col min="12532" max="12532" width="15.42578125" style="205" customWidth="1"/>
    <col min="12533" max="12533" width="1.42578125" style="205" customWidth="1"/>
    <col min="12534" max="12534" width="27.5703125" style="205" customWidth="1"/>
    <col min="12535" max="12535" width="6.5703125" style="205" customWidth="1"/>
    <col min="12536" max="12536" width="1.5703125" style="205" customWidth="1"/>
    <col min="12537" max="12537" width="10.5703125" style="205" customWidth="1"/>
    <col min="12538" max="12538" width="5.5703125" style="205" customWidth="1"/>
    <col min="12539" max="12539" width="1.5703125" style="205" customWidth="1"/>
    <col min="12540" max="12540" width="10.5703125" style="205" customWidth="1"/>
    <col min="12541" max="12541" width="6.5703125" style="205" customWidth="1"/>
    <col min="12542" max="12542" width="1.5703125" style="205" customWidth="1"/>
    <col min="12543" max="12543" width="10.5703125" style="205" customWidth="1"/>
    <col min="12544" max="12544" width="9.5703125" style="205" customWidth="1"/>
    <col min="12545" max="12545" width="13.42578125" style="205" bestFit="1" customWidth="1"/>
    <col min="12546" max="12546" width="7.5703125" style="205" customWidth="1"/>
    <col min="12547" max="12547" width="11.42578125" style="205"/>
    <col min="12548" max="12548" width="13.42578125" style="205" bestFit="1" customWidth="1"/>
    <col min="12549" max="12785" width="11.42578125" style="205"/>
    <col min="12786" max="12786" width="0.42578125" style="205" customWidth="1"/>
    <col min="12787" max="12787" width="2.5703125" style="205" customWidth="1"/>
    <col min="12788" max="12788" width="15.42578125" style="205" customWidth="1"/>
    <col min="12789" max="12789" width="1.42578125" style="205" customWidth="1"/>
    <col min="12790" max="12790" width="27.5703125" style="205" customWidth="1"/>
    <col min="12791" max="12791" width="6.5703125" style="205" customWidth="1"/>
    <col min="12792" max="12792" width="1.5703125" style="205" customWidth="1"/>
    <col min="12793" max="12793" width="10.5703125" style="205" customWidth="1"/>
    <col min="12794" max="12794" width="5.5703125" style="205" customWidth="1"/>
    <col min="12795" max="12795" width="1.5703125" style="205" customWidth="1"/>
    <col min="12796" max="12796" width="10.5703125" style="205" customWidth="1"/>
    <col min="12797" max="12797" width="6.5703125" style="205" customWidth="1"/>
    <col min="12798" max="12798" width="1.5703125" style="205" customWidth="1"/>
    <col min="12799" max="12799" width="10.5703125" style="205" customWidth="1"/>
    <col min="12800" max="12800" width="9.5703125" style="205" customWidth="1"/>
    <col min="12801" max="12801" width="13.42578125" style="205" bestFit="1" customWidth="1"/>
    <col min="12802" max="12802" width="7.5703125" style="205" customWidth="1"/>
    <col min="12803" max="12803" width="11.42578125" style="205"/>
    <col min="12804" max="12804" width="13.42578125" style="205" bestFit="1" customWidth="1"/>
    <col min="12805" max="13041" width="11.42578125" style="205"/>
    <col min="13042" max="13042" width="0.42578125" style="205" customWidth="1"/>
    <col min="13043" max="13043" width="2.5703125" style="205" customWidth="1"/>
    <col min="13044" max="13044" width="15.42578125" style="205" customWidth="1"/>
    <col min="13045" max="13045" width="1.42578125" style="205" customWidth="1"/>
    <col min="13046" max="13046" width="27.5703125" style="205" customWidth="1"/>
    <col min="13047" max="13047" width="6.5703125" style="205" customWidth="1"/>
    <col min="13048" max="13048" width="1.5703125" style="205" customWidth="1"/>
    <col min="13049" max="13049" width="10.5703125" style="205" customWidth="1"/>
    <col min="13050" max="13050" width="5.5703125" style="205" customWidth="1"/>
    <col min="13051" max="13051" width="1.5703125" style="205" customWidth="1"/>
    <col min="13052" max="13052" width="10.5703125" style="205" customWidth="1"/>
    <col min="13053" max="13053" width="6.5703125" style="205" customWidth="1"/>
    <col min="13054" max="13054" width="1.5703125" style="205" customWidth="1"/>
    <col min="13055" max="13055" width="10.5703125" style="205" customWidth="1"/>
    <col min="13056" max="13056" width="9.5703125" style="205" customWidth="1"/>
    <col min="13057" max="13057" width="13.42578125" style="205" bestFit="1" customWidth="1"/>
    <col min="13058" max="13058" width="7.5703125" style="205" customWidth="1"/>
    <col min="13059" max="13059" width="11.42578125" style="205"/>
    <col min="13060" max="13060" width="13.42578125" style="205" bestFit="1" customWidth="1"/>
    <col min="13061" max="13297" width="11.42578125" style="205"/>
    <col min="13298" max="13298" width="0.42578125" style="205" customWidth="1"/>
    <col min="13299" max="13299" width="2.5703125" style="205" customWidth="1"/>
    <col min="13300" max="13300" width="15.42578125" style="205" customWidth="1"/>
    <col min="13301" max="13301" width="1.42578125" style="205" customWidth="1"/>
    <col min="13302" max="13302" width="27.5703125" style="205" customWidth="1"/>
    <col min="13303" max="13303" width="6.5703125" style="205" customWidth="1"/>
    <col min="13304" max="13304" width="1.5703125" style="205" customWidth="1"/>
    <col min="13305" max="13305" width="10.5703125" style="205" customWidth="1"/>
    <col min="13306" max="13306" width="5.5703125" style="205" customWidth="1"/>
    <col min="13307" max="13307" width="1.5703125" style="205" customWidth="1"/>
    <col min="13308" max="13308" width="10.5703125" style="205" customWidth="1"/>
    <col min="13309" max="13309" width="6.5703125" style="205" customWidth="1"/>
    <col min="13310" max="13310" width="1.5703125" style="205" customWidth="1"/>
    <col min="13311" max="13311" width="10.5703125" style="205" customWidth="1"/>
    <col min="13312" max="13312" width="9.5703125" style="205" customWidth="1"/>
    <col min="13313" max="13313" width="13.42578125" style="205" bestFit="1" customWidth="1"/>
    <col min="13314" max="13314" width="7.5703125" style="205" customWidth="1"/>
    <col min="13315" max="13315" width="11.42578125" style="205"/>
    <col min="13316" max="13316" width="13.42578125" style="205" bestFit="1" customWidth="1"/>
    <col min="13317" max="13553" width="11.42578125" style="205"/>
    <col min="13554" max="13554" width="0.42578125" style="205" customWidth="1"/>
    <col min="13555" max="13555" width="2.5703125" style="205" customWidth="1"/>
    <col min="13556" max="13556" width="15.42578125" style="205" customWidth="1"/>
    <col min="13557" max="13557" width="1.42578125" style="205" customWidth="1"/>
    <col min="13558" max="13558" width="27.5703125" style="205" customWidth="1"/>
    <col min="13559" max="13559" width="6.5703125" style="205" customWidth="1"/>
    <col min="13560" max="13560" width="1.5703125" style="205" customWidth="1"/>
    <col min="13561" max="13561" width="10.5703125" style="205" customWidth="1"/>
    <col min="13562" max="13562" width="5.5703125" style="205" customWidth="1"/>
    <col min="13563" max="13563" width="1.5703125" style="205" customWidth="1"/>
    <col min="13564" max="13564" width="10.5703125" style="205" customWidth="1"/>
    <col min="13565" max="13565" width="6.5703125" style="205" customWidth="1"/>
    <col min="13566" max="13566" width="1.5703125" style="205" customWidth="1"/>
    <col min="13567" max="13567" width="10.5703125" style="205" customWidth="1"/>
    <col min="13568" max="13568" width="9.5703125" style="205" customWidth="1"/>
    <col min="13569" max="13569" width="13.42578125" style="205" bestFit="1" customWidth="1"/>
    <col min="13570" max="13570" width="7.5703125" style="205" customWidth="1"/>
    <col min="13571" max="13571" width="11.42578125" style="205"/>
    <col min="13572" max="13572" width="13.42578125" style="205" bestFit="1" customWidth="1"/>
    <col min="13573" max="13809" width="11.42578125" style="205"/>
    <col min="13810" max="13810" width="0.42578125" style="205" customWidth="1"/>
    <col min="13811" max="13811" width="2.5703125" style="205" customWidth="1"/>
    <col min="13812" max="13812" width="15.42578125" style="205" customWidth="1"/>
    <col min="13813" max="13813" width="1.42578125" style="205" customWidth="1"/>
    <col min="13814" max="13814" width="27.5703125" style="205" customWidth="1"/>
    <col min="13815" max="13815" width="6.5703125" style="205" customWidth="1"/>
    <col min="13816" max="13816" width="1.5703125" style="205" customWidth="1"/>
    <col min="13817" max="13817" width="10.5703125" style="205" customWidth="1"/>
    <col min="13818" max="13818" width="5.5703125" style="205" customWidth="1"/>
    <col min="13819" max="13819" width="1.5703125" style="205" customWidth="1"/>
    <col min="13820" max="13820" width="10.5703125" style="205" customWidth="1"/>
    <col min="13821" max="13821" width="6.5703125" style="205" customWidth="1"/>
    <col min="13822" max="13822" width="1.5703125" style="205" customWidth="1"/>
    <col min="13823" max="13823" width="10.5703125" style="205" customWidth="1"/>
    <col min="13824" max="13824" width="9.5703125" style="205" customWidth="1"/>
    <col min="13825" max="13825" width="13.42578125" style="205" bestFit="1" customWidth="1"/>
    <col min="13826" max="13826" width="7.5703125" style="205" customWidth="1"/>
    <col min="13827" max="13827" width="11.42578125" style="205"/>
    <col min="13828" max="13828" width="13.42578125" style="205" bestFit="1" customWidth="1"/>
    <col min="13829" max="14065" width="11.42578125" style="205"/>
    <col min="14066" max="14066" width="0.42578125" style="205" customWidth="1"/>
    <col min="14067" max="14067" width="2.5703125" style="205" customWidth="1"/>
    <col min="14068" max="14068" width="15.42578125" style="205" customWidth="1"/>
    <col min="14069" max="14069" width="1.42578125" style="205" customWidth="1"/>
    <col min="14070" max="14070" width="27.5703125" style="205" customWidth="1"/>
    <col min="14071" max="14071" width="6.5703125" style="205" customWidth="1"/>
    <col min="14072" max="14072" width="1.5703125" style="205" customWidth="1"/>
    <col min="14073" max="14073" width="10.5703125" style="205" customWidth="1"/>
    <col min="14074" max="14074" width="5.5703125" style="205" customWidth="1"/>
    <col min="14075" max="14075" width="1.5703125" style="205" customWidth="1"/>
    <col min="14076" max="14076" width="10.5703125" style="205" customWidth="1"/>
    <col min="14077" max="14077" width="6.5703125" style="205" customWidth="1"/>
    <col min="14078" max="14078" width="1.5703125" style="205" customWidth="1"/>
    <col min="14079" max="14079" width="10.5703125" style="205" customWidth="1"/>
    <col min="14080" max="14080" width="9.5703125" style="205" customWidth="1"/>
    <col min="14081" max="14081" width="13.42578125" style="205" bestFit="1" customWidth="1"/>
    <col min="14082" max="14082" width="7.5703125" style="205" customWidth="1"/>
    <col min="14083" max="14083" width="11.42578125" style="205"/>
    <col min="14084" max="14084" width="13.42578125" style="205" bestFit="1" customWidth="1"/>
    <col min="14085" max="14321" width="11.42578125" style="205"/>
    <col min="14322" max="14322" width="0.42578125" style="205" customWidth="1"/>
    <col min="14323" max="14323" width="2.5703125" style="205" customWidth="1"/>
    <col min="14324" max="14324" width="15.42578125" style="205" customWidth="1"/>
    <col min="14325" max="14325" width="1.42578125" style="205" customWidth="1"/>
    <col min="14326" max="14326" width="27.5703125" style="205" customWidth="1"/>
    <col min="14327" max="14327" width="6.5703125" style="205" customWidth="1"/>
    <col min="14328" max="14328" width="1.5703125" style="205" customWidth="1"/>
    <col min="14329" max="14329" width="10.5703125" style="205" customWidth="1"/>
    <col min="14330" max="14330" width="5.5703125" style="205" customWidth="1"/>
    <col min="14331" max="14331" width="1.5703125" style="205" customWidth="1"/>
    <col min="14332" max="14332" width="10.5703125" style="205" customWidth="1"/>
    <col min="14333" max="14333" width="6.5703125" style="205" customWidth="1"/>
    <col min="14334" max="14334" width="1.5703125" style="205" customWidth="1"/>
    <col min="14335" max="14335" width="10.5703125" style="205" customWidth="1"/>
    <col min="14336" max="14336" width="9.5703125" style="205" customWidth="1"/>
    <col min="14337" max="14337" width="13.42578125" style="205" bestFit="1" customWidth="1"/>
    <col min="14338" max="14338" width="7.5703125" style="205" customWidth="1"/>
    <col min="14339" max="14339" width="11.42578125" style="205"/>
    <col min="14340" max="14340" width="13.42578125" style="205" bestFit="1" customWidth="1"/>
    <col min="14341" max="14577" width="11.42578125" style="205"/>
    <col min="14578" max="14578" width="0.42578125" style="205" customWidth="1"/>
    <col min="14579" max="14579" width="2.5703125" style="205" customWidth="1"/>
    <col min="14580" max="14580" width="15.42578125" style="205" customWidth="1"/>
    <col min="14581" max="14581" width="1.42578125" style="205" customWidth="1"/>
    <col min="14582" max="14582" width="27.5703125" style="205" customWidth="1"/>
    <col min="14583" max="14583" width="6.5703125" style="205" customWidth="1"/>
    <col min="14584" max="14584" width="1.5703125" style="205" customWidth="1"/>
    <col min="14585" max="14585" width="10.5703125" style="205" customWidth="1"/>
    <col min="14586" max="14586" width="5.5703125" style="205" customWidth="1"/>
    <col min="14587" max="14587" width="1.5703125" style="205" customWidth="1"/>
    <col min="14588" max="14588" width="10.5703125" style="205" customWidth="1"/>
    <col min="14589" max="14589" width="6.5703125" style="205" customWidth="1"/>
    <col min="14590" max="14590" width="1.5703125" style="205" customWidth="1"/>
    <col min="14591" max="14591" width="10.5703125" style="205" customWidth="1"/>
    <col min="14592" max="14592" width="9.5703125" style="205" customWidth="1"/>
    <col min="14593" max="14593" width="13.42578125" style="205" bestFit="1" customWidth="1"/>
    <col min="14594" max="14594" width="7.5703125" style="205" customWidth="1"/>
    <col min="14595" max="14595" width="11.42578125" style="205"/>
    <col min="14596" max="14596" width="13.42578125" style="205" bestFit="1" customWidth="1"/>
    <col min="14597" max="14833" width="11.42578125" style="205"/>
    <col min="14834" max="14834" width="0.42578125" style="205" customWidth="1"/>
    <col min="14835" max="14835" width="2.5703125" style="205" customWidth="1"/>
    <col min="14836" max="14836" width="15.42578125" style="205" customWidth="1"/>
    <col min="14837" max="14837" width="1.42578125" style="205" customWidth="1"/>
    <col min="14838" max="14838" width="27.5703125" style="205" customWidth="1"/>
    <col min="14839" max="14839" width="6.5703125" style="205" customWidth="1"/>
    <col min="14840" max="14840" width="1.5703125" style="205" customWidth="1"/>
    <col min="14841" max="14841" width="10.5703125" style="205" customWidth="1"/>
    <col min="14842" max="14842" width="5.5703125" style="205" customWidth="1"/>
    <col min="14843" max="14843" width="1.5703125" style="205" customWidth="1"/>
    <col min="14844" max="14844" width="10.5703125" style="205" customWidth="1"/>
    <col min="14845" max="14845" width="6.5703125" style="205" customWidth="1"/>
    <col min="14846" max="14846" width="1.5703125" style="205" customWidth="1"/>
    <col min="14847" max="14847" width="10.5703125" style="205" customWidth="1"/>
    <col min="14848" max="14848" width="9.5703125" style="205" customWidth="1"/>
    <col min="14849" max="14849" width="13.42578125" style="205" bestFit="1" customWidth="1"/>
    <col min="14850" max="14850" width="7.5703125" style="205" customWidth="1"/>
    <col min="14851" max="14851" width="11.42578125" style="205"/>
    <col min="14852" max="14852" width="13.42578125" style="205" bestFit="1" customWidth="1"/>
    <col min="14853" max="15089" width="11.42578125" style="205"/>
    <col min="15090" max="15090" width="0.42578125" style="205" customWidth="1"/>
    <col min="15091" max="15091" width="2.5703125" style="205" customWidth="1"/>
    <col min="15092" max="15092" width="15.42578125" style="205" customWidth="1"/>
    <col min="15093" max="15093" width="1.42578125" style="205" customWidth="1"/>
    <col min="15094" max="15094" width="27.5703125" style="205" customWidth="1"/>
    <col min="15095" max="15095" width="6.5703125" style="205" customWidth="1"/>
    <col min="15096" max="15096" width="1.5703125" style="205" customWidth="1"/>
    <col min="15097" max="15097" width="10.5703125" style="205" customWidth="1"/>
    <col min="15098" max="15098" width="5.5703125" style="205" customWidth="1"/>
    <col min="15099" max="15099" width="1.5703125" style="205" customWidth="1"/>
    <col min="15100" max="15100" width="10.5703125" style="205" customWidth="1"/>
    <col min="15101" max="15101" width="6.5703125" style="205" customWidth="1"/>
    <col min="15102" max="15102" width="1.5703125" style="205" customWidth="1"/>
    <col min="15103" max="15103" width="10.5703125" style="205" customWidth="1"/>
    <col min="15104" max="15104" width="9.5703125" style="205" customWidth="1"/>
    <col min="15105" max="15105" width="13.42578125" style="205" bestFit="1" customWidth="1"/>
    <col min="15106" max="15106" width="7.5703125" style="205" customWidth="1"/>
    <col min="15107" max="15107" width="11.42578125" style="205"/>
    <col min="15108" max="15108" width="13.42578125" style="205" bestFit="1" customWidth="1"/>
    <col min="15109" max="15345" width="11.42578125" style="205"/>
    <col min="15346" max="15346" width="0.42578125" style="205" customWidth="1"/>
    <col min="15347" max="15347" width="2.5703125" style="205" customWidth="1"/>
    <col min="15348" max="15348" width="15.42578125" style="205" customWidth="1"/>
    <col min="15349" max="15349" width="1.42578125" style="205" customWidth="1"/>
    <col min="15350" max="15350" width="27.5703125" style="205" customWidth="1"/>
    <col min="15351" max="15351" width="6.5703125" style="205" customWidth="1"/>
    <col min="15352" max="15352" width="1.5703125" style="205" customWidth="1"/>
    <col min="15353" max="15353" width="10.5703125" style="205" customWidth="1"/>
    <col min="15354" max="15354" width="5.5703125" style="205" customWidth="1"/>
    <col min="15355" max="15355" width="1.5703125" style="205" customWidth="1"/>
    <col min="15356" max="15356" width="10.5703125" style="205" customWidth="1"/>
    <col min="15357" max="15357" width="6.5703125" style="205" customWidth="1"/>
    <col min="15358" max="15358" width="1.5703125" style="205" customWidth="1"/>
    <col min="15359" max="15359" width="10.5703125" style="205" customWidth="1"/>
    <col min="15360" max="15360" width="9.5703125" style="205" customWidth="1"/>
    <col min="15361" max="15361" width="13.42578125" style="205" bestFit="1" customWidth="1"/>
    <col min="15362" max="15362" width="7.5703125" style="205" customWidth="1"/>
    <col min="15363" max="15363" width="11.42578125" style="205"/>
    <col min="15364" max="15364" width="13.42578125" style="205" bestFit="1" customWidth="1"/>
    <col min="15365" max="15601" width="11.42578125" style="205"/>
    <col min="15602" max="15602" width="0.42578125" style="205" customWidth="1"/>
    <col min="15603" max="15603" width="2.5703125" style="205" customWidth="1"/>
    <col min="15604" max="15604" width="15.42578125" style="205" customWidth="1"/>
    <col min="15605" max="15605" width="1.42578125" style="205" customWidth="1"/>
    <col min="15606" max="15606" width="27.5703125" style="205" customWidth="1"/>
    <col min="15607" max="15607" width="6.5703125" style="205" customWidth="1"/>
    <col min="15608" max="15608" width="1.5703125" style="205" customWidth="1"/>
    <col min="15609" max="15609" width="10.5703125" style="205" customWidth="1"/>
    <col min="15610" max="15610" width="5.5703125" style="205" customWidth="1"/>
    <col min="15611" max="15611" width="1.5703125" style="205" customWidth="1"/>
    <col min="15612" max="15612" width="10.5703125" style="205" customWidth="1"/>
    <col min="15613" max="15613" width="6.5703125" style="205" customWidth="1"/>
    <col min="15614" max="15614" width="1.5703125" style="205" customWidth="1"/>
    <col min="15615" max="15615" width="10.5703125" style="205" customWidth="1"/>
    <col min="15616" max="15616" width="9.5703125" style="205" customWidth="1"/>
    <col min="15617" max="15617" width="13.42578125" style="205" bestFit="1" customWidth="1"/>
    <col min="15618" max="15618" width="7.5703125" style="205" customWidth="1"/>
    <col min="15619" max="15619" width="11.42578125" style="205"/>
    <col min="15620" max="15620" width="13.42578125" style="205" bestFit="1" customWidth="1"/>
    <col min="15621" max="15857" width="11.42578125" style="205"/>
    <col min="15858" max="15858" width="0.42578125" style="205" customWidth="1"/>
    <col min="15859" max="15859" width="2.5703125" style="205" customWidth="1"/>
    <col min="15860" max="15860" width="15.42578125" style="205" customWidth="1"/>
    <col min="15861" max="15861" width="1.42578125" style="205" customWidth="1"/>
    <col min="15862" max="15862" width="27.5703125" style="205" customWidth="1"/>
    <col min="15863" max="15863" width="6.5703125" style="205" customWidth="1"/>
    <col min="15864" max="15864" width="1.5703125" style="205" customWidth="1"/>
    <col min="15865" max="15865" width="10.5703125" style="205" customWidth="1"/>
    <col min="15866" max="15866" width="5.5703125" style="205" customWidth="1"/>
    <col min="15867" max="15867" width="1.5703125" style="205" customWidth="1"/>
    <col min="15868" max="15868" width="10.5703125" style="205" customWidth="1"/>
    <col min="15869" max="15869" width="6.5703125" style="205" customWidth="1"/>
    <col min="15870" max="15870" width="1.5703125" style="205" customWidth="1"/>
    <col min="15871" max="15871" width="10.5703125" style="205" customWidth="1"/>
    <col min="15872" max="15872" width="9.5703125" style="205" customWidth="1"/>
    <col min="15873" max="15873" width="13.42578125" style="205" bestFit="1" customWidth="1"/>
    <col min="15874" max="15874" width="7.5703125" style="205" customWidth="1"/>
    <col min="15875" max="15875" width="11.42578125" style="205"/>
    <col min="15876" max="15876" width="13.42578125" style="205" bestFit="1" customWidth="1"/>
    <col min="15877" max="16113" width="11.42578125" style="205"/>
    <col min="16114" max="16114" width="0.42578125" style="205" customWidth="1"/>
    <col min="16115" max="16115" width="2.5703125" style="205" customWidth="1"/>
    <col min="16116" max="16116" width="15.42578125" style="205" customWidth="1"/>
    <col min="16117" max="16117" width="1.42578125" style="205" customWidth="1"/>
    <col min="16118" max="16118" width="27.5703125" style="205" customWidth="1"/>
    <col min="16119" max="16119" width="6.5703125" style="205" customWidth="1"/>
    <col min="16120" max="16120" width="1.5703125" style="205" customWidth="1"/>
    <col min="16121" max="16121" width="10.5703125" style="205" customWidth="1"/>
    <col min="16122" max="16122" width="5.5703125" style="205" customWidth="1"/>
    <col min="16123" max="16123" width="1.5703125" style="205" customWidth="1"/>
    <col min="16124" max="16124" width="10.5703125" style="205" customWidth="1"/>
    <col min="16125" max="16125" width="6.5703125" style="205" customWidth="1"/>
    <col min="16126" max="16126" width="1.5703125" style="205" customWidth="1"/>
    <col min="16127" max="16127" width="10.5703125" style="205" customWidth="1"/>
    <col min="16128" max="16128" width="9.5703125" style="205" customWidth="1"/>
    <col min="16129" max="16129" width="13.42578125" style="205" bestFit="1" customWidth="1"/>
    <col min="16130" max="16130" width="7.5703125" style="205" customWidth="1"/>
    <col min="16131" max="16131" width="11.42578125" style="205"/>
    <col min="16132" max="16132" width="13.42578125" style="205" bestFit="1" customWidth="1"/>
    <col min="16133" max="16384" width="11.42578125" style="205"/>
  </cols>
  <sheetData>
    <row r="1" spans="1:14" s="54" customFormat="1" ht="0.75" customHeight="1"/>
    <row r="2" spans="1:14" s="54" customFormat="1" ht="21" customHeight="1">
      <c r="E2" s="65"/>
      <c r="G2" s="27" t="s">
        <v>19</v>
      </c>
    </row>
    <row r="3" spans="1:14" s="54" customFormat="1" ht="15" customHeight="1">
      <c r="E3" s="62"/>
      <c r="F3" s="62"/>
      <c r="G3" s="43" t="s">
        <v>205</v>
      </c>
    </row>
    <row r="4" spans="1:14" s="58" customFormat="1" ht="20.25" customHeight="1">
      <c r="B4" s="57"/>
      <c r="C4" s="25" t="s">
        <v>151</v>
      </c>
      <c r="G4" s="203"/>
    </row>
    <row r="5" spans="1:14" s="58" customFormat="1" ht="12.75" customHeight="1">
      <c r="B5" s="57"/>
      <c r="C5" s="45"/>
      <c r="G5" s="203"/>
    </row>
    <row r="6" spans="1:14" s="58" customFormat="1" ht="13.5" customHeight="1">
      <c r="B6" s="57"/>
      <c r="D6" s="55"/>
      <c r="E6" s="55"/>
      <c r="G6" s="203"/>
    </row>
    <row r="7" spans="1:14" s="58" customFormat="1" ht="12.75" customHeight="1">
      <c r="B7" s="57"/>
      <c r="C7" s="264" t="s">
        <v>153</v>
      </c>
      <c r="D7" s="55"/>
      <c r="G7" s="203"/>
    </row>
    <row r="8" spans="1:14" ht="12.75" customHeight="1">
      <c r="A8" s="58"/>
      <c r="B8" s="57"/>
      <c r="C8" s="264"/>
      <c r="D8" s="55"/>
      <c r="G8" s="204"/>
    </row>
    <row r="9" spans="1:14">
      <c r="A9" s="58"/>
      <c r="B9" s="57"/>
      <c r="C9" s="70" t="s">
        <v>93</v>
      </c>
      <c r="D9" s="55"/>
      <c r="F9" s="205"/>
      <c r="G9" s="207"/>
      <c r="H9" s="208"/>
      <c r="I9" s="208"/>
      <c r="J9" s="209"/>
      <c r="K9" s="208"/>
      <c r="L9" s="209"/>
      <c r="M9" s="208"/>
      <c r="N9" s="209"/>
    </row>
    <row r="10" spans="1:14">
      <c r="E10" s="210"/>
      <c r="F10" s="210"/>
    </row>
    <row r="11" spans="1:14">
      <c r="E11" s="210"/>
      <c r="F11" s="210"/>
    </row>
    <row r="12" spans="1:14">
      <c r="F12" s="210"/>
    </row>
    <row r="13" spans="1:14">
      <c r="E13" s="210"/>
      <c r="F13" s="211"/>
    </row>
    <row r="14" spans="1:14">
      <c r="E14" s="210"/>
      <c r="F14" s="210"/>
    </row>
    <row r="15" spans="1:14">
      <c r="E15" s="210"/>
      <c r="F15" s="210"/>
    </row>
    <row r="16" spans="1:14">
      <c r="E16" s="210"/>
      <c r="F16" s="210"/>
    </row>
    <row r="17" spans="5:6">
      <c r="E17" s="210"/>
      <c r="F17" s="210"/>
    </row>
    <row r="18" spans="5:6">
      <c r="E18" s="210"/>
      <c r="F18" s="210"/>
    </row>
    <row r="19" spans="5:6">
      <c r="E19" s="210"/>
      <c r="F19" s="210"/>
    </row>
    <row r="20" spans="5:6">
      <c r="E20" s="210"/>
      <c r="F20" s="210"/>
    </row>
  </sheetData>
  <mergeCells count="1">
    <mergeCell ref="C7:C8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4294967292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67E8E-6A21-42D7-85DD-3E4AB547A165}">
  <dimension ref="C1:Y44"/>
  <sheetViews>
    <sheetView showGridLines="0" showRowColHeaders="0" topLeftCell="A2" zoomScaleNormal="100" workbookViewId="0">
      <selection activeCell="B2" sqref="B2"/>
    </sheetView>
  </sheetViews>
  <sheetFormatPr baseColWidth="10" defaultColWidth="11.5703125" defaultRowHeight="12.75"/>
  <cols>
    <col min="1" max="1" width="0.42578125" style="54" customWidth="1"/>
    <col min="2" max="2" width="2.5703125" style="54" customWidth="1"/>
    <col min="3" max="3" width="23.5703125" style="54" customWidth="1"/>
    <col min="4" max="4" width="1.42578125" style="54" customWidth="1"/>
    <col min="5" max="5" width="105.5703125" style="54" customWidth="1"/>
    <col min="6" max="6" width="11.5703125" style="54"/>
    <col min="7" max="7" width="30.42578125" style="54" bestFit="1" customWidth="1"/>
    <col min="8" max="16384" width="11.5703125" style="54"/>
  </cols>
  <sheetData>
    <row r="1" spans="3:25" ht="0.6" customHeight="1"/>
    <row r="2" spans="3:25" ht="21" customHeight="1">
      <c r="E2" s="27" t="s">
        <v>19</v>
      </c>
    </row>
    <row r="3" spans="3:25" ht="15" customHeight="1">
      <c r="E3" s="26" t="s">
        <v>205</v>
      </c>
    </row>
    <row r="4" spans="3:25" ht="20.100000000000001" customHeight="1">
      <c r="C4" s="25" t="s">
        <v>151</v>
      </c>
    </row>
    <row r="5" spans="3:25" ht="12.6" customHeight="1"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</row>
    <row r="7" spans="3:25" ht="12.75" customHeight="1">
      <c r="C7" s="253" t="s">
        <v>154</v>
      </c>
      <c r="E7" s="222"/>
    </row>
    <row r="8" spans="3:25">
      <c r="C8" s="253"/>
      <c r="E8" s="222"/>
    </row>
    <row r="9" spans="3:25">
      <c r="C9" s="253"/>
      <c r="E9" s="222"/>
    </row>
    <row r="10" spans="3:25">
      <c r="C10" s="70" t="s">
        <v>27</v>
      </c>
      <c r="E10" s="222"/>
    </row>
    <row r="11" spans="3:25">
      <c r="E11" s="222"/>
    </row>
    <row r="12" spans="3:25">
      <c r="E12" s="222"/>
    </row>
    <row r="13" spans="3:25">
      <c r="E13" s="222"/>
    </row>
    <row r="14" spans="3:25">
      <c r="E14" s="222"/>
    </row>
    <row r="15" spans="3:25">
      <c r="E15" s="222"/>
    </row>
    <row r="16" spans="3:25">
      <c r="E16" s="222"/>
    </row>
    <row r="17" spans="5:11">
      <c r="E17" s="222"/>
    </row>
    <row r="18" spans="5:11">
      <c r="E18" s="222"/>
    </row>
    <row r="19" spans="5:11">
      <c r="E19" s="222"/>
    </row>
    <row r="20" spans="5:11">
      <c r="E20" s="222"/>
    </row>
    <row r="21" spans="5:11">
      <c r="E21" s="222"/>
    </row>
    <row r="22" spans="5:11">
      <c r="E22" s="222"/>
    </row>
    <row r="26" spans="5:11">
      <c r="E26" s="223"/>
      <c r="F26" s="224"/>
      <c r="G26" s="224"/>
      <c r="H26" s="224"/>
      <c r="I26" s="224"/>
      <c r="J26" s="224"/>
      <c r="K26" s="224"/>
    </row>
    <row r="40" spans="3:5">
      <c r="E40" s="36"/>
    </row>
    <row r="42" spans="3:5">
      <c r="C42" s="70"/>
    </row>
    <row r="43" spans="3:5">
      <c r="C43" s="70"/>
    </row>
    <row r="44" spans="3:5">
      <c r="C44" s="70"/>
    </row>
  </sheetData>
  <mergeCells count="1">
    <mergeCell ref="C7:C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C1:L22"/>
  <sheetViews>
    <sheetView showGridLines="0" showRowColHeaders="0" topLeftCell="A2" zoomScaleNormal="100" workbookViewId="0">
      <selection activeCell="B2" sqref="B2"/>
    </sheetView>
  </sheetViews>
  <sheetFormatPr baseColWidth="10" defaultColWidth="11.42578125" defaultRowHeight="12.75"/>
  <cols>
    <col min="1" max="1" width="0.140625" style="54" customWidth="1"/>
    <col min="2" max="2" width="2.5703125" style="54" customWidth="1"/>
    <col min="3" max="3" width="23.5703125" style="54" customWidth="1"/>
    <col min="4" max="4" width="1.42578125" style="54" customWidth="1"/>
    <col min="5" max="5" width="16.42578125" style="54" bestFit="1" customWidth="1"/>
    <col min="6" max="16384" width="11.42578125" style="54"/>
  </cols>
  <sheetData>
    <row r="1" spans="3:12" ht="0.6" customHeight="1"/>
    <row r="2" spans="3:12" ht="21" customHeight="1">
      <c r="K2" s="27" t="s">
        <v>19</v>
      </c>
      <c r="L2" s="46"/>
    </row>
    <row r="3" spans="3:12" ht="15" customHeight="1">
      <c r="K3" s="43" t="str">
        <f>Indice!E3</f>
        <v>Julio 2026</v>
      </c>
      <c r="L3" s="65"/>
    </row>
    <row r="4" spans="3:12" ht="20.100000000000001" customHeight="1">
      <c r="C4" s="25" t="s">
        <v>39</v>
      </c>
    </row>
    <row r="5" spans="3:12" ht="12.6" customHeight="1"/>
    <row r="7" spans="3:12" ht="12.75" customHeight="1">
      <c r="C7" s="253" t="s">
        <v>40</v>
      </c>
      <c r="E7" s="66"/>
      <c r="F7" s="254" t="str">
        <f>K3</f>
        <v>Julio 2026</v>
      </c>
      <c r="G7" s="255"/>
      <c r="H7" s="255" t="s">
        <v>30</v>
      </c>
      <c r="I7" s="255"/>
      <c r="J7" s="255" t="s">
        <v>31</v>
      </c>
      <c r="K7" s="255"/>
    </row>
    <row r="8" spans="3:12">
      <c r="C8" s="253"/>
      <c r="E8" s="67"/>
      <c r="F8" s="68" t="s">
        <v>13</v>
      </c>
      <c r="G8" s="94" t="str">
        <f>CONCATENATE("% ",RIGHT(F7,2),"/",RIGHT(F7,2)-1)</f>
        <v>% 26/25</v>
      </c>
      <c r="H8" s="68" t="s">
        <v>13</v>
      </c>
      <c r="I8" s="69" t="str">
        <f>G8</f>
        <v>% 26/25</v>
      </c>
      <c r="J8" s="68" t="s">
        <v>13</v>
      </c>
      <c r="K8" s="69" t="str">
        <f>G8</f>
        <v>% 26/25</v>
      </c>
    </row>
    <row r="9" spans="3:12">
      <c r="C9" s="70"/>
      <c r="E9" s="71" t="s">
        <v>32</v>
      </c>
      <c r="F9" s="72">
        <f>Dat_01!R26/1000</f>
        <v>835.65912900000001</v>
      </c>
      <c r="G9" s="140">
        <f>Dat_01!T26*100</f>
        <v>13.975912200000002</v>
      </c>
      <c r="H9" s="72">
        <f>Dat_01!U26/1000</f>
        <v>3758.3781559999998</v>
      </c>
      <c r="I9" s="140">
        <f>Dat_01!W26*100</f>
        <v>4.4226033500000002</v>
      </c>
      <c r="J9" s="72">
        <f>Dat_01!X26/1000</f>
        <v>6478.9285029999992</v>
      </c>
      <c r="K9" s="140">
        <f>Dat_01!Y26*100</f>
        <v>3.9561065100000001</v>
      </c>
    </row>
    <row r="10" spans="3:12">
      <c r="E10" s="13"/>
      <c r="F10" s="73"/>
      <c r="G10" s="73"/>
      <c r="H10" s="73"/>
      <c r="I10" s="73"/>
      <c r="J10" s="73"/>
      <c r="K10" s="73"/>
    </row>
    <row r="11" spans="3:12">
      <c r="E11" s="13" t="s">
        <v>33</v>
      </c>
      <c r="F11" s="73"/>
      <c r="G11" s="73"/>
      <c r="H11" s="73"/>
      <c r="I11" s="73"/>
      <c r="J11" s="73"/>
      <c r="K11" s="73"/>
    </row>
    <row r="12" spans="3:12">
      <c r="E12" s="74" t="s">
        <v>34</v>
      </c>
      <c r="F12" s="73"/>
      <c r="G12" s="91">
        <f>Dat_01!D161*100</f>
        <v>9.1999999999999998E-2</v>
      </c>
      <c r="H12" s="91"/>
      <c r="I12" s="91">
        <f>Dat_01!H161*100</f>
        <v>8.8999999999999996E-2</v>
      </c>
      <c r="J12" s="91"/>
      <c r="K12" s="91">
        <f>Dat_01!L161*100</f>
        <v>0.16</v>
      </c>
    </row>
    <row r="13" spans="3:12">
      <c r="E13" s="74" t="s">
        <v>35</v>
      </c>
      <c r="F13" s="73"/>
      <c r="G13" s="91">
        <f>Dat_01!E161*100</f>
        <v>1.8530000000000002</v>
      </c>
      <c r="H13" s="91"/>
      <c r="I13" s="91">
        <f>Dat_01!I161*100</f>
        <v>0.80499999999999994</v>
      </c>
      <c r="J13" s="91"/>
      <c r="K13" s="91">
        <f>Dat_01!M161*100</f>
        <v>0.95899999999999996</v>
      </c>
    </row>
    <row r="14" spans="3:12">
      <c r="E14" s="75" t="s">
        <v>36</v>
      </c>
      <c r="F14" s="76"/>
      <c r="G14" s="92">
        <f>Dat_01!F161*100</f>
        <v>12.031000000000001</v>
      </c>
      <c r="H14" s="92"/>
      <c r="I14" s="92">
        <f>Dat_01!J161*100</f>
        <v>3.5290000000000004</v>
      </c>
      <c r="J14" s="92"/>
      <c r="K14" s="92">
        <f>Dat_01!N161*100</f>
        <v>2.8369999999999997</v>
      </c>
    </row>
    <row r="15" spans="3:12">
      <c r="E15" s="256" t="s">
        <v>37</v>
      </c>
      <c r="F15" s="256"/>
      <c r="G15" s="256"/>
      <c r="H15" s="256"/>
      <c r="I15" s="256"/>
      <c r="J15" s="256"/>
      <c r="K15" s="256"/>
    </row>
    <row r="16" spans="3:12" ht="21.75" customHeight="1">
      <c r="E16" s="252" t="s">
        <v>38</v>
      </c>
      <c r="F16" s="252"/>
      <c r="G16" s="252"/>
      <c r="H16" s="252"/>
      <c r="I16" s="252"/>
      <c r="J16" s="252"/>
      <c r="K16" s="252"/>
    </row>
    <row r="17" spans="5:11">
      <c r="E17" s="174"/>
    </row>
    <row r="20" spans="5:11">
      <c r="G20" s="152"/>
      <c r="H20" s="152"/>
      <c r="I20" s="152"/>
      <c r="J20" s="152"/>
      <c r="K20" s="152"/>
    </row>
    <row r="21" spans="5:11">
      <c r="G21" s="152"/>
      <c r="H21" s="152"/>
      <c r="I21" s="152"/>
      <c r="J21" s="152"/>
      <c r="K21" s="152"/>
    </row>
    <row r="22" spans="5:11">
      <c r="G22" s="152"/>
      <c r="H22" s="152"/>
      <c r="I22" s="152"/>
      <c r="J22" s="152"/>
      <c r="K22" s="152"/>
    </row>
  </sheetData>
  <mergeCells count="6">
    <mergeCell ref="E16:K16"/>
    <mergeCell ref="C7:C8"/>
    <mergeCell ref="F7:G7"/>
    <mergeCell ref="H7:I7"/>
    <mergeCell ref="J7:K7"/>
    <mergeCell ref="E15:K15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DA951-DEA5-4FE7-B667-13944DDA7018}">
  <sheetPr>
    <pageSetUpPr autoPageBreaks="0"/>
  </sheetPr>
  <dimension ref="A1:N20"/>
  <sheetViews>
    <sheetView showGridLines="0" showRowColHeaders="0" topLeftCell="A2" zoomScaleNormal="100" workbookViewId="0">
      <selection activeCell="B2" sqref="B2"/>
    </sheetView>
  </sheetViews>
  <sheetFormatPr baseColWidth="10" defaultRowHeight="12.75"/>
  <cols>
    <col min="1" max="1" width="0.42578125" style="54" customWidth="1"/>
    <col min="2" max="2" width="2.5703125" style="54" customWidth="1"/>
    <col min="3" max="3" width="23.5703125" style="54" customWidth="1"/>
    <col min="4" max="4" width="1.42578125" style="54" customWidth="1"/>
    <col min="5" max="5" width="26.7109375" style="205" customWidth="1"/>
    <col min="6" max="6" width="26.7109375" style="212" customWidth="1"/>
    <col min="7" max="8" width="11.42578125" style="205"/>
    <col min="9" max="12" width="11.5703125" style="205" bestFit="1" customWidth="1"/>
    <col min="13" max="13" width="12.42578125" style="205" bestFit="1" customWidth="1"/>
    <col min="14" max="14" width="11.5703125" style="205" bestFit="1" customWidth="1"/>
    <col min="15" max="241" width="11.42578125" style="205"/>
    <col min="242" max="242" width="0.42578125" style="205" customWidth="1"/>
    <col min="243" max="243" width="2.5703125" style="205" customWidth="1"/>
    <col min="244" max="244" width="15.42578125" style="205" customWidth="1"/>
    <col min="245" max="245" width="1.42578125" style="205" customWidth="1"/>
    <col min="246" max="246" width="27.5703125" style="205" customWidth="1"/>
    <col min="247" max="247" width="6.5703125" style="205" customWidth="1"/>
    <col min="248" max="248" width="1.5703125" style="205" customWidth="1"/>
    <col min="249" max="249" width="10.5703125" style="205" customWidth="1"/>
    <col min="250" max="250" width="5.5703125" style="205" customWidth="1"/>
    <col min="251" max="251" width="1.5703125" style="205" customWidth="1"/>
    <col min="252" max="252" width="10.5703125" style="205" customWidth="1"/>
    <col min="253" max="253" width="6.5703125" style="205" customWidth="1"/>
    <col min="254" max="254" width="1.5703125" style="205" customWidth="1"/>
    <col min="255" max="255" width="10.5703125" style="205" customWidth="1"/>
    <col min="256" max="256" width="9.5703125" style="205" customWidth="1"/>
    <col min="257" max="257" width="13.42578125" style="205" bestFit="1" customWidth="1"/>
    <col min="258" max="258" width="7.5703125" style="205" customWidth="1"/>
    <col min="259" max="259" width="11.42578125" style="205"/>
    <col min="260" max="260" width="13.42578125" style="205" bestFit="1" customWidth="1"/>
    <col min="261" max="497" width="11.42578125" style="205"/>
    <col min="498" max="498" width="0.42578125" style="205" customWidth="1"/>
    <col min="499" max="499" width="2.5703125" style="205" customWidth="1"/>
    <col min="500" max="500" width="15.42578125" style="205" customWidth="1"/>
    <col min="501" max="501" width="1.42578125" style="205" customWidth="1"/>
    <col min="502" max="502" width="27.5703125" style="205" customWidth="1"/>
    <col min="503" max="503" width="6.5703125" style="205" customWidth="1"/>
    <col min="504" max="504" width="1.5703125" style="205" customWidth="1"/>
    <col min="505" max="505" width="10.5703125" style="205" customWidth="1"/>
    <col min="506" max="506" width="5.5703125" style="205" customWidth="1"/>
    <col min="507" max="507" width="1.5703125" style="205" customWidth="1"/>
    <col min="508" max="508" width="10.5703125" style="205" customWidth="1"/>
    <col min="509" max="509" width="6.5703125" style="205" customWidth="1"/>
    <col min="510" max="510" width="1.5703125" style="205" customWidth="1"/>
    <col min="511" max="511" width="10.5703125" style="205" customWidth="1"/>
    <col min="512" max="512" width="9.5703125" style="205" customWidth="1"/>
    <col min="513" max="513" width="13.42578125" style="205" bestFit="1" customWidth="1"/>
    <col min="514" max="514" width="7.5703125" style="205" customWidth="1"/>
    <col min="515" max="515" width="11.42578125" style="205"/>
    <col min="516" max="516" width="13.42578125" style="205" bestFit="1" customWidth="1"/>
    <col min="517" max="753" width="11.42578125" style="205"/>
    <col min="754" max="754" width="0.42578125" style="205" customWidth="1"/>
    <col min="755" max="755" width="2.5703125" style="205" customWidth="1"/>
    <col min="756" max="756" width="15.42578125" style="205" customWidth="1"/>
    <col min="757" max="757" width="1.42578125" style="205" customWidth="1"/>
    <col min="758" max="758" width="27.5703125" style="205" customWidth="1"/>
    <col min="759" max="759" width="6.5703125" style="205" customWidth="1"/>
    <col min="760" max="760" width="1.5703125" style="205" customWidth="1"/>
    <col min="761" max="761" width="10.5703125" style="205" customWidth="1"/>
    <col min="762" max="762" width="5.5703125" style="205" customWidth="1"/>
    <col min="763" max="763" width="1.5703125" style="205" customWidth="1"/>
    <col min="764" max="764" width="10.5703125" style="205" customWidth="1"/>
    <col min="765" max="765" width="6.5703125" style="205" customWidth="1"/>
    <col min="766" max="766" width="1.5703125" style="205" customWidth="1"/>
    <col min="767" max="767" width="10.5703125" style="205" customWidth="1"/>
    <col min="768" max="768" width="9.5703125" style="205" customWidth="1"/>
    <col min="769" max="769" width="13.42578125" style="205" bestFit="1" customWidth="1"/>
    <col min="770" max="770" width="7.5703125" style="205" customWidth="1"/>
    <col min="771" max="771" width="11.42578125" style="205"/>
    <col min="772" max="772" width="13.42578125" style="205" bestFit="1" customWidth="1"/>
    <col min="773" max="1009" width="11.42578125" style="205"/>
    <col min="1010" max="1010" width="0.42578125" style="205" customWidth="1"/>
    <col min="1011" max="1011" width="2.5703125" style="205" customWidth="1"/>
    <col min="1012" max="1012" width="15.42578125" style="205" customWidth="1"/>
    <col min="1013" max="1013" width="1.42578125" style="205" customWidth="1"/>
    <col min="1014" max="1014" width="27.5703125" style="205" customWidth="1"/>
    <col min="1015" max="1015" width="6.5703125" style="205" customWidth="1"/>
    <col min="1016" max="1016" width="1.5703125" style="205" customWidth="1"/>
    <col min="1017" max="1017" width="10.5703125" style="205" customWidth="1"/>
    <col min="1018" max="1018" width="5.5703125" style="205" customWidth="1"/>
    <col min="1019" max="1019" width="1.5703125" style="205" customWidth="1"/>
    <col min="1020" max="1020" width="10.5703125" style="205" customWidth="1"/>
    <col min="1021" max="1021" width="6.5703125" style="205" customWidth="1"/>
    <col min="1022" max="1022" width="1.5703125" style="205" customWidth="1"/>
    <col min="1023" max="1023" width="10.5703125" style="205" customWidth="1"/>
    <col min="1024" max="1024" width="9.5703125" style="205" customWidth="1"/>
    <col min="1025" max="1025" width="13.42578125" style="205" bestFit="1" customWidth="1"/>
    <col min="1026" max="1026" width="7.5703125" style="205" customWidth="1"/>
    <col min="1027" max="1027" width="11.42578125" style="205"/>
    <col min="1028" max="1028" width="13.42578125" style="205" bestFit="1" customWidth="1"/>
    <col min="1029" max="1265" width="11.42578125" style="205"/>
    <col min="1266" max="1266" width="0.42578125" style="205" customWidth="1"/>
    <col min="1267" max="1267" width="2.5703125" style="205" customWidth="1"/>
    <col min="1268" max="1268" width="15.42578125" style="205" customWidth="1"/>
    <col min="1269" max="1269" width="1.42578125" style="205" customWidth="1"/>
    <col min="1270" max="1270" width="27.5703125" style="205" customWidth="1"/>
    <col min="1271" max="1271" width="6.5703125" style="205" customWidth="1"/>
    <col min="1272" max="1272" width="1.5703125" style="205" customWidth="1"/>
    <col min="1273" max="1273" width="10.5703125" style="205" customWidth="1"/>
    <col min="1274" max="1274" width="5.5703125" style="205" customWidth="1"/>
    <col min="1275" max="1275" width="1.5703125" style="205" customWidth="1"/>
    <col min="1276" max="1276" width="10.5703125" style="205" customWidth="1"/>
    <col min="1277" max="1277" width="6.5703125" style="205" customWidth="1"/>
    <col min="1278" max="1278" width="1.5703125" style="205" customWidth="1"/>
    <col min="1279" max="1279" width="10.5703125" style="205" customWidth="1"/>
    <col min="1280" max="1280" width="9.5703125" style="205" customWidth="1"/>
    <col min="1281" max="1281" width="13.42578125" style="205" bestFit="1" customWidth="1"/>
    <col min="1282" max="1282" width="7.5703125" style="205" customWidth="1"/>
    <col min="1283" max="1283" width="11.42578125" style="205"/>
    <col min="1284" max="1284" width="13.42578125" style="205" bestFit="1" customWidth="1"/>
    <col min="1285" max="1521" width="11.42578125" style="205"/>
    <col min="1522" max="1522" width="0.42578125" style="205" customWidth="1"/>
    <col min="1523" max="1523" width="2.5703125" style="205" customWidth="1"/>
    <col min="1524" max="1524" width="15.42578125" style="205" customWidth="1"/>
    <col min="1525" max="1525" width="1.42578125" style="205" customWidth="1"/>
    <col min="1526" max="1526" width="27.5703125" style="205" customWidth="1"/>
    <col min="1527" max="1527" width="6.5703125" style="205" customWidth="1"/>
    <col min="1528" max="1528" width="1.5703125" style="205" customWidth="1"/>
    <col min="1529" max="1529" width="10.5703125" style="205" customWidth="1"/>
    <col min="1530" max="1530" width="5.5703125" style="205" customWidth="1"/>
    <col min="1531" max="1531" width="1.5703125" style="205" customWidth="1"/>
    <col min="1532" max="1532" width="10.5703125" style="205" customWidth="1"/>
    <col min="1533" max="1533" width="6.5703125" style="205" customWidth="1"/>
    <col min="1534" max="1534" width="1.5703125" style="205" customWidth="1"/>
    <col min="1535" max="1535" width="10.5703125" style="205" customWidth="1"/>
    <col min="1536" max="1536" width="9.5703125" style="205" customWidth="1"/>
    <col min="1537" max="1537" width="13.42578125" style="205" bestFit="1" customWidth="1"/>
    <col min="1538" max="1538" width="7.5703125" style="205" customWidth="1"/>
    <col min="1539" max="1539" width="11.42578125" style="205"/>
    <col min="1540" max="1540" width="13.42578125" style="205" bestFit="1" customWidth="1"/>
    <col min="1541" max="1777" width="11.42578125" style="205"/>
    <col min="1778" max="1778" width="0.42578125" style="205" customWidth="1"/>
    <col min="1779" max="1779" width="2.5703125" style="205" customWidth="1"/>
    <col min="1780" max="1780" width="15.42578125" style="205" customWidth="1"/>
    <col min="1781" max="1781" width="1.42578125" style="205" customWidth="1"/>
    <col min="1782" max="1782" width="27.5703125" style="205" customWidth="1"/>
    <col min="1783" max="1783" width="6.5703125" style="205" customWidth="1"/>
    <col min="1784" max="1784" width="1.5703125" style="205" customWidth="1"/>
    <col min="1785" max="1785" width="10.5703125" style="205" customWidth="1"/>
    <col min="1786" max="1786" width="5.5703125" style="205" customWidth="1"/>
    <col min="1787" max="1787" width="1.5703125" style="205" customWidth="1"/>
    <col min="1788" max="1788" width="10.5703125" style="205" customWidth="1"/>
    <col min="1789" max="1789" width="6.5703125" style="205" customWidth="1"/>
    <col min="1790" max="1790" width="1.5703125" style="205" customWidth="1"/>
    <col min="1791" max="1791" width="10.5703125" style="205" customWidth="1"/>
    <col min="1792" max="1792" width="9.5703125" style="205" customWidth="1"/>
    <col min="1793" max="1793" width="13.42578125" style="205" bestFit="1" customWidth="1"/>
    <col min="1794" max="1794" width="7.5703125" style="205" customWidth="1"/>
    <col min="1795" max="1795" width="11.42578125" style="205"/>
    <col min="1796" max="1796" width="13.42578125" style="205" bestFit="1" customWidth="1"/>
    <col min="1797" max="2033" width="11.42578125" style="205"/>
    <col min="2034" max="2034" width="0.42578125" style="205" customWidth="1"/>
    <col min="2035" max="2035" width="2.5703125" style="205" customWidth="1"/>
    <col min="2036" max="2036" width="15.42578125" style="205" customWidth="1"/>
    <col min="2037" max="2037" width="1.42578125" style="205" customWidth="1"/>
    <col min="2038" max="2038" width="27.5703125" style="205" customWidth="1"/>
    <col min="2039" max="2039" width="6.5703125" style="205" customWidth="1"/>
    <col min="2040" max="2040" width="1.5703125" style="205" customWidth="1"/>
    <col min="2041" max="2041" width="10.5703125" style="205" customWidth="1"/>
    <col min="2042" max="2042" width="5.5703125" style="205" customWidth="1"/>
    <col min="2043" max="2043" width="1.5703125" style="205" customWidth="1"/>
    <col min="2044" max="2044" width="10.5703125" style="205" customWidth="1"/>
    <col min="2045" max="2045" width="6.5703125" style="205" customWidth="1"/>
    <col min="2046" max="2046" width="1.5703125" style="205" customWidth="1"/>
    <col min="2047" max="2047" width="10.5703125" style="205" customWidth="1"/>
    <col min="2048" max="2048" width="9.5703125" style="205" customWidth="1"/>
    <col min="2049" max="2049" width="13.42578125" style="205" bestFit="1" customWidth="1"/>
    <col min="2050" max="2050" width="7.5703125" style="205" customWidth="1"/>
    <col min="2051" max="2051" width="11.42578125" style="205"/>
    <col min="2052" max="2052" width="13.42578125" style="205" bestFit="1" customWidth="1"/>
    <col min="2053" max="2289" width="11.42578125" style="205"/>
    <col min="2290" max="2290" width="0.42578125" style="205" customWidth="1"/>
    <col min="2291" max="2291" width="2.5703125" style="205" customWidth="1"/>
    <col min="2292" max="2292" width="15.42578125" style="205" customWidth="1"/>
    <col min="2293" max="2293" width="1.42578125" style="205" customWidth="1"/>
    <col min="2294" max="2294" width="27.5703125" style="205" customWidth="1"/>
    <col min="2295" max="2295" width="6.5703125" style="205" customWidth="1"/>
    <col min="2296" max="2296" width="1.5703125" style="205" customWidth="1"/>
    <col min="2297" max="2297" width="10.5703125" style="205" customWidth="1"/>
    <col min="2298" max="2298" width="5.5703125" style="205" customWidth="1"/>
    <col min="2299" max="2299" width="1.5703125" style="205" customWidth="1"/>
    <col min="2300" max="2300" width="10.5703125" style="205" customWidth="1"/>
    <col min="2301" max="2301" width="6.5703125" style="205" customWidth="1"/>
    <col min="2302" max="2302" width="1.5703125" style="205" customWidth="1"/>
    <col min="2303" max="2303" width="10.5703125" style="205" customWidth="1"/>
    <col min="2304" max="2304" width="9.5703125" style="205" customWidth="1"/>
    <col min="2305" max="2305" width="13.42578125" style="205" bestFit="1" customWidth="1"/>
    <col min="2306" max="2306" width="7.5703125" style="205" customWidth="1"/>
    <col min="2307" max="2307" width="11.42578125" style="205"/>
    <col min="2308" max="2308" width="13.42578125" style="205" bestFit="1" customWidth="1"/>
    <col min="2309" max="2545" width="11.42578125" style="205"/>
    <col min="2546" max="2546" width="0.42578125" style="205" customWidth="1"/>
    <col min="2547" max="2547" width="2.5703125" style="205" customWidth="1"/>
    <col min="2548" max="2548" width="15.42578125" style="205" customWidth="1"/>
    <col min="2549" max="2549" width="1.42578125" style="205" customWidth="1"/>
    <col min="2550" max="2550" width="27.5703125" style="205" customWidth="1"/>
    <col min="2551" max="2551" width="6.5703125" style="205" customWidth="1"/>
    <col min="2552" max="2552" width="1.5703125" style="205" customWidth="1"/>
    <col min="2553" max="2553" width="10.5703125" style="205" customWidth="1"/>
    <col min="2554" max="2554" width="5.5703125" style="205" customWidth="1"/>
    <col min="2555" max="2555" width="1.5703125" style="205" customWidth="1"/>
    <col min="2556" max="2556" width="10.5703125" style="205" customWidth="1"/>
    <col min="2557" max="2557" width="6.5703125" style="205" customWidth="1"/>
    <col min="2558" max="2558" width="1.5703125" style="205" customWidth="1"/>
    <col min="2559" max="2559" width="10.5703125" style="205" customWidth="1"/>
    <col min="2560" max="2560" width="9.5703125" style="205" customWidth="1"/>
    <col min="2561" max="2561" width="13.42578125" style="205" bestFit="1" customWidth="1"/>
    <col min="2562" max="2562" width="7.5703125" style="205" customWidth="1"/>
    <col min="2563" max="2563" width="11.42578125" style="205"/>
    <col min="2564" max="2564" width="13.42578125" style="205" bestFit="1" customWidth="1"/>
    <col min="2565" max="2801" width="11.42578125" style="205"/>
    <col min="2802" max="2802" width="0.42578125" style="205" customWidth="1"/>
    <col min="2803" max="2803" width="2.5703125" style="205" customWidth="1"/>
    <col min="2804" max="2804" width="15.42578125" style="205" customWidth="1"/>
    <col min="2805" max="2805" width="1.42578125" style="205" customWidth="1"/>
    <col min="2806" max="2806" width="27.5703125" style="205" customWidth="1"/>
    <col min="2807" max="2807" width="6.5703125" style="205" customWidth="1"/>
    <col min="2808" max="2808" width="1.5703125" style="205" customWidth="1"/>
    <col min="2809" max="2809" width="10.5703125" style="205" customWidth="1"/>
    <col min="2810" max="2810" width="5.5703125" style="205" customWidth="1"/>
    <col min="2811" max="2811" width="1.5703125" style="205" customWidth="1"/>
    <col min="2812" max="2812" width="10.5703125" style="205" customWidth="1"/>
    <col min="2813" max="2813" width="6.5703125" style="205" customWidth="1"/>
    <col min="2814" max="2814" width="1.5703125" style="205" customWidth="1"/>
    <col min="2815" max="2815" width="10.5703125" style="205" customWidth="1"/>
    <col min="2816" max="2816" width="9.5703125" style="205" customWidth="1"/>
    <col min="2817" max="2817" width="13.42578125" style="205" bestFit="1" customWidth="1"/>
    <col min="2818" max="2818" width="7.5703125" style="205" customWidth="1"/>
    <col min="2819" max="2819" width="11.42578125" style="205"/>
    <col min="2820" max="2820" width="13.42578125" style="205" bestFit="1" customWidth="1"/>
    <col min="2821" max="3057" width="11.42578125" style="205"/>
    <col min="3058" max="3058" width="0.42578125" style="205" customWidth="1"/>
    <col min="3059" max="3059" width="2.5703125" style="205" customWidth="1"/>
    <col min="3060" max="3060" width="15.42578125" style="205" customWidth="1"/>
    <col min="3061" max="3061" width="1.42578125" style="205" customWidth="1"/>
    <col min="3062" max="3062" width="27.5703125" style="205" customWidth="1"/>
    <col min="3063" max="3063" width="6.5703125" style="205" customWidth="1"/>
    <col min="3064" max="3064" width="1.5703125" style="205" customWidth="1"/>
    <col min="3065" max="3065" width="10.5703125" style="205" customWidth="1"/>
    <col min="3066" max="3066" width="5.5703125" style="205" customWidth="1"/>
    <col min="3067" max="3067" width="1.5703125" style="205" customWidth="1"/>
    <col min="3068" max="3068" width="10.5703125" style="205" customWidth="1"/>
    <col min="3069" max="3069" width="6.5703125" style="205" customWidth="1"/>
    <col min="3070" max="3070" width="1.5703125" style="205" customWidth="1"/>
    <col min="3071" max="3071" width="10.5703125" style="205" customWidth="1"/>
    <col min="3072" max="3072" width="9.5703125" style="205" customWidth="1"/>
    <col min="3073" max="3073" width="13.42578125" style="205" bestFit="1" customWidth="1"/>
    <col min="3074" max="3074" width="7.5703125" style="205" customWidth="1"/>
    <col min="3075" max="3075" width="11.42578125" style="205"/>
    <col min="3076" max="3076" width="13.42578125" style="205" bestFit="1" customWidth="1"/>
    <col min="3077" max="3313" width="11.42578125" style="205"/>
    <col min="3314" max="3314" width="0.42578125" style="205" customWidth="1"/>
    <col min="3315" max="3315" width="2.5703125" style="205" customWidth="1"/>
    <col min="3316" max="3316" width="15.42578125" style="205" customWidth="1"/>
    <col min="3317" max="3317" width="1.42578125" style="205" customWidth="1"/>
    <col min="3318" max="3318" width="27.5703125" style="205" customWidth="1"/>
    <col min="3319" max="3319" width="6.5703125" style="205" customWidth="1"/>
    <col min="3320" max="3320" width="1.5703125" style="205" customWidth="1"/>
    <col min="3321" max="3321" width="10.5703125" style="205" customWidth="1"/>
    <col min="3322" max="3322" width="5.5703125" style="205" customWidth="1"/>
    <col min="3323" max="3323" width="1.5703125" style="205" customWidth="1"/>
    <col min="3324" max="3324" width="10.5703125" style="205" customWidth="1"/>
    <col min="3325" max="3325" width="6.5703125" style="205" customWidth="1"/>
    <col min="3326" max="3326" width="1.5703125" style="205" customWidth="1"/>
    <col min="3327" max="3327" width="10.5703125" style="205" customWidth="1"/>
    <col min="3328" max="3328" width="9.5703125" style="205" customWidth="1"/>
    <col min="3329" max="3329" width="13.42578125" style="205" bestFit="1" customWidth="1"/>
    <col min="3330" max="3330" width="7.5703125" style="205" customWidth="1"/>
    <col min="3331" max="3331" width="11.42578125" style="205"/>
    <col min="3332" max="3332" width="13.42578125" style="205" bestFit="1" customWidth="1"/>
    <col min="3333" max="3569" width="11.42578125" style="205"/>
    <col min="3570" max="3570" width="0.42578125" style="205" customWidth="1"/>
    <col min="3571" max="3571" width="2.5703125" style="205" customWidth="1"/>
    <col min="3572" max="3572" width="15.42578125" style="205" customWidth="1"/>
    <col min="3573" max="3573" width="1.42578125" style="205" customWidth="1"/>
    <col min="3574" max="3574" width="27.5703125" style="205" customWidth="1"/>
    <col min="3575" max="3575" width="6.5703125" style="205" customWidth="1"/>
    <col min="3576" max="3576" width="1.5703125" style="205" customWidth="1"/>
    <col min="3577" max="3577" width="10.5703125" style="205" customWidth="1"/>
    <col min="3578" max="3578" width="5.5703125" style="205" customWidth="1"/>
    <col min="3579" max="3579" width="1.5703125" style="205" customWidth="1"/>
    <col min="3580" max="3580" width="10.5703125" style="205" customWidth="1"/>
    <col min="3581" max="3581" width="6.5703125" style="205" customWidth="1"/>
    <col min="3582" max="3582" width="1.5703125" style="205" customWidth="1"/>
    <col min="3583" max="3583" width="10.5703125" style="205" customWidth="1"/>
    <col min="3584" max="3584" width="9.5703125" style="205" customWidth="1"/>
    <col min="3585" max="3585" width="13.42578125" style="205" bestFit="1" customWidth="1"/>
    <col min="3586" max="3586" width="7.5703125" style="205" customWidth="1"/>
    <col min="3587" max="3587" width="11.42578125" style="205"/>
    <col min="3588" max="3588" width="13.42578125" style="205" bestFit="1" customWidth="1"/>
    <col min="3589" max="3825" width="11.42578125" style="205"/>
    <col min="3826" max="3826" width="0.42578125" style="205" customWidth="1"/>
    <col min="3827" max="3827" width="2.5703125" style="205" customWidth="1"/>
    <col min="3828" max="3828" width="15.42578125" style="205" customWidth="1"/>
    <col min="3829" max="3829" width="1.42578125" style="205" customWidth="1"/>
    <col min="3830" max="3830" width="27.5703125" style="205" customWidth="1"/>
    <col min="3831" max="3831" width="6.5703125" style="205" customWidth="1"/>
    <col min="3832" max="3832" width="1.5703125" style="205" customWidth="1"/>
    <col min="3833" max="3833" width="10.5703125" style="205" customWidth="1"/>
    <col min="3834" max="3834" width="5.5703125" style="205" customWidth="1"/>
    <col min="3835" max="3835" width="1.5703125" style="205" customWidth="1"/>
    <col min="3836" max="3836" width="10.5703125" style="205" customWidth="1"/>
    <col min="3837" max="3837" width="6.5703125" style="205" customWidth="1"/>
    <col min="3838" max="3838" width="1.5703125" style="205" customWidth="1"/>
    <col min="3839" max="3839" width="10.5703125" style="205" customWidth="1"/>
    <col min="3840" max="3840" width="9.5703125" style="205" customWidth="1"/>
    <col min="3841" max="3841" width="13.42578125" style="205" bestFit="1" customWidth="1"/>
    <col min="3842" max="3842" width="7.5703125" style="205" customWidth="1"/>
    <col min="3843" max="3843" width="11.42578125" style="205"/>
    <col min="3844" max="3844" width="13.42578125" style="205" bestFit="1" customWidth="1"/>
    <col min="3845" max="4081" width="11.42578125" style="205"/>
    <col min="4082" max="4082" width="0.42578125" style="205" customWidth="1"/>
    <col min="4083" max="4083" width="2.5703125" style="205" customWidth="1"/>
    <col min="4084" max="4084" width="15.42578125" style="205" customWidth="1"/>
    <col min="4085" max="4085" width="1.42578125" style="205" customWidth="1"/>
    <col min="4086" max="4086" width="27.5703125" style="205" customWidth="1"/>
    <col min="4087" max="4087" width="6.5703125" style="205" customWidth="1"/>
    <col min="4088" max="4088" width="1.5703125" style="205" customWidth="1"/>
    <col min="4089" max="4089" width="10.5703125" style="205" customWidth="1"/>
    <col min="4090" max="4090" width="5.5703125" style="205" customWidth="1"/>
    <col min="4091" max="4091" width="1.5703125" style="205" customWidth="1"/>
    <col min="4092" max="4092" width="10.5703125" style="205" customWidth="1"/>
    <col min="4093" max="4093" width="6.5703125" style="205" customWidth="1"/>
    <col min="4094" max="4094" width="1.5703125" style="205" customWidth="1"/>
    <col min="4095" max="4095" width="10.5703125" style="205" customWidth="1"/>
    <col min="4096" max="4096" width="9.5703125" style="205" customWidth="1"/>
    <col min="4097" max="4097" width="13.42578125" style="205" bestFit="1" customWidth="1"/>
    <col min="4098" max="4098" width="7.5703125" style="205" customWidth="1"/>
    <col min="4099" max="4099" width="11.42578125" style="205"/>
    <col min="4100" max="4100" width="13.42578125" style="205" bestFit="1" customWidth="1"/>
    <col min="4101" max="4337" width="11.42578125" style="205"/>
    <col min="4338" max="4338" width="0.42578125" style="205" customWidth="1"/>
    <col min="4339" max="4339" width="2.5703125" style="205" customWidth="1"/>
    <col min="4340" max="4340" width="15.42578125" style="205" customWidth="1"/>
    <col min="4341" max="4341" width="1.42578125" style="205" customWidth="1"/>
    <col min="4342" max="4342" width="27.5703125" style="205" customWidth="1"/>
    <col min="4343" max="4343" width="6.5703125" style="205" customWidth="1"/>
    <col min="4344" max="4344" width="1.5703125" style="205" customWidth="1"/>
    <col min="4345" max="4345" width="10.5703125" style="205" customWidth="1"/>
    <col min="4346" max="4346" width="5.5703125" style="205" customWidth="1"/>
    <col min="4347" max="4347" width="1.5703125" style="205" customWidth="1"/>
    <col min="4348" max="4348" width="10.5703125" style="205" customWidth="1"/>
    <col min="4349" max="4349" width="6.5703125" style="205" customWidth="1"/>
    <col min="4350" max="4350" width="1.5703125" style="205" customWidth="1"/>
    <col min="4351" max="4351" width="10.5703125" style="205" customWidth="1"/>
    <col min="4352" max="4352" width="9.5703125" style="205" customWidth="1"/>
    <col min="4353" max="4353" width="13.42578125" style="205" bestFit="1" customWidth="1"/>
    <col min="4354" max="4354" width="7.5703125" style="205" customWidth="1"/>
    <col min="4355" max="4355" width="11.42578125" style="205"/>
    <col min="4356" max="4356" width="13.42578125" style="205" bestFit="1" customWidth="1"/>
    <col min="4357" max="4593" width="11.42578125" style="205"/>
    <col min="4594" max="4594" width="0.42578125" style="205" customWidth="1"/>
    <col min="4595" max="4595" width="2.5703125" style="205" customWidth="1"/>
    <col min="4596" max="4596" width="15.42578125" style="205" customWidth="1"/>
    <col min="4597" max="4597" width="1.42578125" style="205" customWidth="1"/>
    <col min="4598" max="4598" width="27.5703125" style="205" customWidth="1"/>
    <col min="4599" max="4599" width="6.5703125" style="205" customWidth="1"/>
    <col min="4600" max="4600" width="1.5703125" style="205" customWidth="1"/>
    <col min="4601" max="4601" width="10.5703125" style="205" customWidth="1"/>
    <col min="4602" max="4602" width="5.5703125" style="205" customWidth="1"/>
    <col min="4603" max="4603" width="1.5703125" style="205" customWidth="1"/>
    <col min="4604" max="4604" width="10.5703125" style="205" customWidth="1"/>
    <col min="4605" max="4605" width="6.5703125" style="205" customWidth="1"/>
    <col min="4606" max="4606" width="1.5703125" style="205" customWidth="1"/>
    <col min="4607" max="4607" width="10.5703125" style="205" customWidth="1"/>
    <col min="4608" max="4608" width="9.5703125" style="205" customWidth="1"/>
    <col min="4609" max="4609" width="13.42578125" style="205" bestFit="1" customWidth="1"/>
    <col min="4610" max="4610" width="7.5703125" style="205" customWidth="1"/>
    <col min="4611" max="4611" width="11.42578125" style="205"/>
    <col min="4612" max="4612" width="13.42578125" style="205" bestFit="1" customWidth="1"/>
    <col min="4613" max="4849" width="11.42578125" style="205"/>
    <col min="4850" max="4850" width="0.42578125" style="205" customWidth="1"/>
    <col min="4851" max="4851" width="2.5703125" style="205" customWidth="1"/>
    <col min="4852" max="4852" width="15.42578125" style="205" customWidth="1"/>
    <col min="4853" max="4853" width="1.42578125" style="205" customWidth="1"/>
    <col min="4854" max="4854" width="27.5703125" style="205" customWidth="1"/>
    <col min="4855" max="4855" width="6.5703125" style="205" customWidth="1"/>
    <col min="4856" max="4856" width="1.5703125" style="205" customWidth="1"/>
    <col min="4857" max="4857" width="10.5703125" style="205" customWidth="1"/>
    <col min="4858" max="4858" width="5.5703125" style="205" customWidth="1"/>
    <col min="4859" max="4859" width="1.5703125" style="205" customWidth="1"/>
    <col min="4860" max="4860" width="10.5703125" style="205" customWidth="1"/>
    <col min="4861" max="4861" width="6.5703125" style="205" customWidth="1"/>
    <col min="4862" max="4862" width="1.5703125" style="205" customWidth="1"/>
    <col min="4863" max="4863" width="10.5703125" style="205" customWidth="1"/>
    <col min="4864" max="4864" width="9.5703125" style="205" customWidth="1"/>
    <col min="4865" max="4865" width="13.42578125" style="205" bestFit="1" customWidth="1"/>
    <col min="4866" max="4866" width="7.5703125" style="205" customWidth="1"/>
    <col min="4867" max="4867" width="11.42578125" style="205"/>
    <col min="4868" max="4868" width="13.42578125" style="205" bestFit="1" customWidth="1"/>
    <col min="4869" max="5105" width="11.42578125" style="205"/>
    <col min="5106" max="5106" width="0.42578125" style="205" customWidth="1"/>
    <col min="5107" max="5107" width="2.5703125" style="205" customWidth="1"/>
    <col min="5108" max="5108" width="15.42578125" style="205" customWidth="1"/>
    <col min="5109" max="5109" width="1.42578125" style="205" customWidth="1"/>
    <col min="5110" max="5110" width="27.5703125" style="205" customWidth="1"/>
    <col min="5111" max="5111" width="6.5703125" style="205" customWidth="1"/>
    <col min="5112" max="5112" width="1.5703125" style="205" customWidth="1"/>
    <col min="5113" max="5113" width="10.5703125" style="205" customWidth="1"/>
    <col min="5114" max="5114" width="5.5703125" style="205" customWidth="1"/>
    <col min="5115" max="5115" width="1.5703125" style="205" customWidth="1"/>
    <col min="5116" max="5116" width="10.5703125" style="205" customWidth="1"/>
    <col min="5117" max="5117" width="6.5703125" style="205" customWidth="1"/>
    <col min="5118" max="5118" width="1.5703125" style="205" customWidth="1"/>
    <col min="5119" max="5119" width="10.5703125" style="205" customWidth="1"/>
    <col min="5120" max="5120" width="9.5703125" style="205" customWidth="1"/>
    <col min="5121" max="5121" width="13.42578125" style="205" bestFit="1" customWidth="1"/>
    <col min="5122" max="5122" width="7.5703125" style="205" customWidth="1"/>
    <col min="5123" max="5123" width="11.42578125" style="205"/>
    <col min="5124" max="5124" width="13.42578125" style="205" bestFit="1" customWidth="1"/>
    <col min="5125" max="5361" width="11.42578125" style="205"/>
    <col min="5362" max="5362" width="0.42578125" style="205" customWidth="1"/>
    <col min="5363" max="5363" width="2.5703125" style="205" customWidth="1"/>
    <col min="5364" max="5364" width="15.42578125" style="205" customWidth="1"/>
    <col min="5365" max="5365" width="1.42578125" style="205" customWidth="1"/>
    <col min="5366" max="5366" width="27.5703125" style="205" customWidth="1"/>
    <col min="5367" max="5367" width="6.5703125" style="205" customWidth="1"/>
    <col min="5368" max="5368" width="1.5703125" style="205" customWidth="1"/>
    <col min="5369" max="5369" width="10.5703125" style="205" customWidth="1"/>
    <col min="5370" max="5370" width="5.5703125" style="205" customWidth="1"/>
    <col min="5371" max="5371" width="1.5703125" style="205" customWidth="1"/>
    <col min="5372" max="5372" width="10.5703125" style="205" customWidth="1"/>
    <col min="5373" max="5373" width="6.5703125" style="205" customWidth="1"/>
    <col min="5374" max="5374" width="1.5703125" style="205" customWidth="1"/>
    <col min="5375" max="5375" width="10.5703125" style="205" customWidth="1"/>
    <col min="5376" max="5376" width="9.5703125" style="205" customWidth="1"/>
    <col min="5377" max="5377" width="13.42578125" style="205" bestFit="1" customWidth="1"/>
    <col min="5378" max="5378" width="7.5703125" style="205" customWidth="1"/>
    <col min="5379" max="5379" width="11.42578125" style="205"/>
    <col min="5380" max="5380" width="13.42578125" style="205" bestFit="1" customWidth="1"/>
    <col min="5381" max="5617" width="11.42578125" style="205"/>
    <col min="5618" max="5618" width="0.42578125" style="205" customWidth="1"/>
    <col min="5619" max="5619" width="2.5703125" style="205" customWidth="1"/>
    <col min="5620" max="5620" width="15.42578125" style="205" customWidth="1"/>
    <col min="5621" max="5621" width="1.42578125" style="205" customWidth="1"/>
    <col min="5622" max="5622" width="27.5703125" style="205" customWidth="1"/>
    <col min="5623" max="5623" width="6.5703125" style="205" customWidth="1"/>
    <col min="5624" max="5624" width="1.5703125" style="205" customWidth="1"/>
    <col min="5625" max="5625" width="10.5703125" style="205" customWidth="1"/>
    <col min="5626" max="5626" width="5.5703125" style="205" customWidth="1"/>
    <col min="5627" max="5627" width="1.5703125" style="205" customWidth="1"/>
    <col min="5628" max="5628" width="10.5703125" style="205" customWidth="1"/>
    <col min="5629" max="5629" width="6.5703125" style="205" customWidth="1"/>
    <col min="5630" max="5630" width="1.5703125" style="205" customWidth="1"/>
    <col min="5631" max="5631" width="10.5703125" style="205" customWidth="1"/>
    <col min="5632" max="5632" width="9.5703125" style="205" customWidth="1"/>
    <col min="5633" max="5633" width="13.42578125" style="205" bestFit="1" customWidth="1"/>
    <col min="5634" max="5634" width="7.5703125" style="205" customWidth="1"/>
    <col min="5635" max="5635" width="11.42578125" style="205"/>
    <col min="5636" max="5636" width="13.42578125" style="205" bestFit="1" customWidth="1"/>
    <col min="5637" max="5873" width="11.42578125" style="205"/>
    <col min="5874" max="5874" width="0.42578125" style="205" customWidth="1"/>
    <col min="5875" max="5875" width="2.5703125" style="205" customWidth="1"/>
    <col min="5876" max="5876" width="15.42578125" style="205" customWidth="1"/>
    <col min="5877" max="5877" width="1.42578125" style="205" customWidth="1"/>
    <col min="5878" max="5878" width="27.5703125" style="205" customWidth="1"/>
    <col min="5879" max="5879" width="6.5703125" style="205" customWidth="1"/>
    <col min="5880" max="5880" width="1.5703125" style="205" customWidth="1"/>
    <col min="5881" max="5881" width="10.5703125" style="205" customWidth="1"/>
    <col min="5882" max="5882" width="5.5703125" style="205" customWidth="1"/>
    <col min="5883" max="5883" width="1.5703125" style="205" customWidth="1"/>
    <col min="5884" max="5884" width="10.5703125" style="205" customWidth="1"/>
    <col min="5885" max="5885" width="6.5703125" style="205" customWidth="1"/>
    <col min="5886" max="5886" width="1.5703125" style="205" customWidth="1"/>
    <col min="5887" max="5887" width="10.5703125" style="205" customWidth="1"/>
    <col min="5888" max="5888" width="9.5703125" style="205" customWidth="1"/>
    <col min="5889" max="5889" width="13.42578125" style="205" bestFit="1" customWidth="1"/>
    <col min="5890" max="5890" width="7.5703125" style="205" customWidth="1"/>
    <col min="5891" max="5891" width="11.42578125" style="205"/>
    <col min="5892" max="5892" width="13.42578125" style="205" bestFit="1" customWidth="1"/>
    <col min="5893" max="6129" width="11.42578125" style="205"/>
    <col min="6130" max="6130" width="0.42578125" style="205" customWidth="1"/>
    <col min="6131" max="6131" width="2.5703125" style="205" customWidth="1"/>
    <col min="6132" max="6132" width="15.42578125" style="205" customWidth="1"/>
    <col min="6133" max="6133" width="1.42578125" style="205" customWidth="1"/>
    <col min="6134" max="6134" width="27.5703125" style="205" customWidth="1"/>
    <col min="6135" max="6135" width="6.5703125" style="205" customWidth="1"/>
    <col min="6136" max="6136" width="1.5703125" style="205" customWidth="1"/>
    <col min="6137" max="6137" width="10.5703125" style="205" customWidth="1"/>
    <col min="6138" max="6138" width="5.5703125" style="205" customWidth="1"/>
    <col min="6139" max="6139" width="1.5703125" style="205" customWidth="1"/>
    <col min="6140" max="6140" width="10.5703125" style="205" customWidth="1"/>
    <col min="6141" max="6141" width="6.5703125" style="205" customWidth="1"/>
    <col min="6142" max="6142" width="1.5703125" style="205" customWidth="1"/>
    <col min="6143" max="6143" width="10.5703125" style="205" customWidth="1"/>
    <col min="6144" max="6144" width="9.5703125" style="205" customWidth="1"/>
    <col min="6145" max="6145" width="13.42578125" style="205" bestFit="1" customWidth="1"/>
    <col min="6146" max="6146" width="7.5703125" style="205" customWidth="1"/>
    <col min="6147" max="6147" width="11.42578125" style="205"/>
    <col min="6148" max="6148" width="13.42578125" style="205" bestFit="1" customWidth="1"/>
    <col min="6149" max="6385" width="11.42578125" style="205"/>
    <col min="6386" max="6386" width="0.42578125" style="205" customWidth="1"/>
    <col min="6387" max="6387" width="2.5703125" style="205" customWidth="1"/>
    <col min="6388" max="6388" width="15.42578125" style="205" customWidth="1"/>
    <col min="6389" max="6389" width="1.42578125" style="205" customWidth="1"/>
    <col min="6390" max="6390" width="27.5703125" style="205" customWidth="1"/>
    <col min="6391" max="6391" width="6.5703125" style="205" customWidth="1"/>
    <col min="6392" max="6392" width="1.5703125" style="205" customWidth="1"/>
    <col min="6393" max="6393" width="10.5703125" style="205" customWidth="1"/>
    <col min="6394" max="6394" width="5.5703125" style="205" customWidth="1"/>
    <col min="6395" max="6395" width="1.5703125" style="205" customWidth="1"/>
    <col min="6396" max="6396" width="10.5703125" style="205" customWidth="1"/>
    <col min="6397" max="6397" width="6.5703125" style="205" customWidth="1"/>
    <col min="6398" max="6398" width="1.5703125" style="205" customWidth="1"/>
    <col min="6399" max="6399" width="10.5703125" style="205" customWidth="1"/>
    <col min="6400" max="6400" width="9.5703125" style="205" customWidth="1"/>
    <col min="6401" max="6401" width="13.42578125" style="205" bestFit="1" customWidth="1"/>
    <col min="6402" max="6402" width="7.5703125" style="205" customWidth="1"/>
    <col min="6403" max="6403" width="11.42578125" style="205"/>
    <col min="6404" max="6404" width="13.42578125" style="205" bestFit="1" customWidth="1"/>
    <col min="6405" max="6641" width="11.42578125" style="205"/>
    <col min="6642" max="6642" width="0.42578125" style="205" customWidth="1"/>
    <col min="6643" max="6643" width="2.5703125" style="205" customWidth="1"/>
    <col min="6644" max="6644" width="15.42578125" style="205" customWidth="1"/>
    <col min="6645" max="6645" width="1.42578125" style="205" customWidth="1"/>
    <col min="6646" max="6646" width="27.5703125" style="205" customWidth="1"/>
    <col min="6647" max="6647" width="6.5703125" style="205" customWidth="1"/>
    <col min="6648" max="6648" width="1.5703125" style="205" customWidth="1"/>
    <col min="6649" max="6649" width="10.5703125" style="205" customWidth="1"/>
    <col min="6650" max="6650" width="5.5703125" style="205" customWidth="1"/>
    <col min="6651" max="6651" width="1.5703125" style="205" customWidth="1"/>
    <col min="6652" max="6652" width="10.5703125" style="205" customWidth="1"/>
    <col min="6653" max="6653" width="6.5703125" style="205" customWidth="1"/>
    <col min="6654" max="6654" width="1.5703125" style="205" customWidth="1"/>
    <col min="6655" max="6655" width="10.5703125" style="205" customWidth="1"/>
    <col min="6656" max="6656" width="9.5703125" style="205" customWidth="1"/>
    <col min="6657" max="6657" width="13.42578125" style="205" bestFit="1" customWidth="1"/>
    <col min="6658" max="6658" width="7.5703125" style="205" customWidth="1"/>
    <col min="6659" max="6659" width="11.42578125" style="205"/>
    <col min="6660" max="6660" width="13.42578125" style="205" bestFit="1" customWidth="1"/>
    <col min="6661" max="6897" width="11.42578125" style="205"/>
    <col min="6898" max="6898" width="0.42578125" style="205" customWidth="1"/>
    <col min="6899" max="6899" width="2.5703125" style="205" customWidth="1"/>
    <col min="6900" max="6900" width="15.42578125" style="205" customWidth="1"/>
    <col min="6901" max="6901" width="1.42578125" style="205" customWidth="1"/>
    <col min="6902" max="6902" width="27.5703125" style="205" customWidth="1"/>
    <col min="6903" max="6903" width="6.5703125" style="205" customWidth="1"/>
    <col min="6904" max="6904" width="1.5703125" style="205" customWidth="1"/>
    <col min="6905" max="6905" width="10.5703125" style="205" customWidth="1"/>
    <col min="6906" max="6906" width="5.5703125" style="205" customWidth="1"/>
    <col min="6907" max="6907" width="1.5703125" style="205" customWidth="1"/>
    <col min="6908" max="6908" width="10.5703125" style="205" customWidth="1"/>
    <col min="6909" max="6909" width="6.5703125" style="205" customWidth="1"/>
    <col min="6910" max="6910" width="1.5703125" style="205" customWidth="1"/>
    <col min="6911" max="6911" width="10.5703125" style="205" customWidth="1"/>
    <col min="6912" max="6912" width="9.5703125" style="205" customWidth="1"/>
    <col min="6913" max="6913" width="13.42578125" style="205" bestFit="1" customWidth="1"/>
    <col min="6914" max="6914" width="7.5703125" style="205" customWidth="1"/>
    <col min="6915" max="6915" width="11.42578125" style="205"/>
    <col min="6916" max="6916" width="13.42578125" style="205" bestFit="1" customWidth="1"/>
    <col min="6917" max="7153" width="11.42578125" style="205"/>
    <col min="7154" max="7154" width="0.42578125" style="205" customWidth="1"/>
    <col min="7155" max="7155" width="2.5703125" style="205" customWidth="1"/>
    <col min="7156" max="7156" width="15.42578125" style="205" customWidth="1"/>
    <col min="7157" max="7157" width="1.42578125" style="205" customWidth="1"/>
    <col min="7158" max="7158" width="27.5703125" style="205" customWidth="1"/>
    <col min="7159" max="7159" width="6.5703125" style="205" customWidth="1"/>
    <col min="7160" max="7160" width="1.5703125" style="205" customWidth="1"/>
    <col min="7161" max="7161" width="10.5703125" style="205" customWidth="1"/>
    <col min="7162" max="7162" width="5.5703125" style="205" customWidth="1"/>
    <col min="7163" max="7163" width="1.5703125" style="205" customWidth="1"/>
    <col min="7164" max="7164" width="10.5703125" style="205" customWidth="1"/>
    <col min="7165" max="7165" width="6.5703125" style="205" customWidth="1"/>
    <col min="7166" max="7166" width="1.5703125" style="205" customWidth="1"/>
    <col min="7167" max="7167" width="10.5703125" style="205" customWidth="1"/>
    <col min="7168" max="7168" width="9.5703125" style="205" customWidth="1"/>
    <col min="7169" max="7169" width="13.42578125" style="205" bestFit="1" customWidth="1"/>
    <col min="7170" max="7170" width="7.5703125" style="205" customWidth="1"/>
    <col min="7171" max="7171" width="11.42578125" style="205"/>
    <col min="7172" max="7172" width="13.42578125" style="205" bestFit="1" customWidth="1"/>
    <col min="7173" max="7409" width="11.42578125" style="205"/>
    <col min="7410" max="7410" width="0.42578125" style="205" customWidth="1"/>
    <col min="7411" max="7411" width="2.5703125" style="205" customWidth="1"/>
    <col min="7412" max="7412" width="15.42578125" style="205" customWidth="1"/>
    <col min="7413" max="7413" width="1.42578125" style="205" customWidth="1"/>
    <col min="7414" max="7414" width="27.5703125" style="205" customWidth="1"/>
    <col min="7415" max="7415" width="6.5703125" style="205" customWidth="1"/>
    <col min="7416" max="7416" width="1.5703125" style="205" customWidth="1"/>
    <col min="7417" max="7417" width="10.5703125" style="205" customWidth="1"/>
    <col min="7418" max="7418" width="5.5703125" style="205" customWidth="1"/>
    <col min="7419" max="7419" width="1.5703125" style="205" customWidth="1"/>
    <col min="7420" max="7420" width="10.5703125" style="205" customWidth="1"/>
    <col min="7421" max="7421" width="6.5703125" style="205" customWidth="1"/>
    <col min="7422" max="7422" width="1.5703125" style="205" customWidth="1"/>
    <col min="7423" max="7423" width="10.5703125" style="205" customWidth="1"/>
    <col min="7424" max="7424" width="9.5703125" style="205" customWidth="1"/>
    <col min="7425" max="7425" width="13.42578125" style="205" bestFit="1" customWidth="1"/>
    <col min="7426" max="7426" width="7.5703125" style="205" customWidth="1"/>
    <col min="7427" max="7427" width="11.42578125" style="205"/>
    <col min="7428" max="7428" width="13.42578125" style="205" bestFit="1" customWidth="1"/>
    <col min="7429" max="7665" width="11.42578125" style="205"/>
    <col min="7666" max="7666" width="0.42578125" style="205" customWidth="1"/>
    <col min="7667" max="7667" width="2.5703125" style="205" customWidth="1"/>
    <col min="7668" max="7668" width="15.42578125" style="205" customWidth="1"/>
    <col min="7669" max="7669" width="1.42578125" style="205" customWidth="1"/>
    <col min="7670" max="7670" width="27.5703125" style="205" customWidth="1"/>
    <col min="7671" max="7671" width="6.5703125" style="205" customWidth="1"/>
    <col min="7672" max="7672" width="1.5703125" style="205" customWidth="1"/>
    <col min="7673" max="7673" width="10.5703125" style="205" customWidth="1"/>
    <col min="7674" max="7674" width="5.5703125" style="205" customWidth="1"/>
    <col min="7675" max="7675" width="1.5703125" style="205" customWidth="1"/>
    <col min="7676" max="7676" width="10.5703125" style="205" customWidth="1"/>
    <col min="7677" max="7677" width="6.5703125" style="205" customWidth="1"/>
    <col min="7678" max="7678" width="1.5703125" style="205" customWidth="1"/>
    <col min="7679" max="7679" width="10.5703125" style="205" customWidth="1"/>
    <col min="7680" max="7680" width="9.5703125" style="205" customWidth="1"/>
    <col min="7681" max="7681" width="13.42578125" style="205" bestFit="1" customWidth="1"/>
    <col min="7682" max="7682" width="7.5703125" style="205" customWidth="1"/>
    <col min="7683" max="7683" width="11.42578125" style="205"/>
    <col min="7684" max="7684" width="13.42578125" style="205" bestFit="1" customWidth="1"/>
    <col min="7685" max="7921" width="11.42578125" style="205"/>
    <col min="7922" max="7922" width="0.42578125" style="205" customWidth="1"/>
    <col min="7923" max="7923" width="2.5703125" style="205" customWidth="1"/>
    <col min="7924" max="7924" width="15.42578125" style="205" customWidth="1"/>
    <col min="7925" max="7925" width="1.42578125" style="205" customWidth="1"/>
    <col min="7926" max="7926" width="27.5703125" style="205" customWidth="1"/>
    <col min="7927" max="7927" width="6.5703125" style="205" customWidth="1"/>
    <col min="7928" max="7928" width="1.5703125" style="205" customWidth="1"/>
    <col min="7929" max="7929" width="10.5703125" style="205" customWidth="1"/>
    <col min="7930" max="7930" width="5.5703125" style="205" customWidth="1"/>
    <col min="7931" max="7931" width="1.5703125" style="205" customWidth="1"/>
    <col min="7932" max="7932" width="10.5703125" style="205" customWidth="1"/>
    <col min="7933" max="7933" width="6.5703125" style="205" customWidth="1"/>
    <col min="7934" max="7934" width="1.5703125" style="205" customWidth="1"/>
    <col min="7935" max="7935" width="10.5703125" style="205" customWidth="1"/>
    <col min="7936" max="7936" width="9.5703125" style="205" customWidth="1"/>
    <col min="7937" max="7937" width="13.42578125" style="205" bestFit="1" customWidth="1"/>
    <col min="7938" max="7938" width="7.5703125" style="205" customWidth="1"/>
    <col min="7939" max="7939" width="11.42578125" style="205"/>
    <col min="7940" max="7940" width="13.42578125" style="205" bestFit="1" customWidth="1"/>
    <col min="7941" max="8177" width="11.42578125" style="205"/>
    <col min="8178" max="8178" width="0.42578125" style="205" customWidth="1"/>
    <col min="8179" max="8179" width="2.5703125" style="205" customWidth="1"/>
    <col min="8180" max="8180" width="15.42578125" style="205" customWidth="1"/>
    <col min="8181" max="8181" width="1.42578125" style="205" customWidth="1"/>
    <col min="8182" max="8182" width="27.5703125" style="205" customWidth="1"/>
    <col min="8183" max="8183" width="6.5703125" style="205" customWidth="1"/>
    <col min="8184" max="8184" width="1.5703125" style="205" customWidth="1"/>
    <col min="8185" max="8185" width="10.5703125" style="205" customWidth="1"/>
    <col min="8186" max="8186" width="5.5703125" style="205" customWidth="1"/>
    <col min="8187" max="8187" width="1.5703125" style="205" customWidth="1"/>
    <col min="8188" max="8188" width="10.5703125" style="205" customWidth="1"/>
    <col min="8189" max="8189" width="6.5703125" style="205" customWidth="1"/>
    <col min="8190" max="8190" width="1.5703125" style="205" customWidth="1"/>
    <col min="8191" max="8191" width="10.5703125" style="205" customWidth="1"/>
    <col min="8192" max="8192" width="9.5703125" style="205" customWidth="1"/>
    <col min="8193" max="8193" width="13.42578125" style="205" bestFit="1" customWidth="1"/>
    <col min="8194" max="8194" width="7.5703125" style="205" customWidth="1"/>
    <col min="8195" max="8195" width="11.42578125" style="205"/>
    <col min="8196" max="8196" width="13.42578125" style="205" bestFit="1" customWidth="1"/>
    <col min="8197" max="8433" width="11.42578125" style="205"/>
    <col min="8434" max="8434" width="0.42578125" style="205" customWidth="1"/>
    <col min="8435" max="8435" width="2.5703125" style="205" customWidth="1"/>
    <col min="8436" max="8436" width="15.42578125" style="205" customWidth="1"/>
    <col min="8437" max="8437" width="1.42578125" style="205" customWidth="1"/>
    <col min="8438" max="8438" width="27.5703125" style="205" customWidth="1"/>
    <col min="8439" max="8439" width="6.5703125" style="205" customWidth="1"/>
    <col min="8440" max="8440" width="1.5703125" style="205" customWidth="1"/>
    <col min="8441" max="8441" width="10.5703125" style="205" customWidth="1"/>
    <col min="8442" max="8442" width="5.5703125" style="205" customWidth="1"/>
    <col min="8443" max="8443" width="1.5703125" style="205" customWidth="1"/>
    <col min="8444" max="8444" width="10.5703125" style="205" customWidth="1"/>
    <col min="8445" max="8445" width="6.5703125" style="205" customWidth="1"/>
    <col min="8446" max="8446" width="1.5703125" style="205" customWidth="1"/>
    <col min="8447" max="8447" width="10.5703125" style="205" customWidth="1"/>
    <col min="8448" max="8448" width="9.5703125" style="205" customWidth="1"/>
    <col min="8449" max="8449" width="13.42578125" style="205" bestFit="1" customWidth="1"/>
    <col min="8450" max="8450" width="7.5703125" style="205" customWidth="1"/>
    <col min="8451" max="8451" width="11.42578125" style="205"/>
    <col min="8452" max="8452" width="13.42578125" style="205" bestFit="1" customWidth="1"/>
    <col min="8453" max="8689" width="11.42578125" style="205"/>
    <col min="8690" max="8690" width="0.42578125" style="205" customWidth="1"/>
    <col min="8691" max="8691" width="2.5703125" style="205" customWidth="1"/>
    <col min="8692" max="8692" width="15.42578125" style="205" customWidth="1"/>
    <col min="8693" max="8693" width="1.42578125" style="205" customWidth="1"/>
    <col min="8694" max="8694" width="27.5703125" style="205" customWidth="1"/>
    <col min="8695" max="8695" width="6.5703125" style="205" customWidth="1"/>
    <col min="8696" max="8696" width="1.5703125" style="205" customWidth="1"/>
    <col min="8697" max="8697" width="10.5703125" style="205" customWidth="1"/>
    <col min="8698" max="8698" width="5.5703125" style="205" customWidth="1"/>
    <col min="8699" max="8699" width="1.5703125" style="205" customWidth="1"/>
    <col min="8700" max="8700" width="10.5703125" style="205" customWidth="1"/>
    <col min="8701" max="8701" width="6.5703125" style="205" customWidth="1"/>
    <col min="8702" max="8702" width="1.5703125" style="205" customWidth="1"/>
    <col min="8703" max="8703" width="10.5703125" style="205" customWidth="1"/>
    <col min="8704" max="8704" width="9.5703125" style="205" customWidth="1"/>
    <col min="8705" max="8705" width="13.42578125" style="205" bestFit="1" customWidth="1"/>
    <col min="8706" max="8706" width="7.5703125" style="205" customWidth="1"/>
    <col min="8707" max="8707" width="11.42578125" style="205"/>
    <col min="8708" max="8708" width="13.42578125" style="205" bestFit="1" customWidth="1"/>
    <col min="8709" max="8945" width="11.42578125" style="205"/>
    <col min="8946" max="8946" width="0.42578125" style="205" customWidth="1"/>
    <col min="8947" max="8947" width="2.5703125" style="205" customWidth="1"/>
    <col min="8948" max="8948" width="15.42578125" style="205" customWidth="1"/>
    <col min="8949" max="8949" width="1.42578125" style="205" customWidth="1"/>
    <col min="8950" max="8950" width="27.5703125" style="205" customWidth="1"/>
    <col min="8951" max="8951" width="6.5703125" style="205" customWidth="1"/>
    <col min="8952" max="8952" width="1.5703125" style="205" customWidth="1"/>
    <col min="8953" max="8953" width="10.5703125" style="205" customWidth="1"/>
    <col min="8954" max="8954" width="5.5703125" style="205" customWidth="1"/>
    <col min="8955" max="8955" width="1.5703125" style="205" customWidth="1"/>
    <col min="8956" max="8956" width="10.5703125" style="205" customWidth="1"/>
    <col min="8957" max="8957" width="6.5703125" style="205" customWidth="1"/>
    <col min="8958" max="8958" width="1.5703125" style="205" customWidth="1"/>
    <col min="8959" max="8959" width="10.5703125" style="205" customWidth="1"/>
    <col min="8960" max="8960" width="9.5703125" style="205" customWidth="1"/>
    <col min="8961" max="8961" width="13.42578125" style="205" bestFit="1" customWidth="1"/>
    <col min="8962" max="8962" width="7.5703125" style="205" customWidth="1"/>
    <col min="8963" max="8963" width="11.42578125" style="205"/>
    <col min="8964" max="8964" width="13.42578125" style="205" bestFit="1" customWidth="1"/>
    <col min="8965" max="9201" width="11.42578125" style="205"/>
    <col min="9202" max="9202" width="0.42578125" style="205" customWidth="1"/>
    <col min="9203" max="9203" width="2.5703125" style="205" customWidth="1"/>
    <col min="9204" max="9204" width="15.42578125" style="205" customWidth="1"/>
    <col min="9205" max="9205" width="1.42578125" style="205" customWidth="1"/>
    <col min="9206" max="9206" width="27.5703125" style="205" customWidth="1"/>
    <col min="9207" max="9207" width="6.5703125" style="205" customWidth="1"/>
    <col min="9208" max="9208" width="1.5703125" style="205" customWidth="1"/>
    <col min="9209" max="9209" width="10.5703125" style="205" customWidth="1"/>
    <col min="9210" max="9210" width="5.5703125" style="205" customWidth="1"/>
    <col min="9211" max="9211" width="1.5703125" style="205" customWidth="1"/>
    <col min="9212" max="9212" width="10.5703125" style="205" customWidth="1"/>
    <col min="9213" max="9213" width="6.5703125" style="205" customWidth="1"/>
    <col min="9214" max="9214" width="1.5703125" style="205" customWidth="1"/>
    <col min="9215" max="9215" width="10.5703125" style="205" customWidth="1"/>
    <col min="9216" max="9216" width="9.5703125" style="205" customWidth="1"/>
    <col min="9217" max="9217" width="13.42578125" style="205" bestFit="1" customWidth="1"/>
    <col min="9218" max="9218" width="7.5703125" style="205" customWidth="1"/>
    <col min="9219" max="9219" width="11.42578125" style="205"/>
    <col min="9220" max="9220" width="13.42578125" style="205" bestFit="1" customWidth="1"/>
    <col min="9221" max="9457" width="11.42578125" style="205"/>
    <col min="9458" max="9458" width="0.42578125" style="205" customWidth="1"/>
    <col min="9459" max="9459" width="2.5703125" style="205" customWidth="1"/>
    <col min="9460" max="9460" width="15.42578125" style="205" customWidth="1"/>
    <col min="9461" max="9461" width="1.42578125" style="205" customWidth="1"/>
    <col min="9462" max="9462" width="27.5703125" style="205" customWidth="1"/>
    <col min="9463" max="9463" width="6.5703125" style="205" customWidth="1"/>
    <col min="9464" max="9464" width="1.5703125" style="205" customWidth="1"/>
    <col min="9465" max="9465" width="10.5703125" style="205" customWidth="1"/>
    <col min="9466" max="9466" width="5.5703125" style="205" customWidth="1"/>
    <col min="9467" max="9467" width="1.5703125" style="205" customWidth="1"/>
    <col min="9468" max="9468" width="10.5703125" style="205" customWidth="1"/>
    <col min="9469" max="9469" width="6.5703125" style="205" customWidth="1"/>
    <col min="9470" max="9470" width="1.5703125" style="205" customWidth="1"/>
    <col min="9471" max="9471" width="10.5703125" style="205" customWidth="1"/>
    <col min="9472" max="9472" width="9.5703125" style="205" customWidth="1"/>
    <col min="9473" max="9473" width="13.42578125" style="205" bestFit="1" customWidth="1"/>
    <col min="9474" max="9474" width="7.5703125" style="205" customWidth="1"/>
    <col min="9475" max="9475" width="11.42578125" style="205"/>
    <col min="9476" max="9476" width="13.42578125" style="205" bestFit="1" customWidth="1"/>
    <col min="9477" max="9713" width="11.42578125" style="205"/>
    <col min="9714" max="9714" width="0.42578125" style="205" customWidth="1"/>
    <col min="9715" max="9715" width="2.5703125" style="205" customWidth="1"/>
    <col min="9716" max="9716" width="15.42578125" style="205" customWidth="1"/>
    <col min="9717" max="9717" width="1.42578125" style="205" customWidth="1"/>
    <col min="9718" max="9718" width="27.5703125" style="205" customWidth="1"/>
    <col min="9719" max="9719" width="6.5703125" style="205" customWidth="1"/>
    <col min="9720" max="9720" width="1.5703125" style="205" customWidth="1"/>
    <col min="9721" max="9721" width="10.5703125" style="205" customWidth="1"/>
    <col min="9722" max="9722" width="5.5703125" style="205" customWidth="1"/>
    <col min="9723" max="9723" width="1.5703125" style="205" customWidth="1"/>
    <col min="9724" max="9724" width="10.5703125" style="205" customWidth="1"/>
    <col min="9725" max="9725" width="6.5703125" style="205" customWidth="1"/>
    <col min="9726" max="9726" width="1.5703125" style="205" customWidth="1"/>
    <col min="9727" max="9727" width="10.5703125" style="205" customWidth="1"/>
    <col min="9728" max="9728" width="9.5703125" style="205" customWidth="1"/>
    <col min="9729" max="9729" width="13.42578125" style="205" bestFit="1" customWidth="1"/>
    <col min="9730" max="9730" width="7.5703125" style="205" customWidth="1"/>
    <col min="9731" max="9731" width="11.42578125" style="205"/>
    <col min="9732" max="9732" width="13.42578125" style="205" bestFit="1" customWidth="1"/>
    <col min="9733" max="9969" width="11.42578125" style="205"/>
    <col min="9970" max="9970" width="0.42578125" style="205" customWidth="1"/>
    <col min="9971" max="9971" width="2.5703125" style="205" customWidth="1"/>
    <col min="9972" max="9972" width="15.42578125" style="205" customWidth="1"/>
    <col min="9973" max="9973" width="1.42578125" style="205" customWidth="1"/>
    <col min="9974" max="9974" width="27.5703125" style="205" customWidth="1"/>
    <col min="9975" max="9975" width="6.5703125" style="205" customWidth="1"/>
    <col min="9976" max="9976" width="1.5703125" style="205" customWidth="1"/>
    <col min="9977" max="9977" width="10.5703125" style="205" customWidth="1"/>
    <col min="9978" max="9978" width="5.5703125" style="205" customWidth="1"/>
    <col min="9979" max="9979" width="1.5703125" style="205" customWidth="1"/>
    <col min="9980" max="9980" width="10.5703125" style="205" customWidth="1"/>
    <col min="9981" max="9981" width="6.5703125" style="205" customWidth="1"/>
    <col min="9982" max="9982" width="1.5703125" style="205" customWidth="1"/>
    <col min="9983" max="9983" width="10.5703125" style="205" customWidth="1"/>
    <col min="9984" max="9984" width="9.5703125" style="205" customWidth="1"/>
    <col min="9985" max="9985" width="13.42578125" style="205" bestFit="1" customWidth="1"/>
    <col min="9986" max="9986" width="7.5703125" style="205" customWidth="1"/>
    <col min="9987" max="9987" width="11.42578125" style="205"/>
    <col min="9988" max="9988" width="13.42578125" style="205" bestFit="1" customWidth="1"/>
    <col min="9989" max="10225" width="11.42578125" style="205"/>
    <col min="10226" max="10226" width="0.42578125" style="205" customWidth="1"/>
    <col min="10227" max="10227" width="2.5703125" style="205" customWidth="1"/>
    <col min="10228" max="10228" width="15.42578125" style="205" customWidth="1"/>
    <col min="10229" max="10229" width="1.42578125" style="205" customWidth="1"/>
    <col min="10230" max="10230" width="27.5703125" style="205" customWidth="1"/>
    <col min="10231" max="10231" width="6.5703125" style="205" customWidth="1"/>
    <col min="10232" max="10232" width="1.5703125" style="205" customWidth="1"/>
    <col min="10233" max="10233" width="10.5703125" style="205" customWidth="1"/>
    <col min="10234" max="10234" width="5.5703125" style="205" customWidth="1"/>
    <col min="10235" max="10235" width="1.5703125" style="205" customWidth="1"/>
    <col min="10236" max="10236" width="10.5703125" style="205" customWidth="1"/>
    <col min="10237" max="10237" width="6.5703125" style="205" customWidth="1"/>
    <col min="10238" max="10238" width="1.5703125" style="205" customWidth="1"/>
    <col min="10239" max="10239" width="10.5703125" style="205" customWidth="1"/>
    <col min="10240" max="10240" width="9.5703125" style="205" customWidth="1"/>
    <col min="10241" max="10241" width="13.42578125" style="205" bestFit="1" customWidth="1"/>
    <col min="10242" max="10242" width="7.5703125" style="205" customWidth="1"/>
    <col min="10243" max="10243" width="11.42578125" style="205"/>
    <col min="10244" max="10244" width="13.42578125" style="205" bestFit="1" customWidth="1"/>
    <col min="10245" max="10481" width="11.42578125" style="205"/>
    <col min="10482" max="10482" width="0.42578125" style="205" customWidth="1"/>
    <col min="10483" max="10483" width="2.5703125" style="205" customWidth="1"/>
    <col min="10484" max="10484" width="15.42578125" style="205" customWidth="1"/>
    <col min="10485" max="10485" width="1.42578125" style="205" customWidth="1"/>
    <col min="10486" max="10486" width="27.5703125" style="205" customWidth="1"/>
    <col min="10487" max="10487" width="6.5703125" style="205" customWidth="1"/>
    <col min="10488" max="10488" width="1.5703125" style="205" customWidth="1"/>
    <col min="10489" max="10489" width="10.5703125" style="205" customWidth="1"/>
    <col min="10490" max="10490" width="5.5703125" style="205" customWidth="1"/>
    <col min="10491" max="10491" width="1.5703125" style="205" customWidth="1"/>
    <col min="10492" max="10492" width="10.5703125" style="205" customWidth="1"/>
    <col min="10493" max="10493" width="6.5703125" style="205" customWidth="1"/>
    <col min="10494" max="10494" width="1.5703125" style="205" customWidth="1"/>
    <col min="10495" max="10495" width="10.5703125" style="205" customWidth="1"/>
    <col min="10496" max="10496" width="9.5703125" style="205" customWidth="1"/>
    <col min="10497" max="10497" width="13.42578125" style="205" bestFit="1" customWidth="1"/>
    <col min="10498" max="10498" width="7.5703125" style="205" customWidth="1"/>
    <col min="10499" max="10499" width="11.42578125" style="205"/>
    <col min="10500" max="10500" width="13.42578125" style="205" bestFit="1" customWidth="1"/>
    <col min="10501" max="10737" width="11.42578125" style="205"/>
    <col min="10738" max="10738" width="0.42578125" style="205" customWidth="1"/>
    <col min="10739" max="10739" width="2.5703125" style="205" customWidth="1"/>
    <col min="10740" max="10740" width="15.42578125" style="205" customWidth="1"/>
    <col min="10741" max="10741" width="1.42578125" style="205" customWidth="1"/>
    <col min="10742" max="10742" width="27.5703125" style="205" customWidth="1"/>
    <col min="10743" max="10743" width="6.5703125" style="205" customWidth="1"/>
    <col min="10744" max="10744" width="1.5703125" style="205" customWidth="1"/>
    <col min="10745" max="10745" width="10.5703125" style="205" customWidth="1"/>
    <col min="10746" max="10746" width="5.5703125" style="205" customWidth="1"/>
    <col min="10747" max="10747" width="1.5703125" style="205" customWidth="1"/>
    <col min="10748" max="10748" width="10.5703125" style="205" customWidth="1"/>
    <col min="10749" max="10749" width="6.5703125" style="205" customWidth="1"/>
    <col min="10750" max="10750" width="1.5703125" style="205" customWidth="1"/>
    <col min="10751" max="10751" width="10.5703125" style="205" customWidth="1"/>
    <col min="10752" max="10752" width="9.5703125" style="205" customWidth="1"/>
    <col min="10753" max="10753" width="13.42578125" style="205" bestFit="1" customWidth="1"/>
    <col min="10754" max="10754" width="7.5703125" style="205" customWidth="1"/>
    <col min="10755" max="10755" width="11.42578125" style="205"/>
    <col min="10756" max="10756" width="13.42578125" style="205" bestFit="1" customWidth="1"/>
    <col min="10757" max="10993" width="11.42578125" style="205"/>
    <col min="10994" max="10994" width="0.42578125" style="205" customWidth="1"/>
    <col min="10995" max="10995" width="2.5703125" style="205" customWidth="1"/>
    <col min="10996" max="10996" width="15.42578125" style="205" customWidth="1"/>
    <col min="10997" max="10997" width="1.42578125" style="205" customWidth="1"/>
    <col min="10998" max="10998" width="27.5703125" style="205" customWidth="1"/>
    <col min="10999" max="10999" width="6.5703125" style="205" customWidth="1"/>
    <col min="11000" max="11000" width="1.5703125" style="205" customWidth="1"/>
    <col min="11001" max="11001" width="10.5703125" style="205" customWidth="1"/>
    <col min="11002" max="11002" width="5.5703125" style="205" customWidth="1"/>
    <col min="11003" max="11003" width="1.5703125" style="205" customWidth="1"/>
    <col min="11004" max="11004" width="10.5703125" style="205" customWidth="1"/>
    <col min="11005" max="11005" width="6.5703125" style="205" customWidth="1"/>
    <col min="11006" max="11006" width="1.5703125" style="205" customWidth="1"/>
    <col min="11007" max="11007" width="10.5703125" style="205" customWidth="1"/>
    <col min="11008" max="11008" width="9.5703125" style="205" customWidth="1"/>
    <col min="11009" max="11009" width="13.42578125" style="205" bestFit="1" customWidth="1"/>
    <col min="11010" max="11010" width="7.5703125" style="205" customWidth="1"/>
    <col min="11011" max="11011" width="11.42578125" style="205"/>
    <col min="11012" max="11012" width="13.42578125" style="205" bestFit="1" customWidth="1"/>
    <col min="11013" max="11249" width="11.42578125" style="205"/>
    <col min="11250" max="11250" width="0.42578125" style="205" customWidth="1"/>
    <col min="11251" max="11251" width="2.5703125" style="205" customWidth="1"/>
    <col min="11252" max="11252" width="15.42578125" style="205" customWidth="1"/>
    <col min="11253" max="11253" width="1.42578125" style="205" customWidth="1"/>
    <col min="11254" max="11254" width="27.5703125" style="205" customWidth="1"/>
    <col min="11255" max="11255" width="6.5703125" style="205" customWidth="1"/>
    <col min="11256" max="11256" width="1.5703125" style="205" customWidth="1"/>
    <col min="11257" max="11257" width="10.5703125" style="205" customWidth="1"/>
    <col min="11258" max="11258" width="5.5703125" style="205" customWidth="1"/>
    <col min="11259" max="11259" width="1.5703125" style="205" customWidth="1"/>
    <col min="11260" max="11260" width="10.5703125" style="205" customWidth="1"/>
    <col min="11261" max="11261" width="6.5703125" style="205" customWidth="1"/>
    <col min="11262" max="11262" width="1.5703125" style="205" customWidth="1"/>
    <col min="11263" max="11263" width="10.5703125" style="205" customWidth="1"/>
    <col min="11264" max="11264" width="9.5703125" style="205" customWidth="1"/>
    <col min="11265" max="11265" width="13.42578125" style="205" bestFit="1" customWidth="1"/>
    <col min="11266" max="11266" width="7.5703125" style="205" customWidth="1"/>
    <col min="11267" max="11267" width="11.42578125" style="205"/>
    <col min="11268" max="11268" width="13.42578125" style="205" bestFit="1" customWidth="1"/>
    <col min="11269" max="11505" width="11.42578125" style="205"/>
    <col min="11506" max="11506" width="0.42578125" style="205" customWidth="1"/>
    <col min="11507" max="11507" width="2.5703125" style="205" customWidth="1"/>
    <col min="11508" max="11508" width="15.42578125" style="205" customWidth="1"/>
    <col min="11509" max="11509" width="1.42578125" style="205" customWidth="1"/>
    <col min="11510" max="11510" width="27.5703125" style="205" customWidth="1"/>
    <col min="11511" max="11511" width="6.5703125" style="205" customWidth="1"/>
    <col min="11512" max="11512" width="1.5703125" style="205" customWidth="1"/>
    <col min="11513" max="11513" width="10.5703125" style="205" customWidth="1"/>
    <col min="11514" max="11514" width="5.5703125" style="205" customWidth="1"/>
    <col min="11515" max="11515" width="1.5703125" style="205" customWidth="1"/>
    <col min="11516" max="11516" width="10.5703125" style="205" customWidth="1"/>
    <col min="11517" max="11517" width="6.5703125" style="205" customWidth="1"/>
    <col min="11518" max="11518" width="1.5703125" style="205" customWidth="1"/>
    <col min="11519" max="11519" width="10.5703125" style="205" customWidth="1"/>
    <col min="11520" max="11520" width="9.5703125" style="205" customWidth="1"/>
    <col min="11521" max="11521" width="13.42578125" style="205" bestFit="1" customWidth="1"/>
    <col min="11522" max="11522" width="7.5703125" style="205" customWidth="1"/>
    <col min="11523" max="11523" width="11.42578125" style="205"/>
    <col min="11524" max="11524" width="13.42578125" style="205" bestFit="1" customWidth="1"/>
    <col min="11525" max="11761" width="11.42578125" style="205"/>
    <col min="11762" max="11762" width="0.42578125" style="205" customWidth="1"/>
    <col min="11763" max="11763" width="2.5703125" style="205" customWidth="1"/>
    <col min="11764" max="11764" width="15.42578125" style="205" customWidth="1"/>
    <col min="11765" max="11765" width="1.42578125" style="205" customWidth="1"/>
    <col min="11766" max="11766" width="27.5703125" style="205" customWidth="1"/>
    <col min="11767" max="11767" width="6.5703125" style="205" customWidth="1"/>
    <col min="11768" max="11768" width="1.5703125" style="205" customWidth="1"/>
    <col min="11769" max="11769" width="10.5703125" style="205" customWidth="1"/>
    <col min="11770" max="11770" width="5.5703125" style="205" customWidth="1"/>
    <col min="11771" max="11771" width="1.5703125" style="205" customWidth="1"/>
    <col min="11772" max="11772" width="10.5703125" style="205" customWidth="1"/>
    <col min="11773" max="11773" width="6.5703125" style="205" customWidth="1"/>
    <col min="11774" max="11774" width="1.5703125" style="205" customWidth="1"/>
    <col min="11775" max="11775" width="10.5703125" style="205" customWidth="1"/>
    <col min="11776" max="11776" width="9.5703125" style="205" customWidth="1"/>
    <col min="11777" max="11777" width="13.42578125" style="205" bestFit="1" customWidth="1"/>
    <col min="11778" max="11778" width="7.5703125" style="205" customWidth="1"/>
    <col min="11779" max="11779" width="11.42578125" style="205"/>
    <col min="11780" max="11780" width="13.42578125" style="205" bestFit="1" customWidth="1"/>
    <col min="11781" max="12017" width="11.42578125" style="205"/>
    <col min="12018" max="12018" width="0.42578125" style="205" customWidth="1"/>
    <col min="12019" max="12019" width="2.5703125" style="205" customWidth="1"/>
    <col min="12020" max="12020" width="15.42578125" style="205" customWidth="1"/>
    <col min="12021" max="12021" width="1.42578125" style="205" customWidth="1"/>
    <col min="12022" max="12022" width="27.5703125" style="205" customWidth="1"/>
    <col min="12023" max="12023" width="6.5703125" style="205" customWidth="1"/>
    <col min="12024" max="12024" width="1.5703125" style="205" customWidth="1"/>
    <col min="12025" max="12025" width="10.5703125" style="205" customWidth="1"/>
    <col min="12026" max="12026" width="5.5703125" style="205" customWidth="1"/>
    <col min="12027" max="12027" width="1.5703125" style="205" customWidth="1"/>
    <col min="12028" max="12028" width="10.5703125" style="205" customWidth="1"/>
    <col min="12029" max="12029" width="6.5703125" style="205" customWidth="1"/>
    <col min="12030" max="12030" width="1.5703125" style="205" customWidth="1"/>
    <col min="12031" max="12031" width="10.5703125" style="205" customWidth="1"/>
    <col min="12032" max="12032" width="9.5703125" style="205" customWidth="1"/>
    <col min="12033" max="12033" width="13.42578125" style="205" bestFit="1" customWidth="1"/>
    <col min="12034" max="12034" width="7.5703125" style="205" customWidth="1"/>
    <col min="12035" max="12035" width="11.42578125" style="205"/>
    <col min="12036" max="12036" width="13.42578125" style="205" bestFit="1" customWidth="1"/>
    <col min="12037" max="12273" width="11.42578125" style="205"/>
    <col min="12274" max="12274" width="0.42578125" style="205" customWidth="1"/>
    <col min="12275" max="12275" width="2.5703125" style="205" customWidth="1"/>
    <col min="12276" max="12276" width="15.42578125" style="205" customWidth="1"/>
    <col min="12277" max="12277" width="1.42578125" style="205" customWidth="1"/>
    <col min="12278" max="12278" width="27.5703125" style="205" customWidth="1"/>
    <col min="12279" max="12279" width="6.5703125" style="205" customWidth="1"/>
    <col min="12280" max="12280" width="1.5703125" style="205" customWidth="1"/>
    <col min="12281" max="12281" width="10.5703125" style="205" customWidth="1"/>
    <col min="12282" max="12282" width="5.5703125" style="205" customWidth="1"/>
    <col min="12283" max="12283" width="1.5703125" style="205" customWidth="1"/>
    <col min="12284" max="12284" width="10.5703125" style="205" customWidth="1"/>
    <col min="12285" max="12285" width="6.5703125" style="205" customWidth="1"/>
    <col min="12286" max="12286" width="1.5703125" style="205" customWidth="1"/>
    <col min="12287" max="12287" width="10.5703125" style="205" customWidth="1"/>
    <col min="12288" max="12288" width="9.5703125" style="205" customWidth="1"/>
    <col min="12289" max="12289" width="13.42578125" style="205" bestFit="1" customWidth="1"/>
    <col min="12290" max="12290" width="7.5703125" style="205" customWidth="1"/>
    <col min="12291" max="12291" width="11.42578125" style="205"/>
    <col min="12292" max="12292" width="13.42578125" style="205" bestFit="1" customWidth="1"/>
    <col min="12293" max="12529" width="11.42578125" style="205"/>
    <col min="12530" max="12530" width="0.42578125" style="205" customWidth="1"/>
    <col min="12531" max="12531" width="2.5703125" style="205" customWidth="1"/>
    <col min="12532" max="12532" width="15.42578125" style="205" customWidth="1"/>
    <col min="12533" max="12533" width="1.42578125" style="205" customWidth="1"/>
    <col min="12534" max="12534" width="27.5703125" style="205" customWidth="1"/>
    <col min="12535" max="12535" width="6.5703125" style="205" customWidth="1"/>
    <col min="12536" max="12536" width="1.5703125" style="205" customWidth="1"/>
    <col min="12537" max="12537" width="10.5703125" style="205" customWidth="1"/>
    <col min="12538" max="12538" width="5.5703125" style="205" customWidth="1"/>
    <col min="12539" max="12539" width="1.5703125" style="205" customWidth="1"/>
    <col min="12540" max="12540" width="10.5703125" style="205" customWidth="1"/>
    <col min="12541" max="12541" width="6.5703125" style="205" customWidth="1"/>
    <col min="12542" max="12542" width="1.5703125" style="205" customWidth="1"/>
    <col min="12543" max="12543" width="10.5703125" style="205" customWidth="1"/>
    <col min="12544" max="12544" width="9.5703125" style="205" customWidth="1"/>
    <col min="12545" max="12545" width="13.42578125" style="205" bestFit="1" customWidth="1"/>
    <col min="12546" max="12546" width="7.5703125" style="205" customWidth="1"/>
    <col min="12547" max="12547" width="11.42578125" style="205"/>
    <col min="12548" max="12548" width="13.42578125" style="205" bestFit="1" customWidth="1"/>
    <col min="12549" max="12785" width="11.42578125" style="205"/>
    <col min="12786" max="12786" width="0.42578125" style="205" customWidth="1"/>
    <col min="12787" max="12787" width="2.5703125" style="205" customWidth="1"/>
    <col min="12788" max="12788" width="15.42578125" style="205" customWidth="1"/>
    <col min="12789" max="12789" width="1.42578125" style="205" customWidth="1"/>
    <col min="12790" max="12790" width="27.5703125" style="205" customWidth="1"/>
    <col min="12791" max="12791" width="6.5703125" style="205" customWidth="1"/>
    <col min="12792" max="12792" width="1.5703125" style="205" customWidth="1"/>
    <col min="12793" max="12793" width="10.5703125" style="205" customWidth="1"/>
    <col min="12794" max="12794" width="5.5703125" style="205" customWidth="1"/>
    <col min="12795" max="12795" width="1.5703125" style="205" customWidth="1"/>
    <col min="12796" max="12796" width="10.5703125" style="205" customWidth="1"/>
    <col min="12797" max="12797" width="6.5703125" style="205" customWidth="1"/>
    <col min="12798" max="12798" width="1.5703125" style="205" customWidth="1"/>
    <col min="12799" max="12799" width="10.5703125" style="205" customWidth="1"/>
    <col min="12800" max="12800" width="9.5703125" style="205" customWidth="1"/>
    <col min="12801" max="12801" width="13.42578125" style="205" bestFit="1" customWidth="1"/>
    <col min="12802" max="12802" width="7.5703125" style="205" customWidth="1"/>
    <col min="12803" max="12803" width="11.42578125" style="205"/>
    <col min="12804" max="12804" width="13.42578125" style="205" bestFit="1" customWidth="1"/>
    <col min="12805" max="13041" width="11.42578125" style="205"/>
    <col min="13042" max="13042" width="0.42578125" style="205" customWidth="1"/>
    <col min="13043" max="13043" width="2.5703125" style="205" customWidth="1"/>
    <col min="13044" max="13044" width="15.42578125" style="205" customWidth="1"/>
    <col min="13045" max="13045" width="1.42578125" style="205" customWidth="1"/>
    <col min="13046" max="13046" width="27.5703125" style="205" customWidth="1"/>
    <col min="13047" max="13047" width="6.5703125" style="205" customWidth="1"/>
    <col min="13048" max="13048" width="1.5703125" style="205" customWidth="1"/>
    <col min="13049" max="13049" width="10.5703125" style="205" customWidth="1"/>
    <col min="13050" max="13050" width="5.5703125" style="205" customWidth="1"/>
    <col min="13051" max="13051" width="1.5703125" style="205" customWidth="1"/>
    <col min="13052" max="13052" width="10.5703125" style="205" customWidth="1"/>
    <col min="13053" max="13053" width="6.5703125" style="205" customWidth="1"/>
    <col min="13054" max="13054" width="1.5703125" style="205" customWidth="1"/>
    <col min="13055" max="13055" width="10.5703125" style="205" customWidth="1"/>
    <col min="13056" max="13056" width="9.5703125" style="205" customWidth="1"/>
    <col min="13057" max="13057" width="13.42578125" style="205" bestFit="1" customWidth="1"/>
    <col min="13058" max="13058" width="7.5703125" style="205" customWidth="1"/>
    <col min="13059" max="13059" width="11.42578125" style="205"/>
    <col min="13060" max="13060" width="13.42578125" style="205" bestFit="1" customWidth="1"/>
    <col min="13061" max="13297" width="11.42578125" style="205"/>
    <col min="13298" max="13298" width="0.42578125" style="205" customWidth="1"/>
    <col min="13299" max="13299" width="2.5703125" style="205" customWidth="1"/>
    <col min="13300" max="13300" width="15.42578125" style="205" customWidth="1"/>
    <col min="13301" max="13301" width="1.42578125" style="205" customWidth="1"/>
    <col min="13302" max="13302" width="27.5703125" style="205" customWidth="1"/>
    <col min="13303" max="13303" width="6.5703125" style="205" customWidth="1"/>
    <col min="13304" max="13304" width="1.5703125" style="205" customWidth="1"/>
    <col min="13305" max="13305" width="10.5703125" style="205" customWidth="1"/>
    <col min="13306" max="13306" width="5.5703125" style="205" customWidth="1"/>
    <col min="13307" max="13307" width="1.5703125" style="205" customWidth="1"/>
    <col min="13308" max="13308" width="10.5703125" style="205" customWidth="1"/>
    <col min="13309" max="13309" width="6.5703125" style="205" customWidth="1"/>
    <col min="13310" max="13310" width="1.5703125" style="205" customWidth="1"/>
    <col min="13311" max="13311" width="10.5703125" style="205" customWidth="1"/>
    <col min="13312" max="13312" width="9.5703125" style="205" customWidth="1"/>
    <col min="13313" max="13313" width="13.42578125" style="205" bestFit="1" customWidth="1"/>
    <col min="13314" max="13314" width="7.5703125" style="205" customWidth="1"/>
    <col min="13315" max="13315" width="11.42578125" style="205"/>
    <col min="13316" max="13316" width="13.42578125" style="205" bestFit="1" customWidth="1"/>
    <col min="13317" max="13553" width="11.42578125" style="205"/>
    <col min="13554" max="13554" width="0.42578125" style="205" customWidth="1"/>
    <col min="13555" max="13555" width="2.5703125" style="205" customWidth="1"/>
    <col min="13556" max="13556" width="15.42578125" style="205" customWidth="1"/>
    <col min="13557" max="13557" width="1.42578125" style="205" customWidth="1"/>
    <col min="13558" max="13558" width="27.5703125" style="205" customWidth="1"/>
    <col min="13559" max="13559" width="6.5703125" style="205" customWidth="1"/>
    <col min="13560" max="13560" width="1.5703125" style="205" customWidth="1"/>
    <col min="13561" max="13561" width="10.5703125" style="205" customWidth="1"/>
    <col min="13562" max="13562" width="5.5703125" style="205" customWidth="1"/>
    <col min="13563" max="13563" width="1.5703125" style="205" customWidth="1"/>
    <col min="13564" max="13564" width="10.5703125" style="205" customWidth="1"/>
    <col min="13565" max="13565" width="6.5703125" style="205" customWidth="1"/>
    <col min="13566" max="13566" width="1.5703125" style="205" customWidth="1"/>
    <col min="13567" max="13567" width="10.5703125" style="205" customWidth="1"/>
    <col min="13568" max="13568" width="9.5703125" style="205" customWidth="1"/>
    <col min="13569" max="13569" width="13.42578125" style="205" bestFit="1" customWidth="1"/>
    <col min="13570" max="13570" width="7.5703125" style="205" customWidth="1"/>
    <col min="13571" max="13571" width="11.42578125" style="205"/>
    <col min="13572" max="13572" width="13.42578125" style="205" bestFit="1" customWidth="1"/>
    <col min="13573" max="13809" width="11.42578125" style="205"/>
    <col min="13810" max="13810" width="0.42578125" style="205" customWidth="1"/>
    <col min="13811" max="13811" width="2.5703125" style="205" customWidth="1"/>
    <col min="13812" max="13812" width="15.42578125" style="205" customWidth="1"/>
    <col min="13813" max="13813" width="1.42578125" style="205" customWidth="1"/>
    <col min="13814" max="13814" width="27.5703125" style="205" customWidth="1"/>
    <col min="13815" max="13815" width="6.5703125" style="205" customWidth="1"/>
    <col min="13816" max="13816" width="1.5703125" style="205" customWidth="1"/>
    <col min="13817" max="13817" width="10.5703125" style="205" customWidth="1"/>
    <col min="13818" max="13818" width="5.5703125" style="205" customWidth="1"/>
    <col min="13819" max="13819" width="1.5703125" style="205" customWidth="1"/>
    <col min="13820" max="13820" width="10.5703125" style="205" customWidth="1"/>
    <col min="13821" max="13821" width="6.5703125" style="205" customWidth="1"/>
    <col min="13822" max="13822" width="1.5703125" style="205" customWidth="1"/>
    <col min="13823" max="13823" width="10.5703125" style="205" customWidth="1"/>
    <col min="13824" max="13824" width="9.5703125" style="205" customWidth="1"/>
    <col min="13825" max="13825" width="13.42578125" style="205" bestFit="1" customWidth="1"/>
    <col min="13826" max="13826" width="7.5703125" style="205" customWidth="1"/>
    <col min="13827" max="13827" width="11.42578125" style="205"/>
    <col min="13828" max="13828" width="13.42578125" style="205" bestFit="1" customWidth="1"/>
    <col min="13829" max="14065" width="11.42578125" style="205"/>
    <col min="14066" max="14066" width="0.42578125" style="205" customWidth="1"/>
    <col min="14067" max="14067" width="2.5703125" style="205" customWidth="1"/>
    <col min="14068" max="14068" width="15.42578125" style="205" customWidth="1"/>
    <col min="14069" max="14069" width="1.42578125" style="205" customWidth="1"/>
    <col min="14070" max="14070" width="27.5703125" style="205" customWidth="1"/>
    <col min="14071" max="14071" width="6.5703125" style="205" customWidth="1"/>
    <col min="14072" max="14072" width="1.5703125" style="205" customWidth="1"/>
    <col min="14073" max="14073" width="10.5703125" style="205" customWidth="1"/>
    <col min="14074" max="14074" width="5.5703125" style="205" customWidth="1"/>
    <col min="14075" max="14075" width="1.5703125" style="205" customWidth="1"/>
    <col min="14076" max="14076" width="10.5703125" style="205" customWidth="1"/>
    <col min="14077" max="14077" width="6.5703125" style="205" customWidth="1"/>
    <col min="14078" max="14078" width="1.5703125" style="205" customWidth="1"/>
    <col min="14079" max="14079" width="10.5703125" style="205" customWidth="1"/>
    <col min="14080" max="14080" width="9.5703125" style="205" customWidth="1"/>
    <col min="14081" max="14081" width="13.42578125" style="205" bestFit="1" customWidth="1"/>
    <col min="14082" max="14082" width="7.5703125" style="205" customWidth="1"/>
    <col min="14083" max="14083" width="11.42578125" style="205"/>
    <col min="14084" max="14084" width="13.42578125" style="205" bestFit="1" customWidth="1"/>
    <col min="14085" max="14321" width="11.42578125" style="205"/>
    <col min="14322" max="14322" width="0.42578125" style="205" customWidth="1"/>
    <col min="14323" max="14323" width="2.5703125" style="205" customWidth="1"/>
    <col min="14324" max="14324" width="15.42578125" style="205" customWidth="1"/>
    <col min="14325" max="14325" width="1.42578125" style="205" customWidth="1"/>
    <col min="14326" max="14326" width="27.5703125" style="205" customWidth="1"/>
    <col min="14327" max="14327" width="6.5703125" style="205" customWidth="1"/>
    <col min="14328" max="14328" width="1.5703125" style="205" customWidth="1"/>
    <col min="14329" max="14329" width="10.5703125" style="205" customWidth="1"/>
    <col min="14330" max="14330" width="5.5703125" style="205" customWidth="1"/>
    <col min="14331" max="14331" width="1.5703125" style="205" customWidth="1"/>
    <col min="14332" max="14332" width="10.5703125" style="205" customWidth="1"/>
    <col min="14333" max="14333" width="6.5703125" style="205" customWidth="1"/>
    <col min="14334" max="14334" width="1.5703125" style="205" customWidth="1"/>
    <col min="14335" max="14335" width="10.5703125" style="205" customWidth="1"/>
    <col min="14336" max="14336" width="9.5703125" style="205" customWidth="1"/>
    <col min="14337" max="14337" width="13.42578125" style="205" bestFit="1" customWidth="1"/>
    <col min="14338" max="14338" width="7.5703125" style="205" customWidth="1"/>
    <col min="14339" max="14339" width="11.42578125" style="205"/>
    <col min="14340" max="14340" width="13.42578125" style="205" bestFit="1" customWidth="1"/>
    <col min="14341" max="14577" width="11.42578125" style="205"/>
    <col min="14578" max="14578" width="0.42578125" style="205" customWidth="1"/>
    <col min="14579" max="14579" width="2.5703125" style="205" customWidth="1"/>
    <col min="14580" max="14580" width="15.42578125" style="205" customWidth="1"/>
    <col min="14581" max="14581" width="1.42578125" style="205" customWidth="1"/>
    <col min="14582" max="14582" width="27.5703125" style="205" customWidth="1"/>
    <col min="14583" max="14583" width="6.5703125" style="205" customWidth="1"/>
    <col min="14584" max="14584" width="1.5703125" style="205" customWidth="1"/>
    <col min="14585" max="14585" width="10.5703125" style="205" customWidth="1"/>
    <col min="14586" max="14586" width="5.5703125" style="205" customWidth="1"/>
    <col min="14587" max="14587" width="1.5703125" style="205" customWidth="1"/>
    <col min="14588" max="14588" width="10.5703125" style="205" customWidth="1"/>
    <col min="14589" max="14589" width="6.5703125" style="205" customWidth="1"/>
    <col min="14590" max="14590" width="1.5703125" style="205" customWidth="1"/>
    <col min="14591" max="14591" width="10.5703125" style="205" customWidth="1"/>
    <col min="14592" max="14592" width="9.5703125" style="205" customWidth="1"/>
    <col min="14593" max="14593" width="13.42578125" style="205" bestFit="1" customWidth="1"/>
    <col min="14594" max="14594" width="7.5703125" style="205" customWidth="1"/>
    <col min="14595" max="14595" width="11.42578125" style="205"/>
    <col min="14596" max="14596" width="13.42578125" style="205" bestFit="1" customWidth="1"/>
    <col min="14597" max="14833" width="11.42578125" style="205"/>
    <col min="14834" max="14834" width="0.42578125" style="205" customWidth="1"/>
    <col min="14835" max="14835" width="2.5703125" style="205" customWidth="1"/>
    <col min="14836" max="14836" width="15.42578125" style="205" customWidth="1"/>
    <col min="14837" max="14837" width="1.42578125" style="205" customWidth="1"/>
    <col min="14838" max="14838" width="27.5703125" style="205" customWidth="1"/>
    <col min="14839" max="14839" width="6.5703125" style="205" customWidth="1"/>
    <col min="14840" max="14840" width="1.5703125" style="205" customWidth="1"/>
    <col min="14841" max="14841" width="10.5703125" style="205" customWidth="1"/>
    <col min="14842" max="14842" width="5.5703125" style="205" customWidth="1"/>
    <col min="14843" max="14843" width="1.5703125" style="205" customWidth="1"/>
    <col min="14844" max="14844" width="10.5703125" style="205" customWidth="1"/>
    <col min="14845" max="14845" width="6.5703125" style="205" customWidth="1"/>
    <col min="14846" max="14846" width="1.5703125" style="205" customWidth="1"/>
    <col min="14847" max="14847" width="10.5703125" style="205" customWidth="1"/>
    <col min="14848" max="14848" width="9.5703125" style="205" customWidth="1"/>
    <col min="14849" max="14849" width="13.42578125" style="205" bestFit="1" customWidth="1"/>
    <col min="14850" max="14850" width="7.5703125" style="205" customWidth="1"/>
    <col min="14851" max="14851" width="11.42578125" style="205"/>
    <col min="14852" max="14852" width="13.42578125" style="205" bestFit="1" customWidth="1"/>
    <col min="14853" max="15089" width="11.42578125" style="205"/>
    <col min="15090" max="15090" width="0.42578125" style="205" customWidth="1"/>
    <col min="15091" max="15091" width="2.5703125" style="205" customWidth="1"/>
    <col min="15092" max="15092" width="15.42578125" style="205" customWidth="1"/>
    <col min="15093" max="15093" width="1.42578125" style="205" customWidth="1"/>
    <col min="15094" max="15094" width="27.5703125" style="205" customWidth="1"/>
    <col min="15095" max="15095" width="6.5703125" style="205" customWidth="1"/>
    <col min="15096" max="15096" width="1.5703125" style="205" customWidth="1"/>
    <col min="15097" max="15097" width="10.5703125" style="205" customWidth="1"/>
    <col min="15098" max="15098" width="5.5703125" style="205" customWidth="1"/>
    <col min="15099" max="15099" width="1.5703125" style="205" customWidth="1"/>
    <col min="15100" max="15100" width="10.5703125" style="205" customWidth="1"/>
    <col min="15101" max="15101" width="6.5703125" style="205" customWidth="1"/>
    <col min="15102" max="15102" width="1.5703125" style="205" customWidth="1"/>
    <col min="15103" max="15103" width="10.5703125" style="205" customWidth="1"/>
    <col min="15104" max="15104" width="9.5703125" style="205" customWidth="1"/>
    <col min="15105" max="15105" width="13.42578125" style="205" bestFit="1" customWidth="1"/>
    <col min="15106" max="15106" width="7.5703125" style="205" customWidth="1"/>
    <col min="15107" max="15107" width="11.42578125" style="205"/>
    <col min="15108" max="15108" width="13.42578125" style="205" bestFit="1" customWidth="1"/>
    <col min="15109" max="15345" width="11.42578125" style="205"/>
    <col min="15346" max="15346" width="0.42578125" style="205" customWidth="1"/>
    <col min="15347" max="15347" width="2.5703125" style="205" customWidth="1"/>
    <col min="15348" max="15348" width="15.42578125" style="205" customWidth="1"/>
    <col min="15349" max="15349" width="1.42578125" style="205" customWidth="1"/>
    <col min="15350" max="15350" width="27.5703125" style="205" customWidth="1"/>
    <col min="15351" max="15351" width="6.5703125" style="205" customWidth="1"/>
    <col min="15352" max="15352" width="1.5703125" style="205" customWidth="1"/>
    <col min="15353" max="15353" width="10.5703125" style="205" customWidth="1"/>
    <col min="15354" max="15354" width="5.5703125" style="205" customWidth="1"/>
    <col min="15355" max="15355" width="1.5703125" style="205" customWidth="1"/>
    <col min="15356" max="15356" width="10.5703125" style="205" customWidth="1"/>
    <col min="15357" max="15357" width="6.5703125" style="205" customWidth="1"/>
    <col min="15358" max="15358" width="1.5703125" style="205" customWidth="1"/>
    <col min="15359" max="15359" width="10.5703125" style="205" customWidth="1"/>
    <col min="15360" max="15360" width="9.5703125" style="205" customWidth="1"/>
    <col min="15361" max="15361" width="13.42578125" style="205" bestFit="1" customWidth="1"/>
    <col min="15362" max="15362" width="7.5703125" style="205" customWidth="1"/>
    <col min="15363" max="15363" width="11.42578125" style="205"/>
    <col min="15364" max="15364" width="13.42578125" style="205" bestFit="1" customWidth="1"/>
    <col min="15365" max="15601" width="11.42578125" style="205"/>
    <col min="15602" max="15602" width="0.42578125" style="205" customWidth="1"/>
    <col min="15603" max="15603" width="2.5703125" style="205" customWidth="1"/>
    <col min="15604" max="15604" width="15.42578125" style="205" customWidth="1"/>
    <col min="15605" max="15605" width="1.42578125" style="205" customWidth="1"/>
    <col min="15606" max="15606" width="27.5703125" style="205" customWidth="1"/>
    <col min="15607" max="15607" width="6.5703125" style="205" customWidth="1"/>
    <col min="15608" max="15608" width="1.5703125" style="205" customWidth="1"/>
    <col min="15609" max="15609" width="10.5703125" style="205" customWidth="1"/>
    <col min="15610" max="15610" width="5.5703125" style="205" customWidth="1"/>
    <col min="15611" max="15611" width="1.5703125" style="205" customWidth="1"/>
    <col min="15612" max="15612" width="10.5703125" style="205" customWidth="1"/>
    <col min="15613" max="15613" width="6.5703125" style="205" customWidth="1"/>
    <col min="15614" max="15614" width="1.5703125" style="205" customWidth="1"/>
    <col min="15615" max="15615" width="10.5703125" style="205" customWidth="1"/>
    <col min="15616" max="15616" width="9.5703125" style="205" customWidth="1"/>
    <col min="15617" max="15617" width="13.42578125" style="205" bestFit="1" customWidth="1"/>
    <col min="15618" max="15618" width="7.5703125" style="205" customWidth="1"/>
    <col min="15619" max="15619" width="11.42578125" style="205"/>
    <col min="15620" max="15620" width="13.42578125" style="205" bestFit="1" customWidth="1"/>
    <col min="15621" max="15857" width="11.42578125" style="205"/>
    <col min="15858" max="15858" width="0.42578125" style="205" customWidth="1"/>
    <col min="15859" max="15859" width="2.5703125" style="205" customWidth="1"/>
    <col min="15860" max="15860" width="15.42578125" style="205" customWidth="1"/>
    <col min="15861" max="15861" width="1.42578125" style="205" customWidth="1"/>
    <col min="15862" max="15862" width="27.5703125" style="205" customWidth="1"/>
    <col min="15863" max="15863" width="6.5703125" style="205" customWidth="1"/>
    <col min="15864" max="15864" width="1.5703125" style="205" customWidth="1"/>
    <col min="15865" max="15865" width="10.5703125" style="205" customWidth="1"/>
    <col min="15866" max="15866" width="5.5703125" style="205" customWidth="1"/>
    <col min="15867" max="15867" width="1.5703125" style="205" customWidth="1"/>
    <col min="15868" max="15868" width="10.5703125" style="205" customWidth="1"/>
    <col min="15869" max="15869" width="6.5703125" style="205" customWidth="1"/>
    <col min="15870" max="15870" width="1.5703125" style="205" customWidth="1"/>
    <col min="15871" max="15871" width="10.5703125" style="205" customWidth="1"/>
    <col min="15872" max="15872" width="9.5703125" style="205" customWidth="1"/>
    <col min="15873" max="15873" width="13.42578125" style="205" bestFit="1" customWidth="1"/>
    <col min="15874" max="15874" width="7.5703125" style="205" customWidth="1"/>
    <col min="15875" max="15875" width="11.42578125" style="205"/>
    <col min="15876" max="15876" width="13.42578125" style="205" bestFit="1" customWidth="1"/>
    <col min="15877" max="16113" width="11.42578125" style="205"/>
    <col min="16114" max="16114" width="0.42578125" style="205" customWidth="1"/>
    <col min="16115" max="16115" width="2.5703125" style="205" customWidth="1"/>
    <col min="16116" max="16116" width="15.42578125" style="205" customWidth="1"/>
    <col min="16117" max="16117" width="1.42578125" style="205" customWidth="1"/>
    <col min="16118" max="16118" width="27.5703125" style="205" customWidth="1"/>
    <col min="16119" max="16119" width="6.5703125" style="205" customWidth="1"/>
    <col min="16120" max="16120" width="1.5703125" style="205" customWidth="1"/>
    <col min="16121" max="16121" width="10.5703125" style="205" customWidth="1"/>
    <col min="16122" max="16122" width="5.5703125" style="205" customWidth="1"/>
    <col min="16123" max="16123" width="1.5703125" style="205" customWidth="1"/>
    <col min="16124" max="16124" width="10.5703125" style="205" customWidth="1"/>
    <col min="16125" max="16125" width="6.5703125" style="205" customWidth="1"/>
    <col min="16126" max="16126" width="1.5703125" style="205" customWidth="1"/>
    <col min="16127" max="16127" width="10.5703125" style="205" customWidth="1"/>
    <col min="16128" max="16128" width="9.5703125" style="205" customWidth="1"/>
    <col min="16129" max="16129" width="13.42578125" style="205" bestFit="1" customWidth="1"/>
    <col min="16130" max="16130" width="7.5703125" style="205" customWidth="1"/>
    <col min="16131" max="16131" width="11.42578125" style="205"/>
    <col min="16132" max="16132" width="13.42578125" style="205" bestFit="1" customWidth="1"/>
    <col min="16133" max="16384" width="11.42578125" style="205"/>
  </cols>
  <sheetData>
    <row r="1" spans="1:14" s="54" customFormat="1" ht="0.75" customHeight="1"/>
    <row r="2" spans="1:14" s="54" customFormat="1" ht="21" customHeight="1">
      <c r="E2" s="65"/>
      <c r="G2" s="27" t="s">
        <v>19</v>
      </c>
    </row>
    <row r="3" spans="1:14" s="54" customFormat="1" ht="15" customHeight="1">
      <c r="E3" s="62"/>
      <c r="F3" s="62"/>
      <c r="G3" s="43" t="s">
        <v>205</v>
      </c>
    </row>
    <row r="4" spans="1:14" s="58" customFormat="1" ht="20.25" customHeight="1">
      <c r="B4" s="57"/>
      <c r="C4" s="25" t="s">
        <v>151</v>
      </c>
      <c r="G4" s="203"/>
    </row>
    <row r="5" spans="1:14" s="58" customFormat="1" ht="12.75" customHeight="1">
      <c r="B5" s="57"/>
      <c r="C5" s="45"/>
      <c r="G5" s="203"/>
    </row>
    <row r="6" spans="1:14" s="58" customFormat="1" ht="13.5" customHeight="1">
      <c r="B6" s="57"/>
      <c r="D6" s="55"/>
      <c r="E6" s="55"/>
      <c r="G6" s="203"/>
    </row>
    <row r="7" spans="1:14" s="58" customFormat="1" ht="12.75" customHeight="1">
      <c r="B7" s="57"/>
      <c r="C7" s="264" t="s">
        <v>155</v>
      </c>
      <c r="D7" s="55"/>
      <c r="G7" s="203"/>
    </row>
    <row r="8" spans="1:14" ht="12.75" customHeight="1">
      <c r="A8" s="58"/>
      <c r="B8" s="57"/>
      <c r="C8" s="264"/>
      <c r="D8" s="55"/>
      <c r="G8" s="204"/>
    </row>
    <row r="9" spans="1:14">
      <c r="A9" s="58"/>
      <c r="B9" s="57"/>
      <c r="C9" s="70" t="s">
        <v>93</v>
      </c>
      <c r="D9" s="55"/>
      <c r="F9" s="205"/>
      <c r="G9" s="207"/>
      <c r="H9" s="208"/>
      <c r="I9" s="208"/>
      <c r="J9" s="209"/>
      <c r="K9" s="208"/>
      <c r="L9" s="209"/>
      <c r="M9" s="208"/>
      <c r="N9" s="209"/>
    </row>
    <row r="10" spans="1:14">
      <c r="E10" s="210"/>
      <c r="F10" s="210"/>
    </row>
    <row r="11" spans="1:14">
      <c r="E11" s="210"/>
      <c r="F11" s="210"/>
    </row>
    <row r="12" spans="1:14">
      <c r="F12" s="210"/>
    </row>
    <row r="13" spans="1:14">
      <c r="E13" s="210"/>
      <c r="F13" s="211"/>
    </row>
    <row r="14" spans="1:14">
      <c r="E14" s="210"/>
      <c r="F14" s="210"/>
    </row>
    <row r="15" spans="1:14">
      <c r="E15" s="210"/>
      <c r="F15" s="210"/>
    </row>
    <row r="16" spans="1:14">
      <c r="E16" s="210"/>
      <c r="F16" s="210"/>
    </row>
    <row r="17" spans="5:6">
      <c r="E17" s="210"/>
      <c r="F17" s="210"/>
    </row>
    <row r="18" spans="5:6">
      <c r="E18" s="210"/>
      <c r="F18" s="210"/>
    </row>
    <row r="19" spans="5:6">
      <c r="E19" s="210"/>
      <c r="F19" s="210"/>
    </row>
    <row r="20" spans="5:6">
      <c r="E20" s="210"/>
      <c r="F20" s="210"/>
    </row>
  </sheetData>
  <mergeCells count="1">
    <mergeCell ref="C7:C8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4294967292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AG185"/>
  <sheetViews>
    <sheetView zoomScaleNormal="100" workbookViewId="0">
      <pane xSplit="1" ySplit="7" topLeftCell="C28" activePane="bottomRight" state="frozen"/>
      <selection pane="topRight" activeCell="B1" sqref="B1"/>
      <selection pane="bottomLeft" activeCell="A8" sqref="A8"/>
      <selection pane="bottomRight" activeCell="Z5" sqref="Z5:AG5"/>
    </sheetView>
  </sheetViews>
  <sheetFormatPr baseColWidth="10" defaultColWidth="11.42578125" defaultRowHeight="12"/>
  <cols>
    <col min="1" max="1" width="7.28515625" style="99" bestFit="1" customWidth="1"/>
    <col min="2" max="2" width="13" style="99" bestFit="1" customWidth="1"/>
    <col min="3" max="3" width="24" style="99" bestFit="1" customWidth="1"/>
    <col min="4" max="4" width="19.85546875" style="99" bestFit="1" customWidth="1"/>
    <col min="5" max="5" width="20.42578125" style="99" bestFit="1" customWidth="1"/>
    <col min="6" max="6" width="32.5703125" style="99" bestFit="1" customWidth="1"/>
    <col min="7" max="7" width="24" style="99" bestFit="1" customWidth="1"/>
    <col min="8" max="8" width="19.85546875" style="99" bestFit="1" customWidth="1"/>
    <col min="9" max="9" width="20.42578125" style="99" bestFit="1" customWidth="1"/>
    <col min="10" max="11" width="28.28515625" style="99" bestFit="1" customWidth="1"/>
    <col min="12" max="12" width="24.28515625" style="99" bestFit="1" customWidth="1"/>
    <col min="13" max="13" width="24.7109375" style="99" bestFit="1" customWidth="1"/>
    <col min="14" max="14" width="32.5703125" style="99" bestFit="1" customWidth="1"/>
    <col min="15" max="33" width="19.42578125" style="99" customWidth="1"/>
    <col min="34" max="16384" width="11.42578125" style="99"/>
  </cols>
  <sheetData>
    <row r="1" spans="1:33">
      <c r="A1" s="126" t="s">
        <v>59</v>
      </c>
      <c r="B1" s="126" t="s">
        <v>63</v>
      </c>
    </row>
    <row r="2" spans="1:33">
      <c r="A2" s="127" t="s">
        <v>205</v>
      </c>
      <c r="B2" s="127" t="s">
        <v>207</v>
      </c>
    </row>
    <row r="4" spans="1:33" ht="15">
      <c r="A4" s="128" t="s">
        <v>59</v>
      </c>
      <c r="B4" s="283" t="s">
        <v>205</v>
      </c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4"/>
      <c r="W4" s="284"/>
      <c r="X4" s="284"/>
      <c r="Y4" s="284"/>
      <c r="Z4" s="284"/>
      <c r="AA4" s="284"/>
      <c r="AB4" s="284"/>
      <c r="AC4" s="284"/>
      <c r="AD4" s="284"/>
      <c r="AE4" s="284"/>
      <c r="AF4" s="284"/>
      <c r="AG4" s="284"/>
    </row>
    <row r="5" spans="1:33" ht="15">
      <c r="A5" s="128" t="s">
        <v>60</v>
      </c>
      <c r="B5" s="289" t="s">
        <v>15</v>
      </c>
      <c r="C5" s="290"/>
      <c r="D5" s="290"/>
      <c r="E5" s="290"/>
      <c r="F5" s="290"/>
      <c r="G5" s="290"/>
      <c r="H5" s="290"/>
      <c r="I5" s="291"/>
      <c r="J5" s="289" t="s">
        <v>14</v>
      </c>
      <c r="K5" s="290"/>
      <c r="L5" s="290"/>
      <c r="M5" s="290"/>
      <c r="N5" s="290"/>
      <c r="O5" s="290"/>
      <c r="P5" s="290"/>
      <c r="Q5" s="291"/>
      <c r="R5" s="289" t="s">
        <v>49</v>
      </c>
      <c r="S5" s="290"/>
      <c r="T5" s="290"/>
      <c r="U5" s="290"/>
      <c r="V5" s="290"/>
      <c r="W5" s="290"/>
      <c r="X5" s="290"/>
      <c r="Y5" s="291"/>
      <c r="Z5" s="289" t="s">
        <v>50</v>
      </c>
      <c r="AA5" s="290"/>
      <c r="AB5" s="290"/>
      <c r="AC5" s="290"/>
      <c r="AD5" s="290"/>
      <c r="AE5" s="290"/>
      <c r="AF5" s="290"/>
      <c r="AG5" s="290"/>
    </row>
    <row r="6" spans="1:33">
      <c r="A6" s="128" t="s">
        <v>61</v>
      </c>
      <c r="B6" s="153" t="s">
        <v>51</v>
      </c>
      <c r="C6" s="153" t="s">
        <v>52</v>
      </c>
      <c r="D6" s="153" t="s">
        <v>53</v>
      </c>
      <c r="E6" s="153" t="s">
        <v>54</v>
      </c>
      <c r="F6" s="153" t="s">
        <v>55</v>
      </c>
      <c r="G6" s="153" t="s">
        <v>56</v>
      </c>
      <c r="H6" s="153" t="s">
        <v>57</v>
      </c>
      <c r="I6" s="153" t="s">
        <v>58</v>
      </c>
      <c r="J6" s="153" t="s">
        <v>51</v>
      </c>
      <c r="K6" s="153" t="s">
        <v>52</v>
      </c>
      <c r="L6" s="153" t="s">
        <v>53</v>
      </c>
      <c r="M6" s="153" t="s">
        <v>54</v>
      </c>
      <c r="N6" s="153" t="s">
        <v>55</v>
      </c>
      <c r="O6" s="153" t="s">
        <v>56</v>
      </c>
      <c r="P6" s="153" t="s">
        <v>57</v>
      </c>
      <c r="Q6" s="153" t="s">
        <v>58</v>
      </c>
      <c r="R6" s="153" t="s">
        <v>51</v>
      </c>
      <c r="S6" s="153" t="s">
        <v>52</v>
      </c>
      <c r="T6" s="153" t="s">
        <v>53</v>
      </c>
      <c r="U6" s="153" t="s">
        <v>54</v>
      </c>
      <c r="V6" s="153" t="s">
        <v>55</v>
      </c>
      <c r="W6" s="153" t="s">
        <v>56</v>
      </c>
      <c r="X6" s="153" t="s">
        <v>57</v>
      </c>
      <c r="Y6" s="153" t="s">
        <v>58</v>
      </c>
      <c r="Z6" s="153" t="s">
        <v>51</v>
      </c>
      <c r="AA6" s="153" t="s">
        <v>52</v>
      </c>
      <c r="AB6" s="153" t="s">
        <v>53</v>
      </c>
      <c r="AC6" s="153" t="s">
        <v>54</v>
      </c>
      <c r="AD6" s="153" t="s">
        <v>55</v>
      </c>
      <c r="AE6" s="153" t="s">
        <v>56</v>
      </c>
      <c r="AF6" s="153" t="s">
        <v>57</v>
      </c>
      <c r="AG6" s="153" t="s">
        <v>58</v>
      </c>
    </row>
    <row r="7" spans="1:33">
      <c r="A7" s="128" t="s">
        <v>62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</row>
    <row r="8" spans="1:33">
      <c r="A8" s="127" t="s">
        <v>12</v>
      </c>
      <c r="B8" s="239">
        <v>0</v>
      </c>
      <c r="C8" s="239">
        <v>0</v>
      </c>
      <c r="D8" s="240">
        <v>0</v>
      </c>
      <c r="E8" s="239">
        <v>0</v>
      </c>
      <c r="F8" s="239">
        <v>0</v>
      </c>
      <c r="G8" s="240">
        <v>0</v>
      </c>
      <c r="H8" s="239">
        <v>0</v>
      </c>
      <c r="I8" s="240">
        <v>0</v>
      </c>
      <c r="J8" s="239">
        <v>0</v>
      </c>
      <c r="K8" s="239">
        <v>0</v>
      </c>
      <c r="L8" s="240">
        <v>0</v>
      </c>
      <c r="M8" s="239">
        <v>0</v>
      </c>
      <c r="N8" s="239">
        <v>0</v>
      </c>
      <c r="O8" s="240">
        <v>0</v>
      </c>
      <c r="P8" s="239">
        <v>0</v>
      </c>
      <c r="Q8" s="240">
        <v>0</v>
      </c>
      <c r="R8" s="239">
        <v>0</v>
      </c>
      <c r="S8" s="239">
        <v>0</v>
      </c>
      <c r="T8" s="240">
        <v>0</v>
      </c>
      <c r="U8" s="239">
        <v>0</v>
      </c>
      <c r="V8" s="239">
        <v>0</v>
      </c>
      <c r="W8" s="240">
        <v>0</v>
      </c>
      <c r="X8" s="239">
        <v>0</v>
      </c>
      <c r="Y8" s="240">
        <v>0</v>
      </c>
      <c r="Z8" s="239">
        <v>220.17699999999999</v>
      </c>
      <c r="AA8" s="239">
        <v>0</v>
      </c>
      <c r="AB8" s="240">
        <v>0</v>
      </c>
      <c r="AC8" s="239">
        <v>293.38</v>
      </c>
      <c r="AD8" s="239">
        <v>339.86099999999999</v>
      </c>
      <c r="AE8" s="240">
        <v>-0.13676473619999999</v>
      </c>
      <c r="AF8" s="239">
        <v>293.38</v>
      </c>
      <c r="AG8" s="240">
        <v>-0.83410762589999998</v>
      </c>
    </row>
    <row r="9" spans="1:33">
      <c r="A9" s="127" t="s">
        <v>11</v>
      </c>
      <c r="B9" s="239">
        <v>0</v>
      </c>
      <c r="C9" s="239">
        <v>0</v>
      </c>
      <c r="D9" s="240">
        <v>0</v>
      </c>
      <c r="E9" s="239">
        <v>0</v>
      </c>
      <c r="F9" s="239">
        <v>0</v>
      </c>
      <c r="G9" s="240">
        <v>0</v>
      </c>
      <c r="H9" s="239">
        <v>0</v>
      </c>
      <c r="I9" s="240">
        <v>0</v>
      </c>
      <c r="J9" s="239">
        <v>0</v>
      </c>
      <c r="K9" s="239">
        <v>0</v>
      </c>
      <c r="L9" s="240">
        <v>0</v>
      </c>
      <c r="M9" s="239">
        <v>0</v>
      </c>
      <c r="N9" s="239">
        <v>0</v>
      </c>
      <c r="O9" s="240">
        <v>0</v>
      </c>
      <c r="P9" s="239">
        <v>0</v>
      </c>
      <c r="Q9" s="240">
        <v>0</v>
      </c>
      <c r="R9" s="239">
        <v>23056.227999999999</v>
      </c>
      <c r="S9" s="239">
        <v>0</v>
      </c>
      <c r="T9" s="240">
        <v>0</v>
      </c>
      <c r="U9" s="239">
        <v>23056.227999999999</v>
      </c>
      <c r="V9" s="239">
        <v>95245.187999999995</v>
      </c>
      <c r="W9" s="240">
        <v>-0.75792763409999997</v>
      </c>
      <c r="X9" s="239">
        <v>23056.227999999999</v>
      </c>
      <c r="Y9" s="240">
        <v>-0.75792763409999997</v>
      </c>
      <c r="Z9" s="239">
        <v>0</v>
      </c>
      <c r="AA9" s="239">
        <v>0</v>
      </c>
      <c r="AB9" s="240">
        <v>0</v>
      </c>
      <c r="AC9" s="239">
        <v>0</v>
      </c>
      <c r="AD9" s="239">
        <v>0</v>
      </c>
      <c r="AE9" s="240">
        <v>0</v>
      </c>
      <c r="AF9" s="239">
        <v>0</v>
      </c>
      <c r="AG9" s="240">
        <v>0</v>
      </c>
    </row>
    <row r="10" spans="1:33">
      <c r="A10" s="127" t="s">
        <v>69</v>
      </c>
      <c r="B10" s="239">
        <v>19901.629000000001</v>
      </c>
      <c r="C10" s="239">
        <v>19199.385999999999</v>
      </c>
      <c r="D10" s="240">
        <v>3.6576325899999998E-2</v>
      </c>
      <c r="E10" s="239">
        <v>115863.90300000001</v>
      </c>
      <c r="F10" s="239">
        <v>116347.167</v>
      </c>
      <c r="G10" s="240">
        <v>-4.1536378999999998E-3</v>
      </c>
      <c r="H10" s="239">
        <v>205493.201</v>
      </c>
      <c r="I10" s="240">
        <v>2.04086141E-2</v>
      </c>
      <c r="J10" s="239">
        <v>24871.03</v>
      </c>
      <c r="K10" s="239">
        <v>22718.888999999999</v>
      </c>
      <c r="L10" s="240">
        <v>9.4729148099999994E-2</v>
      </c>
      <c r="M10" s="239">
        <v>127214.201</v>
      </c>
      <c r="N10" s="239">
        <v>121238.743</v>
      </c>
      <c r="O10" s="240">
        <v>4.9286703699999997E-2</v>
      </c>
      <c r="P10" s="239">
        <v>220811.96400000001</v>
      </c>
      <c r="Q10" s="240">
        <v>3.8221794699999999E-2</v>
      </c>
      <c r="R10" s="239">
        <v>58340.908000000003</v>
      </c>
      <c r="S10" s="239">
        <v>62363.781999999999</v>
      </c>
      <c r="T10" s="240">
        <v>-6.4506575299999994E-2</v>
      </c>
      <c r="U10" s="239">
        <v>155504.33199999999</v>
      </c>
      <c r="V10" s="239">
        <v>153060.07199999999</v>
      </c>
      <c r="W10" s="240">
        <v>1.5969285600000001E-2</v>
      </c>
      <c r="X10" s="239">
        <v>318604.71999999997</v>
      </c>
      <c r="Y10" s="240">
        <v>8.01982423E-2</v>
      </c>
      <c r="Z10" s="239">
        <v>153751.10800000001</v>
      </c>
      <c r="AA10" s="239">
        <v>138953.66800000001</v>
      </c>
      <c r="AB10" s="240">
        <v>0.1064918992</v>
      </c>
      <c r="AC10" s="239">
        <v>1031913.213</v>
      </c>
      <c r="AD10" s="239">
        <v>1044262.525</v>
      </c>
      <c r="AE10" s="240">
        <v>-1.18258692E-2</v>
      </c>
      <c r="AF10" s="239">
        <v>1796548.1240000001</v>
      </c>
      <c r="AG10" s="240">
        <v>-2.24486401E-2</v>
      </c>
    </row>
    <row r="11" spans="1:33">
      <c r="A11" s="127" t="s">
        <v>9</v>
      </c>
      <c r="B11" s="239">
        <v>63.137999999999998</v>
      </c>
      <c r="C11" s="239">
        <v>105.46899999999999</v>
      </c>
      <c r="D11" s="240">
        <v>-0.40135964120000001</v>
      </c>
      <c r="E11" s="239">
        <v>204.965</v>
      </c>
      <c r="F11" s="239">
        <v>142.59700000000001</v>
      </c>
      <c r="G11" s="240">
        <v>0.43737245520000001</v>
      </c>
      <c r="H11" s="239">
        <v>245.76900000000001</v>
      </c>
      <c r="I11" s="240">
        <v>-0.46233343469999999</v>
      </c>
      <c r="J11" s="239">
        <v>33.813000000000002</v>
      </c>
      <c r="K11" s="239">
        <v>7.8259999999999996</v>
      </c>
      <c r="L11" s="240">
        <v>3.3205980066</v>
      </c>
      <c r="M11" s="239">
        <v>93.087000000000003</v>
      </c>
      <c r="N11" s="239">
        <v>30.411999999999999</v>
      </c>
      <c r="O11" s="240">
        <v>2.0608641325999999</v>
      </c>
      <c r="P11" s="239">
        <v>164.55799999999999</v>
      </c>
      <c r="Q11" s="240">
        <v>3.8329760051999999</v>
      </c>
      <c r="R11" s="239">
        <v>86712.39</v>
      </c>
      <c r="S11" s="239">
        <v>58218.540999999997</v>
      </c>
      <c r="T11" s="240">
        <v>0.48942911500000003</v>
      </c>
      <c r="U11" s="239">
        <v>267908.20299999998</v>
      </c>
      <c r="V11" s="239">
        <v>225250.454</v>
      </c>
      <c r="W11" s="240">
        <v>0.18937919210000001</v>
      </c>
      <c r="X11" s="239">
        <v>460104.69699999999</v>
      </c>
      <c r="Y11" s="240">
        <v>0.12644968049999999</v>
      </c>
      <c r="Z11" s="239">
        <v>24368.156999999999</v>
      </c>
      <c r="AA11" s="239">
        <v>17277.45</v>
      </c>
      <c r="AB11" s="240">
        <v>0.41040240309999998</v>
      </c>
      <c r="AC11" s="239">
        <v>182799.51800000001</v>
      </c>
      <c r="AD11" s="239">
        <v>150063.11499999999</v>
      </c>
      <c r="AE11" s="240">
        <v>0.21815089600000001</v>
      </c>
      <c r="AF11" s="239">
        <v>302137.77399999998</v>
      </c>
      <c r="AG11" s="240">
        <v>0.17598659250000001</v>
      </c>
    </row>
    <row r="12" spans="1:33">
      <c r="A12" s="127" t="s">
        <v>8</v>
      </c>
      <c r="B12" s="239">
        <v>0</v>
      </c>
      <c r="C12" s="239">
        <v>0</v>
      </c>
      <c r="D12" s="240">
        <v>0</v>
      </c>
      <c r="E12" s="239">
        <v>0</v>
      </c>
      <c r="F12" s="239">
        <v>0</v>
      </c>
      <c r="G12" s="240">
        <v>0</v>
      </c>
      <c r="H12" s="239">
        <v>0</v>
      </c>
      <c r="I12" s="240">
        <v>0</v>
      </c>
      <c r="J12" s="239">
        <v>0</v>
      </c>
      <c r="K12" s="239">
        <v>0</v>
      </c>
      <c r="L12" s="240">
        <v>0</v>
      </c>
      <c r="M12" s="239">
        <v>0</v>
      </c>
      <c r="N12" s="239">
        <v>0</v>
      </c>
      <c r="O12" s="240">
        <v>0</v>
      </c>
      <c r="P12" s="239">
        <v>0</v>
      </c>
      <c r="Q12" s="240">
        <v>0</v>
      </c>
      <c r="R12" s="239">
        <v>0</v>
      </c>
      <c r="S12" s="239">
        <v>0</v>
      </c>
      <c r="T12" s="240">
        <v>0</v>
      </c>
      <c r="U12" s="239">
        <v>0</v>
      </c>
      <c r="V12" s="239">
        <v>0</v>
      </c>
      <c r="W12" s="240">
        <v>0</v>
      </c>
      <c r="X12" s="239">
        <v>0</v>
      </c>
      <c r="Y12" s="240">
        <v>0</v>
      </c>
      <c r="Z12" s="239">
        <v>116281.488</v>
      </c>
      <c r="AA12" s="239">
        <v>97398.498000000007</v>
      </c>
      <c r="AB12" s="240">
        <v>0.19387352359999999</v>
      </c>
      <c r="AC12" s="239">
        <v>718256.83299999998</v>
      </c>
      <c r="AD12" s="239">
        <v>682375.43</v>
      </c>
      <c r="AE12" s="240">
        <v>5.2583081699999999E-2</v>
      </c>
      <c r="AF12" s="239">
        <v>1275018.7479999999</v>
      </c>
      <c r="AG12" s="240">
        <v>0.14238694709999999</v>
      </c>
    </row>
    <row r="13" spans="1:33">
      <c r="A13" s="127" t="s">
        <v>25</v>
      </c>
      <c r="B13" s="239">
        <v>0</v>
      </c>
      <c r="C13" s="239">
        <v>0</v>
      </c>
      <c r="D13" s="240">
        <v>0</v>
      </c>
      <c r="E13" s="239">
        <v>0</v>
      </c>
      <c r="F13" s="239">
        <v>0</v>
      </c>
      <c r="G13" s="240">
        <v>0</v>
      </c>
      <c r="H13" s="239">
        <v>0</v>
      </c>
      <c r="I13" s="240">
        <v>0</v>
      </c>
      <c r="J13" s="239">
        <v>0</v>
      </c>
      <c r="K13" s="239">
        <v>0</v>
      </c>
      <c r="L13" s="240">
        <v>0</v>
      </c>
      <c r="M13" s="239">
        <v>0</v>
      </c>
      <c r="N13" s="239">
        <v>0</v>
      </c>
      <c r="O13" s="240">
        <v>0</v>
      </c>
      <c r="P13" s="239">
        <v>0</v>
      </c>
      <c r="Q13" s="240">
        <v>0</v>
      </c>
      <c r="R13" s="239">
        <v>357220.67700000003</v>
      </c>
      <c r="S13" s="239">
        <v>334267.56199999998</v>
      </c>
      <c r="T13" s="240">
        <v>6.8666893300000004E-2</v>
      </c>
      <c r="U13" s="239">
        <v>1846265.294</v>
      </c>
      <c r="V13" s="239">
        <v>1776838.8259999999</v>
      </c>
      <c r="W13" s="240">
        <v>3.9073025099999999E-2</v>
      </c>
      <c r="X13" s="239">
        <v>3196431.8679999998</v>
      </c>
      <c r="Y13" s="240">
        <v>2.8818381699999999E-2</v>
      </c>
      <c r="Z13" s="239">
        <v>307512.57299999997</v>
      </c>
      <c r="AA13" s="239">
        <v>316704.03899999999</v>
      </c>
      <c r="AB13" s="240">
        <v>-2.9022256999999999E-2</v>
      </c>
      <c r="AC13" s="239">
        <v>2081071.237</v>
      </c>
      <c r="AD13" s="239">
        <v>2103238.8280000002</v>
      </c>
      <c r="AE13" s="240">
        <v>-1.0539740299999999E-2</v>
      </c>
      <c r="AF13" s="239">
        <v>3773882.5720000002</v>
      </c>
      <c r="AG13" s="240">
        <v>-2.7177808999999998E-3</v>
      </c>
    </row>
    <row r="14" spans="1:33">
      <c r="A14" s="127" t="s">
        <v>24</v>
      </c>
      <c r="B14" s="239">
        <v>0</v>
      </c>
      <c r="C14" s="239">
        <v>0</v>
      </c>
      <c r="D14" s="240">
        <v>0</v>
      </c>
      <c r="E14" s="239">
        <v>0</v>
      </c>
      <c r="F14" s="239">
        <v>0</v>
      </c>
      <c r="G14" s="240">
        <v>0</v>
      </c>
      <c r="H14" s="239">
        <v>0</v>
      </c>
      <c r="I14" s="240">
        <v>0</v>
      </c>
      <c r="J14" s="239">
        <v>0</v>
      </c>
      <c r="K14" s="239">
        <v>0</v>
      </c>
      <c r="L14" s="240">
        <v>0</v>
      </c>
      <c r="M14" s="239">
        <v>0</v>
      </c>
      <c r="N14" s="239">
        <v>0</v>
      </c>
      <c r="O14" s="240">
        <v>0</v>
      </c>
      <c r="P14" s="239">
        <v>0</v>
      </c>
      <c r="Q14" s="240">
        <v>0</v>
      </c>
      <c r="R14" s="239">
        <v>0</v>
      </c>
      <c r="S14" s="239">
        <v>0</v>
      </c>
      <c r="T14" s="240">
        <v>0</v>
      </c>
      <c r="U14" s="239">
        <v>0</v>
      </c>
      <c r="V14" s="239">
        <v>0</v>
      </c>
      <c r="W14" s="240">
        <v>0</v>
      </c>
      <c r="X14" s="239">
        <v>0</v>
      </c>
      <c r="Y14" s="240">
        <v>0</v>
      </c>
      <c r="Z14" s="239">
        <v>0</v>
      </c>
      <c r="AA14" s="239">
        <v>0</v>
      </c>
      <c r="AB14" s="240">
        <v>0</v>
      </c>
      <c r="AC14" s="239">
        <v>0</v>
      </c>
      <c r="AD14" s="239">
        <v>0</v>
      </c>
      <c r="AE14" s="240">
        <v>0</v>
      </c>
      <c r="AF14" s="239">
        <v>0</v>
      </c>
      <c r="AG14" s="240">
        <v>0</v>
      </c>
    </row>
    <row r="15" spans="1:33">
      <c r="A15" s="127" t="s">
        <v>6</v>
      </c>
      <c r="B15" s="239">
        <v>0</v>
      </c>
      <c r="C15" s="239">
        <v>0</v>
      </c>
      <c r="D15" s="240">
        <v>0</v>
      </c>
      <c r="E15" s="239">
        <v>0</v>
      </c>
      <c r="F15" s="239">
        <v>0</v>
      </c>
      <c r="G15" s="240">
        <v>0</v>
      </c>
      <c r="H15" s="239">
        <v>0</v>
      </c>
      <c r="I15" s="240">
        <v>0</v>
      </c>
      <c r="J15" s="239">
        <v>0</v>
      </c>
      <c r="K15" s="239">
        <v>0</v>
      </c>
      <c r="L15" s="240">
        <v>0</v>
      </c>
      <c r="M15" s="239">
        <v>0</v>
      </c>
      <c r="N15" s="239">
        <v>0</v>
      </c>
      <c r="O15" s="240">
        <v>0</v>
      </c>
      <c r="P15" s="239">
        <v>0</v>
      </c>
      <c r="Q15" s="240">
        <v>0</v>
      </c>
      <c r="R15" s="239">
        <v>0</v>
      </c>
      <c r="S15" s="239">
        <v>0</v>
      </c>
      <c r="T15" s="240">
        <v>0</v>
      </c>
      <c r="U15" s="239">
        <v>0</v>
      </c>
      <c r="V15" s="239">
        <v>0</v>
      </c>
      <c r="W15" s="240">
        <v>0</v>
      </c>
      <c r="X15" s="239">
        <v>0</v>
      </c>
      <c r="Y15" s="240">
        <v>0</v>
      </c>
      <c r="Z15" s="239">
        <v>2526.6869999999999</v>
      </c>
      <c r="AA15" s="239">
        <v>3291.4969999999998</v>
      </c>
      <c r="AB15" s="240">
        <v>-0.2323593186</v>
      </c>
      <c r="AC15" s="239">
        <v>12928.424000000001</v>
      </c>
      <c r="AD15" s="239">
        <v>13343.504000000001</v>
      </c>
      <c r="AE15" s="240">
        <v>-3.1107271400000001E-2</v>
      </c>
      <c r="AF15" s="239">
        <v>21773.597000000002</v>
      </c>
      <c r="AG15" s="240">
        <v>-5.9383610500000003E-2</v>
      </c>
    </row>
    <row r="16" spans="1:33">
      <c r="A16" s="127" t="s">
        <v>5</v>
      </c>
      <c r="B16" s="239">
        <v>0</v>
      </c>
      <c r="C16" s="239">
        <v>0</v>
      </c>
      <c r="D16" s="240">
        <v>0</v>
      </c>
      <c r="E16" s="239">
        <v>0</v>
      </c>
      <c r="F16" s="239">
        <v>0</v>
      </c>
      <c r="G16" s="240">
        <v>0</v>
      </c>
      <c r="H16" s="239">
        <v>0</v>
      </c>
      <c r="I16" s="240">
        <v>0</v>
      </c>
      <c r="J16" s="239">
        <v>0</v>
      </c>
      <c r="K16" s="239">
        <v>0</v>
      </c>
      <c r="L16" s="240">
        <v>0</v>
      </c>
      <c r="M16" s="239">
        <v>0</v>
      </c>
      <c r="N16" s="239">
        <v>0</v>
      </c>
      <c r="O16" s="240">
        <v>0</v>
      </c>
      <c r="P16" s="239">
        <v>0</v>
      </c>
      <c r="Q16" s="240">
        <v>0</v>
      </c>
      <c r="R16" s="239">
        <v>0</v>
      </c>
      <c r="S16" s="239">
        <v>0</v>
      </c>
      <c r="T16" s="240">
        <v>0</v>
      </c>
      <c r="U16" s="239">
        <v>0</v>
      </c>
      <c r="V16" s="239">
        <v>0</v>
      </c>
      <c r="W16" s="240">
        <v>0</v>
      </c>
      <c r="X16" s="239">
        <v>0</v>
      </c>
      <c r="Y16" s="240">
        <v>0</v>
      </c>
      <c r="Z16" s="239">
        <v>150187.50200000001</v>
      </c>
      <c r="AA16" s="239">
        <v>166964.56099999999</v>
      </c>
      <c r="AB16" s="240">
        <v>-0.10048275449999999</v>
      </c>
      <c r="AC16" s="239">
        <v>815319.11300000001</v>
      </c>
      <c r="AD16" s="239">
        <v>795815.28899999999</v>
      </c>
      <c r="AE16" s="240">
        <v>2.4507978499999999E-2</v>
      </c>
      <c r="AF16" s="239">
        <v>1392689.6140000001</v>
      </c>
      <c r="AG16" s="240">
        <v>-1.4041000499999999E-2</v>
      </c>
    </row>
    <row r="17" spans="1:33">
      <c r="A17" s="127" t="s">
        <v>4</v>
      </c>
      <c r="B17" s="239">
        <v>0</v>
      </c>
      <c r="C17" s="239">
        <v>0.02</v>
      </c>
      <c r="D17" s="240">
        <v>-1</v>
      </c>
      <c r="E17" s="239">
        <v>3.1E-2</v>
      </c>
      <c r="F17" s="239">
        <v>6.6000000000000003E-2</v>
      </c>
      <c r="G17" s="240">
        <v>-0.53030303030000003</v>
      </c>
      <c r="H17" s="239">
        <v>3.1E-2</v>
      </c>
      <c r="I17" s="240">
        <v>-0.67708333330000003</v>
      </c>
      <c r="J17" s="239">
        <v>6.9379999999999997</v>
      </c>
      <c r="K17" s="239">
        <v>7.5129999999999999</v>
      </c>
      <c r="L17" s="240">
        <v>-7.6534007700000004E-2</v>
      </c>
      <c r="M17" s="239">
        <v>33.268000000000001</v>
      </c>
      <c r="N17" s="239">
        <v>42.707000000000001</v>
      </c>
      <c r="O17" s="240">
        <v>-0.2210176318</v>
      </c>
      <c r="P17" s="239">
        <v>57.475000000000001</v>
      </c>
      <c r="Q17" s="240">
        <v>-0.14969005669999999</v>
      </c>
      <c r="R17" s="239">
        <v>70657.354999999996</v>
      </c>
      <c r="S17" s="239">
        <v>58301.254000000001</v>
      </c>
      <c r="T17" s="240">
        <v>0.2119354242</v>
      </c>
      <c r="U17" s="239">
        <v>365818.766</v>
      </c>
      <c r="V17" s="239">
        <v>318238.84299999999</v>
      </c>
      <c r="W17" s="240">
        <v>0.14951010549999999</v>
      </c>
      <c r="X17" s="239">
        <v>560181.78899999999</v>
      </c>
      <c r="Y17" s="240">
        <v>9.9944040799999995E-2</v>
      </c>
      <c r="Z17" s="239">
        <v>52236.552000000003</v>
      </c>
      <c r="AA17" s="239">
        <v>44683.625999999997</v>
      </c>
      <c r="AB17" s="240">
        <v>0.1690311793</v>
      </c>
      <c r="AC17" s="239">
        <v>295917.36</v>
      </c>
      <c r="AD17" s="239">
        <v>275680.87800000003</v>
      </c>
      <c r="AE17" s="240">
        <v>7.3405461199999994E-2</v>
      </c>
      <c r="AF17" s="239">
        <v>481650.9</v>
      </c>
      <c r="AG17" s="240">
        <v>7.8497826699999995E-2</v>
      </c>
    </row>
    <row r="18" spans="1:33">
      <c r="A18" s="127" t="s">
        <v>22</v>
      </c>
      <c r="B18" s="239">
        <v>0</v>
      </c>
      <c r="C18" s="239">
        <v>0</v>
      </c>
      <c r="D18" s="240">
        <v>0</v>
      </c>
      <c r="E18" s="239">
        <v>0</v>
      </c>
      <c r="F18" s="239">
        <v>0</v>
      </c>
      <c r="G18" s="240">
        <v>0</v>
      </c>
      <c r="H18" s="239">
        <v>0</v>
      </c>
      <c r="I18" s="240">
        <v>0</v>
      </c>
      <c r="J18" s="239">
        <v>0</v>
      </c>
      <c r="K18" s="239">
        <v>0</v>
      </c>
      <c r="L18" s="240">
        <v>0</v>
      </c>
      <c r="M18" s="239">
        <v>0</v>
      </c>
      <c r="N18" s="239">
        <v>0</v>
      </c>
      <c r="O18" s="240">
        <v>0</v>
      </c>
      <c r="P18" s="239">
        <v>0</v>
      </c>
      <c r="Q18" s="240">
        <v>0</v>
      </c>
      <c r="R18" s="239">
        <v>1868.1959999999999</v>
      </c>
      <c r="S18" s="239">
        <v>135.33500000000001</v>
      </c>
      <c r="T18" s="240">
        <v>12.804233937999999</v>
      </c>
      <c r="U18" s="239">
        <v>10462.746999999999</v>
      </c>
      <c r="V18" s="239">
        <v>1633.37</v>
      </c>
      <c r="W18" s="240">
        <v>5.4056196698000001</v>
      </c>
      <c r="X18" s="239">
        <v>13553.397000000001</v>
      </c>
      <c r="Y18" s="240">
        <v>3.3184892070999998</v>
      </c>
      <c r="Z18" s="239">
        <v>980.70500000000004</v>
      </c>
      <c r="AA18" s="239">
        <v>1163.9580000000001</v>
      </c>
      <c r="AB18" s="240">
        <v>-0.15743952959999999</v>
      </c>
      <c r="AC18" s="239">
        <v>6501.826</v>
      </c>
      <c r="AD18" s="239">
        <v>9187.1110000000008</v>
      </c>
      <c r="AE18" s="240">
        <v>-0.2922882939</v>
      </c>
      <c r="AF18" s="239">
        <v>10160.869000000001</v>
      </c>
      <c r="AG18" s="240">
        <v>-0.32427929509999998</v>
      </c>
    </row>
    <row r="19" spans="1:33">
      <c r="A19" s="127" t="s">
        <v>23</v>
      </c>
      <c r="B19" s="239">
        <v>0</v>
      </c>
      <c r="C19" s="239">
        <v>0</v>
      </c>
      <c r="D19" s="240">
        <v>0</v>
      </c>
      <c r="E19" s="239">
        <v>0</v>
      </c>
      <c r="F19" s="239">
        <v>0</v>
      </c>
      <c r="G19" s="240">
        <v>0</v>
      </c>
      <c r="H19" s="239">
        <v>0</v>
      </c>
      <c r="I19" s="240">
        <v>0</v>
      </c>
      <c r="J19" s="239">
        <v>0</v>
      </c>
      <c r="K19" s="239">
        <v>0</v>
      </c>
      <c r="L19" s="240">
        <v>0</v>
      </c>
      <c r="M19" s="239">
        <v>0</v>
      </c>
      <c r="N19" s="239">
        <v>0</v>
      </c>
      <c r="O19" s="240">
        <v>0</v>
      </c>
      <c r="P19" s="239">
        <v>0</v>
      </c>
      <c r="Q19" s="240">
        <v>0</v>
      </c>
      <c r="R19" s="239">
        <v>3081.3539999999998</v>
      </c>
      <c r="S19" s="239">
        <v>3573.1179999999999</v>
      </c>
      <c r="T19" s="240">
        <v>-0.1376288161</v>
      </c>
      <c r="U19" s="239">
        <v>17315.865000000002</v>
      </c>
      <c r="V19" s="239">
        <v>22972.108</v>
      </c>
      <c r="W19" s="240">
        <v>-0.2462222013</v>
      </c>
      <c r="X19" s="239">
        <v>32160.316999999999</v>
      </c>
      <c r="Y19" s="240">
        <v>-0.1141995172</v>
      </c>
      <c r="Z19" s="239">
        <v>0</v>
      </c>
      <c r="AA19" s="239">
        <v>0</v>
      </c>
      <c r="AB19" s="240">
        <v>0</v>
      </c>
      <c r="AC19" s="239">
        <v>0</v>
      </c>
      <c r="AD19" s="239">
        <v>0</v>
      </c>
      <c r="AE19" s="240">
        <v>0</v>
      </c>
      <c r="AF19" s="239">
        <v>0</v>
      </c>
      <c r="AG19" s="240">
        <v>0</v>
      </c>
    </row>
    <row r="20" spans="1:33">
      <c r="A20" s="127" t="s">
        <v>46</v>
      </c>
      <c r="B20" s="239">
        <v>0</v>
      </c>
      <c r="C20" s="239">
        <v>0</v>
      </c>
      <c r="D20" s="240">
        <v>0</v>
      </c>
      <c r="E20" s="239">
        <v>0</v>
      </c>
      <c r="F20" s="239">
        <v>0</v>
      </c>
      <c r="G20" s="240">
        <v>0</v>
      </c>
      <c r="H20" s="239">
        <v>0</v>
      </c>
      <c r="I20" s="240">
        <v>0</v>
      </c>
      <c r="J20" s="239">
        <v>69.1935</v>
      </c>
      <c r="K20" s="239">
        <v>430.61149999999998</v>
      </c>
      <c r="L20" s="240">
        <v>-0.83931339500000002</v>
      </c>
      <c r="M20" s="239">
        <v>2911.4625000000001</v>
      </c>
      <c r="N20" s="239">
        <v>3776.1954999999998</v>
      </c>
      <c r="O20" s="240">
        <v>-0.22899582399999999</v>
      </c>
      <c r="P20" s="239">
        <v>5306.5254999999997</v>
      </c>
      <c r="Q20" s="240">
        <v>-9.9812524799999996E-2</v>
      </c>
      <c r="R20" s="239">
        <v>11737.6795</v>
      </c>
      <c r="S20" s="239">
        <v>13980.217500000001</v>
      </c>
      <c r="T20" s="240">
        <v>-0.16040794789999999</v>
      </c>
      <c r="U20" s="239">
        <v>74521.193499999994</v>
      </c>
      <c r="V20" s="239">
        <v>80715.376499999998</v>
      </c>
      <c r="W20" s="240">
        <v>-7.6741053200000006E-2</v>
      </c>
      <c r="X20" s="239">
        <v>130346.32799999999</v>
      </c>
      <c r="Y20" s="240">
        <v>-7.8869073600000006E-2</v>
      </c>
      <c r="Z20" s="239">
        <v>0</v>
      </c>
      <c r="AA20" s="239">
        <v>0</v>
      </c>
      <c r="AB20" s="240">
        <v>0</v>
      </c>
      <c r="AC20" s="239">
        <v>0</v>
      </c>
      <c r="AD20" s="239">
        <v>0</v>
      </c>
      <c r="AE20" s="240">
        <v>0</v>
      </c>
      <c r="AF20" s="239">
        <v>0</v>
      </c>
      <c r="AG20" s="240">
        <v>0</v>
      </c>
    </row>
    <row r="21" spans="1:33">
      <c r="A21" s="127" t="s">
        <v>47</v>
      </c>
      <c r="B21" s="239">
        <v>0</v>
      </c>
      <c r="C21" s="239">
        <v>0</v>
      </c>
      <c r="D21" s="240">
        <v>0</v>
      </c>
      <c r="E21" s="239">
        <v>0</v>
      </c>
      <c r="F21" s="239">
        <v>0</v>
      </c>
      <c r="G21" s="240">
        <v>0</v>
      </c>
      <c r="H21" s="239">
        <v>0</v>
      </c>
      <c r="I21" s="240">
        <v>0</v>
      </c>
      <c r="J21" s="239">
        <v>69.1935</v>
      </c>
      <c r="K21" s="239">
        <v>430.61149999999998</v>
      </c>
      <c r="L21" s="240">
        <v>-0.83931339500000002</v>
      </c>
      <c r="M21" s="239">
        <v>2911.4625000000001</v>
      </c>
      <c r="N21" s="239">
        <v>3776.1954999999998</v>
      </c>
      <c r="O21" s="240">
        <v>-0.22899582399999999</v>
      </c>
      <c r="P21" s="239">
        <v>5306.5254999999997</v>
      </c>
      <c r="Q21" s="240">
        <v>-9.9812524799999996E-2</v>
      </c>
      <c r="R21" s="239">
        <v>11737.6795</v>
      </c>
      <c r="S21" s="239">
        <v>13980.217500000001</v>
      </c>
      <c r="T21" s="240">
        <v>-0.16040794789999999</v>
      </c>
      <c r="U21" s="239">
        <v>74521.193499999994</v>
      </c>
      <c r="V21" s="239">
        <v>80715.376499999998</v>
      </c>
      <c r="W21" s="240">
        <v>-7.6741053200000006E-2</v>
      </c>
      <c r="X21" s="239">
        <v>130346.32799999999</v>
      </c>
      <c r="Y21" s="240">
        <v>-7.8869073600000006E-2</v>
      </c>
      <c r="Z21" s="239">
        <v>0</v>
      </c>
      <c r="AA21" s="239">
        <v>0</v>
      </c>
      <c r="AB21" s="240">
        <v>0</v>
      </c>
      <c r="AC21" s="239">
        <v>0</v>
      </c>
      <c r="AD21" s="239">
        <v>0</v>
      </c>
      <c r="AE21" s="240">
        <v>0</v>
      </c>
      <c r="AF21" s="239">
        <v>0</v>
      </c>
      <c r="AG21" s="240">
        <v>0</v>
      </c>
    </row>
    <row r="22" spans="1:33">
      <c r="A22" s="131" t="s">
        <v>2</v>
      </c>
      <c r="B22" s="241">
        <v>19964.767</v>
      </c>
      <c r="C22" s="241">
        <v>19304.875</v>
      </c>
      <c r="D22" s="242">
        <v>3.4182661099999997E-2</v>
      </c>
      <c r="E22" s="241">
        <v>116068.899</v>
      </c>
      <c r="F22" s="241">
        <v>116489.83</v>
      </c>
      <c r="G22" s="242">
        <v>-3.6134571000000001E-3</v>
      </c>
      <c r="H22" s="241">
        <v>205739.00099999999</v>
      </c>
      <c r="I22" s="242">
        <v>1.9315028599999999E-2</v>
      </c>
      <c r="J22" s="241">
        <v>25050.168000000001</v>
      </c>
      <c r="K22" s="241">
        <v>23595.451000000001</v>
      </c>
      <c r="L22" s="242">
        <v>6.16524346E-2</v>
      </c>
      <c r="M22" s="241">
        <v>133163.481</v>
      </c>
      <c r="N22" s="241">
        <v>128864.253</v>
      </c>
      <c r="O22" s="242">
        <v>3.3362456200000001E-2</v>
      </c>
      <c r="P22" s="241">
        <v>231647.04800000001</v>
      </c>
      <c r="Q22" s="242">
        <v>3.1493980900000003E-2</v>
      </c>
      <c r="R22" s="241">
        <v>624412.46699999995</v>
      </c>
      <c r="S22" s="241">
        <v>544820.027</v>
      </c>
      <c r="T22" s="242">
        <v>0.14608941680000001</v>
      </c>
      <c r="U22" s="241">
        <v>2835373.8220000002</v>
      </c>
      <c r="V22" s="241">
        <v>2754669.6140000001</v>
      </c>
      <c r="W22" s="242">
        <v>2.9297236800000001E-2</v>
      </c>
      <c r="X22" s="241">
        <v>4864785.6720000003</v>
      </c>
      <c r="Y22" s="242">
        <v>2.6913662299999998E-2</v>
      </c>
      <c r="Z22" s="241">
        <v>808064.94900000002</v>
      </c>
      <c r="AA22" s="241">
        <v>786437.29700000002</v>
      </c>
      <c r="AB22" s="242">
        <v>2.7500796399999999E-2</v>
      </c>
      <c r="AC22" s="241">
        <v>5145000.9040000001</v>
      </c>
      <c r="AD22" s="241">
        <v>5074306.5410000002</v>
      </c>
      <c r="AE22" s="242">
        <v>1.3931827399999999E-2</v>
      </c>
      <c r="AF22" s="241">
        <v>9054155.5779999997</v>
      </c>
      <c r="AG22" s="242">
        <v>1.7999627099999999E-2</v>
      </c>
    </row>
    <row r="23" spans="1:33">
      <c r="A23" s="127" t="s">
        <v>95</v>
      </c>
      <c r="B23" s="239">
        <v>0</v>
      </c>
      <c r="C23" s="239">
        <v>0</v>
      </c>
      <c r="D23" s="240">
        <v>0</v>
      </c>
      <c r="E23" s="239">
        <v>0</v>
      </c>
      <c r="F23" s="239">
        <v>0</v>
      </c>
      <c r="G23" s="240">
        <v>0</v>
      </c>
      <c r="H23" s="239">
        <v>0</v>
      </c>
      <c r="I23" s="240">
        <v>0</v>
      </c>
      <c r="J23" s="239">
        <v>0</v>
      </c>
      <c r="K23" s="239">
        <v>0</v>
      </c>
      <c r="L23" s="240">
        <v>0</v>
      </c>
      <c r="M23" s="239">
        <v>0</v>
      </c>
      <c r="N23" s="239">
        <v>0</v>
      </c>
      <c r="O23" s="240">
        <v>0</v>
      </c>
      <c r="P23" s="239">
        <v>0</v>
      </c>
      <c r="Q23" s="240">
        <v>0</v>
      </c>
      <c r="R23" s="239">
        <v>0</v>
      </c>
      <c r="S23" s="239">
        <v>25.803999999999998</v>
      </c>
      <c r="T23" s="240">
        <v>-1</v>
      </c>
      <c r="U23" s="239">
        <v>0</v>
      </c>
      <c r="V23" s="239">
        <v>84.203000000000003</v>
      </c>
      <c r="W23" s="240">
        <v>-1</v>
      </c>
      <c r="X23" s="239">
        <v>5.2880000000000003</v>
      </c>
      <c r="Y23" s="240">
        <v>-0.97294462550000005</v>
      </c>
      <c r="Z23" s="239">
        <v>0</v>
      </c>
      <c r="AA23" s="239">
        <v>0</v>
      </c>
      <c r="AB23" s="240">
        <v>0</v>
      </c>
      <c r="AC23" s="239">
        <v>44.155999999999999</v>
      </c>
      <c r="AD23" s="239">
        <v>0</v>
      </c>
      <c r="AE23" s="240">
        <v>0</v>
      </c>
      <c r="AF23" s="239">
        <v>50.47</v>
      </c>
      <c r="AG23" s="240">
        <v>0</v>
      </c>
    </row>
    <row r="24" spans="1:33">
      <c r="A24" s="127" t="s">
        <v>96</v>
      </c>
      <c r="B24" s="239">
        <v>0</v>
      </c>
      <c r="C24" s="239">
        <v>0</v>
      </c>
      <c r="D24" s="240">
        <v>0</v>
      </c>
      <c r="E24" s="239">
        <v>0</v>
      </c>
      <c r="F24" s="239">
        <v>0</v>
      </c>
      <c r="G24" s="240">
        <v>0</v>
      </c>
      <c r="H24" s="239">
        <v>0</v>
      </c>
      <c r="I24" s="240">
        <v>0</v>
      </c>
      <c r="J24" s="239">
        <v>0</v>
      </c>
      <c r="K24" s="239">
        <v>0</v>
      </c>
      <c r="L24" s="240">
        <v>0</v>
      </c>
      <c r="M24" s="239">
        <v>0</v>
      </c>
      <c r="N24" s="239">
        <v>0</v>
      </c>
      <c r="O24" s="240">
        <v>0</v>
      </c>
      <c r="P24" s="239">
        <v>0</v>
      </c>
      <c r="Q24" s="240">
        <v>0</v>
      </c>
      <c r="R24" s="239">
        <v>0</v>
      </c>
      <c r="S24" s="239">
        <v>-84.402000000000001</v>
      </c>
      <c r="T24" s="240">
        <v>-1</v>
      </c>
      <c r="U24" s="239">
        <v>-0.38700000000000001</v>
      </c>
      <c r="V24" s="239">
        <v>-230.92400000000001</v>
      </c>
      <c r="W24" s="240">
        <v>-0.99832412400000003</v>
      </c>
      <c r="X24" s="239">
        <v>-28.562000000000001</v>
      </c>
      <c r="Y24" s="240">
        <v>-0.94068662469999997</v>
      </c>
      <c r="Z24" s="239">
        <v>-18.018000000000001</v>
      </c>
      <c r="AA24" s="239">
        <v>-1.466</v>
      </c>
      <c r="AB24" s="240">
        <v>11.2905866303</v>
      </c>
      <c r="AC24" s="239">
        <v>-158.38499999999999</v>
      </c>
      <c r="AD24" s="239">
        <v>-1.466</v>
      </c>
      <c r="AE24" s="240">
        <v>107.0388813097</v>
      </c>
      <c r="AF24" s="239">
        <v>-218.81299999999999</v>
      </c>
      <c r="AG24" s="240">
        <v>148.25852660300001</v>
      </c>
    </row>
    <row r="25" spans="1:33">
      <c r="A25" s="127" t="s">
        <v>21</v>
      </c>
      <c r="B25" s="239">
        <v>0</v>
      </c>
      <c r="C25" s="239">
        <v>0</v>
      </c>
      <c r="D25" s="240">
        <v>0</v>
      </c>
      <c r="E25" s="239">
        <v>0</v>
      </c>
      <c r="F25" s="239">
        <v>0</v>
      </c>
      <c r="G25" s="240">
        <v>0</v>
      </c>
      <c r="H25" s="239">
        <v>0</v>
      </c>
      <c r="I25" s="240">
        <v>0</v>
      </c>
      <c r="J25" s="239">
        <v>0</v>
      </c>
      <c r="K25" s="239">
        <v>0</v>
      </c>
      <c r="L25" s="240">
        <v>0</v>
      </c>
      <c r="M25" s="239">
        <v>0</v>
      </c>
      <c r="N25" s="239">
        <v>0</v>
      </c>
      <c r="O25" s="240">
        <v>0</v>
      </c>
      <c r="P25" s="239">
        <v>0</v>
      </c>
      <c r="Q25" s="240">
        <v>0</v>
      </c>
      <c r="R25" s="239">
        <v>211246.66200000001</v>
      </c>
      <c r="S25" s="239">
        <v>188427.815</v>
      </c>
      <c r="T25" s="240">
        <v>0.1211012663</v>
      </c>
      <c r="U25" s="239">
        <v>923004.72100000002</v>
      </c>
      <c r="V25" s="239">
        <v>844676.93099999998</v>
      </c>
      <c r="W25" s="240">
        <v>9.2731063399999994E-2</v>
      </c>
      <c r="X25" s="239">
        <v>1614166.105</v>
      </c>
      <c r="Y25" s="240">
        <v>7.9444404999999996E-2</v>
      </c>
      <c r="Z25" s="239">
        <v>0</v>
      </c>
      <c r="AA25" s="239">
        <v>0</v>
      </c>
      <c r="AB25" s="240">
        <v>0</v>
      </c>
      <c r="AC25" s="239">
        <v>0</v>
      </c>
      <c r="AD25" s="239">
        <v>0</v>
      </c>
      <c r="AE25" s="240">
        <v>0</v>
      </c>
      <c r="AF25" s="239">
        <v>0</v>
      </c>
      <c r="AG25" s="240">
        <v>0</v>
      </c>
    </row>
    <row r="26" spans="1:33">
      <c r="A26" s="131" t="s">
        <v>70</v>
      </c>
      <c r="B26" s="241">
        <v>19964.767</v>
      </c>
      <c r="C26" s="241">
        <v>19304.875</v>
      </c>
      <c r="D26" s="242">
        <v>3.4182661099999997E-2</v>
      </c>
      <c r="E26" s="241">
        <v>116068.899</v>
      </c>
      <c r="F26" s="241">
        <v>116489.83</v>
      </c>
      <c r="G26" s="242">
        <v>-3.6134571000000001E-3</v>
      </c>
      <c r="H26" s="241">
        <v>205739.00099999999</v>
      </c>
      <c r="I26" s="242">
        <v>1.9315028599999999E-2</v>
      </c>
      <c r="J26" s="241">
        <v>25050.168000000001</v>
      </c>
      <c r="K26" s="241">
        <v>23595.451000000001</v>
      </c>
      <c r="L26" s="242">
        <v>6.16524346E-2</v>
      </c>
      <c r="M26" s="241">
        <v>133163.481</v>
      </c>
      <c r="N26" s="241">
        <v>128864.253</v>
      </c>
      <c r="O26" s="242">
        <v>3.3362456200000001E-2</v>
      </c>
      <c r="P26" s="241">
        <v>231647.04800000001</v>
      </c>
      <c r="Q26" s="242">
        <v>3.1493980900000003E-2</v>
      </c>
      <c r="R26" s="241">
        <v>835659.12899999996</v>
      </c>
      <c r="S26" s="241">
        <v>733189.24399999995</v>
      </c>
      <c r="T26" s="242">
        <v>0.13975912200000001</v>
      </c>
      <c r="U26" s="241">
        <v>3758378.156</v>
      </c>
      <c r="V26" s="241">
        <v>3599199.824</v>
      </c>
      <c r="W26" s="242">
        <v>4.4226033499999998E-2</v>
      </c>
      <c r="X26" s="241">
        <v>6478928.5029999996</v>
      </c>
      <c r="Y26" s="242">
        <v>3.9561065100000001E-2</v>
      </c>
      <c r="Z26" s="241">
        <v>808046.93099999998</v>
      </c>
      <c r="AA26" s="241">
        <v>786435.83100000001</v>
      </c>
      <c r="AB26" s="242">
        <v>2.7479800799999999E-2</v>
      </c>
      <c r="AC26" s="241">
        <v>5144886.6749999998</v>
      </c>
      <c r="AD26" s="241">
        <v>5074305.0750000002</v>
      </c>
      <c r="AE26" s="242">
        <v>1.3909609099999999E-2</v>
      </c>
      <c r="AF26" s="241">
        <v>9053987.2349999994</v>
      </c>
      <c r="AG26" s="242">
        <v>1.7980867300000002E-2</v>
      </c>
    </row>
    <row r="27" spans="1:33">
      <c r="A27" s="127" t="s">
        <v>202</v>
      </c>
      <c r="B27" s="239">
        <v>0</v>
      </c>
      <c r="C27" s="239">
        <v>0</v>
      </c>
      <c r="D27" s="240">
        <v>0</v>
      </c>
      <c r="E27" s="239">
        <v>0</v>
      </c>
      <c r="F27" s="239">
        <v>0</v>
      </c>
      <c r="G27" s="240">
        <v>0</v>
      </c>
      <c r="H27" s="239">
        <v>0</v>
      </c>
      <c r="I27" s="240">
        <v>0</v>
      </c>
      <c r="J27" s="239">
        <v>0</v>
      </c>
      <c r="K27" s="239">
        <v>0</v>
      </c>
      <c r="L27" s="240">
        <v>0</v>
      </c>
      <c r="M27" s="239">
        <v>0</v>
      </c>
      <c r="N27" s="239">
        <v>0</v>
      </c>
      <c r="O27" s="240">
        <v>0</v>
      </c>
      <c r="P27" s="239">
        <v>0</v>
      </c>
      <c r="Q27" s="240">
        <v>0</v>
      </c>
      <c r="R27" s="239">
        <v>0</v>
      </c>
      <c r="S27" s="239">
        <v>0</v>
      </c>
      <c r="T27" s="240">
        <v>0</v>
      </c>
      <c r="U27" s="239">
        <v>0</v>
      </c>
      <c r="V27" s="239">
        <v>0</v>
      </c>
      <c r="W27" s="240">
        <v>0</v>
      </c>
      <c r="X27" s="239">
        <v>0</v>
      </c>
      <c r="Y27" s="240">
        <v>0</v>
      </c>
      <c r="Z27" s="239">
        <v>103.42100000000001</v>
      </c>
      <c r="AA27" s="239">
        <v>0</v>
      </c>
      <c r="AB27" s="240">
        <v>0</v>
      </c>
      <c r="AC27" s="239">
        <v>602.78700000000003</v>
      </c>
      <c r="AD27" s="239">
        <v>0</v>
      </c>
      <c r="AE27" s="240">
        <v>0</v>
      </c>
      <c r="AF27" s="239">
        <v>602.78700000000003</v>
      </c>
      <c r="AG27" s="240">
        <v>0</v>
      </c>
    </row>
    <row r="28" spans="1:33">
      <c r="R28" s="201"/>
      <c r="S28" s="201"/>
    </row>
    <row r="29" spans="1:33" ht="15">
      <c r="A29" s="128" t="s">
        <v>59</v>
      </c>
      <c r="B29" s="283" t="str">
        <f>A2</f>
        <v>Julio 2026</v>
      </c>
      <c r="C29" s="284"/>
    </row>
    <row r="30" spans="1:33" ht="15">
      <c r="A30" s="128" t="s">
        <v>61</v>
      </c>
      <c r="B30" s="281" t="s">
        <v>64</v>
      </c>
      <c r="C30" s="282"/>
    </row>
    <row r="31" spans="1:33">
      <c r="A31" s="126" t="s">
        <v>60</v>
      </c>
      <c r="B31" s="153" t="s">
        <v>49</v>
      </c>
      <c r="C31" s="153" t="s">
        <v>50</v>
      </c>
    </row>
    <row r="32" spans="1:33">
      <c r="A32" s="128" t="s">
        <v>62</v>
      </c>
      <c r="B32" s="129"/>
      <c r="C32" s="129"/>
    </row>
    <row r="33" spans="1:6">
      <c r="A33" s="127" t="s">
        <v>12</v>
      </c>
      <c r="B33" s="157"/>
      <c r="C33" s="157">
        <v>0.76300000000000001</v>
      </c>
    </row>
    <row r="34" spans="1:6">
      <c r="A34" s="127" t="s">
        <v>11</v>
      </c>
      <c r="B34" s="157">
        <v>241.2</v>
      </c>
      <c r="C34" s="157"/>
    </row>
    <row r="35" spans="1:6">
      <c r="A35" s="127" t="s">
        <v>69</v>
      </c>
      <c r="B35" s="157">
        <v>139.4</v>
      </c>
      <c r="C35" s="157">
        <v>487.64</v>
      </c>
    </row>
    <row r="36" spans="1:6">
      <c r="A36" s="127" t="s">
        <v>9</v>
      </c>
      <c r="B36" s="157">
        <v>591.6</v>
      </c>
      <c r="C36" s="157">
        <v>520.75</v>
      </c>
    </row>
    <row r="37" spans="1:6">
      <c r="A37" s="127" t="s">
        <v>8</v>
      </c>
      <c r="B37" s="157"/>
      <c r="C37" s="157">
        <v>482.64</v>
      </c>
    </row>
    <row r="38" spans="1:6">
      <c r="A38" s="127" t="s">
        <v>25</v>
      </c>
      <c r="B38" s="157">
        <v>822.9</v>
      </c>
      <c r="C38" s="157">
        <v>865.4</v>
      </c>
    </row>
    <row r="39" spans="1:6">
      <c r="A39" s="127" t="s">
        <v>24</v>
      </c>
      <c r="B39" s="157"/>
      <c r="C39" s="157"/>
    </row>
    <row r="40" spans="1:6">
      <c r="A40" s="127" t="s">
        <v>6</v>
      </c>
      <c r="B40" s="157"/>
      <c r="C40" s="157">
        <v>11.32</v>
      </c>
    </row>
    <row r="41" spans="1:6">
      <c r="A41" s="127" t="s">
        <v>5</v>
      </c>
      <c r="B41" s="157">
        <v>3.5575000000000001</v>
      </c>
      <c r="C41" s="157">
        <v>677.43499999999995</v>
      </c>
      <c r="D41" s="156"/>
    </row>
    <row r="42" spans="1:6">
      <c r="A42" s="127" t="s">
        <v>4</v>
      </c>
      <c r="B42" s="157">
        <v>488.65284500000001</v>
      </c>
      <c r="C42" s="157">
        <v>345.79711500000002</v>
      </c>
      <c r="D42" s="156"/>
    </row>
    <row r="43" spans="1:6">
      <c r="A43" s="127" t="s">
        <v>22</v>
      </c>
      <c r="B43" s="157">
        <v>7.9160000000000004</v>
      </c>
      <c r="C43" s="157">
        <v>8.8059999999999992</v>
      </c>
    </row>
    <row r="44" spans="1:6">
      <c r="A44" s="127" t="s">
        <v>23</v>
      </c>
      <c r="B44" s="157">
        <v>10.523</v>
      </c>
      <c r="C44" s="157">
        <v>38.200000000000003</v>
      </c>
    </row>
    <row r="45" spans="1:6">
      <c r="A45" s="127" t="s">
        <v>46</v>
      </c>
      <c r="B45" s="157">
        <v>37.4</v>
      </c>
      <c r="C45" s="157"/>
    </row>
    <row r="46" spans="1:6">
      <c r="A46" s="127" t="s">
        <v>47</v>
      </c>
      <c r="B46" s="157">
        <v>37.4</v>
      </c>
      <c r="C46" s="157"/>
    </row>
    <row r="47" spans="1:6" ht="15">
      <c r="A47" s="127" t="s">
        <v>121</v>
      </c>
      <c r="B47" s="99">
        <v>1.2</v>
      </c>
      <c r="C47" s="99">
        <v>5.08</v>
      </c>
      <c r="D47" s="202">
        <f>+C47</f>
        <v>5.08</v>
      </c>
      <c r="E47" s="99" t="str">
        <f>CONCATENATE(A47," ",TEXT(C47,"0,0")," MW")</f>
        <v>Baterías 5,1 MW</v>
      </c>
      <c r="F47" s="172">
        <f>+D47/C47</f>
        <v>1</v>
      </c>
    </row>
    <row r="48" spans="1:6" ht="15">
      <c r="A48" s="131" t="s">
        <v>2</v>
      </c>
      <c r="B48" s="158">
        <f>SUM(B33:B47)</f>
        <v>2381.7493450000002</v>
      </c>
      <c r="C48" s="158">
        <f>SUM(C33:C47)</f>
        <v>3443.831115</v>
      </c>
      <c r="D48" s="202">
        <f>+B47</f>
        <v>1.2</v>
      </c>
      <c r="E48" s="99" t="str">
        <f>CONCATENATE(A47," ",TEXT(B47,"0,0")," MW")</f>
        <v>Baterías 1,2 MW</v>
      </c>
      <c r="F48" s="172">
        <f>+D48/B47</f>
        <v>1</v>
      </c>
    </row>
    <row r="49" spans="1:12" ht="15">
      <c r="A49"/>
      <c r="B49"/>
      <c r="C49"/>
    </row>
    <row r="50" spans="1:12">
      <c r="A50" s="97" t="s">
        <v>28</v>
      </c>
      <c r="B50" s="98"/>
      <c r="C50" s="98"/>
      <c r="F50" s="97" t="s">
        <v>29</v>
      </c>
      <c r="G50" s="98"/>
      <c r="H50" s="98"/>
    </row>
    <row r="51" spans="1:12">
      <c r="A51" s="100"/>
      <c r="B51" s="101" t="s">
        <v>27</v>
      </c>
      <c r="C51" s="101" t="s">
        <v>26</v>
      </c>
      <c r="F51" s="100"/>
      <c r="G51" s="101" t="s">
        <v>27</v>
      </c>
      <c r="H51" s="101" t="s">
        <v>26</v>
      </c>
      <c r="J51" s="175"/>
      <c r="K51" s="176" t="s">
        <v>113</v>
      </c>
      <c r="L51" s="176" t="s">
        <v>114</v>
      </c>
    </row>
    <row r="52" spans="1:12">
      <c r="A52" s="102" t="s">
        <v>11</v>
      </c>
      <c r="B52" s="103">
        <f>B34</f>
        <v>241.2</v>
      </c>
      <c r="C52" s="104">
        <f t="shared" ref="C52:C57" si="0">B52/$B$63*100</f>
        <v>10.132115114799269</v>
      </c>
      <c r="D52" s="155"/>
      <c r="F52" s="102" t="s">
        <v>10</v>
      </c>
      <c r="G52" s="103">
        <f>C35</f>
        <v>487.64</v>
      </c>
      <c r="H52" s="104">
        <f>G52/$G$62*100</f>
        <v>14.180729680403173</v>
      </c>
      <c r="J52" s="174" t="s">
        <v>111</v>
      </c>
      <c r="K52" s="177">
        <f>SUM(C52:C58)</f>
        <v>77.420071290309679</v>
      </c>
      <c r="L52" s="177">
        <f>SUM(H52:H56)</f>
        <v>69.636618641997885</v>
      </c>
    </row>
    <row r="53" spans="1:12">
      <c r="A53" s="102" t="s">
        <v>10</v>
      </c>
      <c r="B53" s="103">
        <f t="shared" ref="B53:B54" si="1">B35</f>
        <v>139.4</v>
      </c>
      <c r="C53" s="104">
        <f t="shared" si="0"/>
        <v>5.8557912396476706</v>
      </c>
      <c r="D53" s="155"/>
      <c r="F53" s="102" t="s">
        <v>9</v>
      </c>
      <c r="G53" s="103">
        <f>C36</f>
        <v>520.75</v>
      </c>
      <c r="H53" s="104">
        <f t="shared" ref="H53:H61" si="2">G53/$G$62*100</f>
        <v>15.143579240976853</v>
      </c>
      <c r="J53" s="178" t="s">
        <v>112</v>
      </c>
      <c r="K53" s="179">
        <f>SUM(C59:C62)</f>
        <v>22.579928709690329</v>
      </c>
      <c r="L53" s="179">
        <f>SUM(H57:H61)</f>
        <v>30.363381358002119</v>
      </c>
    </row>
    <row r="54" spans="1:12">
      <c r="A54" s="102" t="s">
        <v>9</v>
      </c>
      <c r="B54" s="103">
        <f t="shared" si="1"/>
        <v>591.6</v>
      </c>
      <c r="C54" s="104">
        <f t="shared" si="0"/>
        <v>24.851406724358409</v>
      </c>
      <c r="D54" s="155"/>
      <c r="F54" s="102" t="s">
        <v>8</v>
      </c>
      <c r="G54" s="103">
        <f>C37</f>
        <v>482.64</v>
      </c>
      <c r="H54" s="104">
        <f t="shared" si="2"/>
        <v>14.035328055429799</v>
      </c>
    </row>
    <row r="55" spans="1:12">
      <c r="A55" s="102" t="s">
        <v>25</v>
      </c>
      <c r="B55" s="103">
        <f>B38</f>
        <v>822.9</v>
      </c>
      <c r="C55" s="104">
        <f t="shared" si="0"/>
        <v>34.567651442654721</v>
      </c>
      <c r="D55" s="155"/>
      <c r="F55" s="102" t="s">
        <v>25</v>
      </c>
      <c r="G55" s="103">
        <f>C38</f>
        <v>865.4</v>
      </c>
      <c r="H55" s="104">
        <f t="shared" si="2"/>
        <v>25.166113250391493</v>
      </c>
    </row>
    <row r="56" spans="1:12">
      <c r="A56" s="102" t="s">
        <v>24</v>
      </c>
      <c r="B56" s="103">
        <f>B39</f>
        <v>0</v>
      </c>
      <c r="C56" s="104">
        <f t="shared" si="0"/>
        <v>0</v>
      </c>
      <c r="D56" s="155"/>
      <c r="F56" s="102" t="s">
        <v>23</v>
      </c>
      <c r="G56" s="103">
        <f>C44</f>
        <v>38.200000000000003</v>
      </c>
      <c r="H56" s="104">
        <f t="shared" si="2"/>
        <v>1.1108684147965737</v>
      </c>
    </row>
    <row r="57" spans="1:12">
      <c r="A57" s="102" t="s">
        <v>23</v>
      </c>
      <c r="B57" s="103">
        <f>B44</f>
        <v>10.523</v>
      </c>
      <c r="C57" s="104">
        <f t="shared" si="0"/>
        <v>0.44204082650511078</v>
      </c>
      <c r="D57" s="155"/>
      <c r="F57" s="102" t="s">
        <v>12</v>
      </c>
      <c r="G57" s="104">
        <f>C33</f>
        <v>0.76300000000000001</v>
      </c>
      <c r="H57" s="104">
        <f t="shared" si="2"/>
        <v>2.2188287970936801E-2</v>
      </c>
    </row>
    <row r="58" spans="1:12">
      <c r="A58" s="102" t="s">
        <v>47</v>
      </c>
      <c r="B58" s="103">
        <f>B46</f>
        <v>37.4</v>
      </c>
      <c r="C58" s="104">
        <f t="shared" ref="C58:C61" si="3">B58/$B$63*100</f>
        <v>1.5710659423444968</v>
      </c>
      <c r="D58" s="155"/>
      <c r="F58" s="102" t="s">
        <v>6</v>
      </c>
      <c r="G58" s="103">
        <f>C40</f>
        <v>11.32</v>
      </c>
      <c r="H58" s="104">
        <f t="shared" si="2"/>
        <v>0.32918927893971767</v>
      </c>
    </row>
    <row r="59" spans="1:12">
      <c r="A59" s="102" t="s">
        <v>46</v>
      </c>
      <c r="B59" s="103">
        <f>B45</f>
        <v>37.4</v>
      </c>
      <c r="C59" s="104">
        <f t="shared" si="3"/>
        <v>1.5710659423444968</v>
      </c>
      <c r="D59" s="155"/>
      <c r="F59" s="102" t="s">
        <v>5</v>
      </c>
      <c r="G59" s="103">
        <f>C41</f>
        <v>677.43499999999995</v>
      </c>
      <c r="H59" s="104">
        <f t="shared" si="2"/>
        <v>19.700029962767456</v>
      </c>
    </row>
    <row r="60" spans="1:12" ht="10.15" customHeight="1">
      <c r="A60" s="102" t="s">
        <v>5</v>
      </c>
      <c r="B60" s="103">
        <f>B41</f>
        <v>3.5575000000000001</v>
      </c>
      <c r="C60" s="104">
        <f>B60/$B$63*100</f>
        <v>0.14944029652113763</v>
      </c>
      <c r="D60" s="155"/>
      <c r="F60" s="102" t="s">
        <v>4</v>
      </c>
      <c r="G60" s="103">
        <f>C42</f>
        <v>345.79711500000002</v>
      </c>
      <c r="H60" s="104">
        <f t="shared" si="2"/>
        <v>10.055892486420905</v>
      </c>
    </row>
    <row r="61" spans="1:12">
      <c r="A61" s="102" t="s">
        <v>4</v>
      </c>
      <c r="B61" s="103">
        <f>B42</f>
        <v>488.65284500000001</v>
      </c>
      <c r="C61" s="104">
        <f t="shared" si="3"/>
        <v>20.526894182065362</v>
      </c>
      <c r="D61" s="155"/>
      <c r="F61" s="102" t="s">
        <v>22</v>
      </c>
      <c r="G61" s="103">
        <f>C43</f>
        <v>8.8059999999999992</v>
      </c>
      <c r="H61" s="104">
        <f t="shared" si="2"/>
        <v>0.25608134190310539</v>
      </c>
    </row>
    <row r="62" spans="1:12">
      <c r="A62" s="102" t="s">
        <v>22</v>
      </c>
      <c r="B62" s="103">
        <f>B43</f>
        <v>7.9160000000000004</v>
      </c>
      <c r="C62" s="104">
        <f>B62/$B$63*100</f>
        <v>0.3325282887593326</v>
      </c>
      <c r="D62" s="155"/>
      <c r="F62" s="105" t="s">
        <v>20</v>
      </c>
      <c r="G62" s="106">
        <f>SUM(G52:G61)</f>
        <v>3438.7511149999996</v>
      </c>
      <c r="H62" s="107">
        <f>SUM(H52:H61)</f>
        <v>100.00000000000001</v>
      </c>
    </row>
    <row r="63" spans="1:12">
      <c r="A63" s="105" t="s">
        <v>20</v>
      </c>
      <c r="B63" s="106">
        <f>SUM(B52:B62)</f>
        <v>2380.5493449999999</v>
      </c>
      <c r="C63" s="107">
        <f>SUM(C52:C62)</f>
        <v>100.00000000000001</v>
      </c>
    </row>
    <row r="66" spans="1:15">
      <c r="A66" s="97" t="s">
        <v>103</v>
      </c>
      <c r="B66" s="98"/>
      <c r="F66" s="97" t="s">
        <v>104</v>
      </c>
      <c r="G66" s="98"/>
    </row>
    <row r="67" spans="1:15">
      <c r="A67" s="100"/>
      <c r="B67" s="101" t="s">
        <v>106</v>
      </c>
      <c r="C67" s="101" t="s">
        <v>105</v>
      </c>
      <c r="D67" s="101" t="s">
        <v>93</v>
      </c>
      <c r="F67" s="100"/>
      <c r="G67" s="101" t="s">
        <v>26</v>
      </c>
      <c r="H67" s="101" t="s">
        <v>93</v>
      </c>
      <c r="J67" s="235"/>
      <c r="K67" s="231" t="s">
        <v>113</v>
      </c>
      <c r="L67" s="231" t="s">
        <v>114</v>
      </c>
    </row>
    <row r="68" spans="1:15">
      <c r="A68" s="102" t="s">
        <v>11</v>
      </c>
      <c r="B68" s="104">
        <f t="shared" ref="B68:B79" si="4">D68/$D$80*100</f>
        <v>2.759046984574975</v>
      </c>
      <c r="C68" s="104">
        <f>(D68/SUM($D$68:$D$78))*100</f>
        <v>3.6924675945011205</v>
      </c>
      <c r="D68" s="103">
        <f>IF(R9&lt;0,0,R9)</f>
        <v>23056.227999999999</v>
      </c>
      <c r="F68" s="102" t="s">
        <v>10</v>
      </c>
      <c r="G68" s="104">
        <f>SUM(Z10,Z14)/Z$22*100</f>
        <v>19.027073032962356</v>
      </c>
      <c r="H68" s="103">
        <f>Z10</f>
        <v>153751.10800000001</v>
      </c>
      <c r="J68" s="236" t="s">
        <v>111</v>
      </c>
      <c r="K68" s="12">
        <f>SUM(C68:C74)</f>
        <v>86.505197292929779</v>
      </c>
      <c r="L68" s="12">
        <f>SUM(G68:G72)</f>
        <v>74.488235969754953</v>
      </c>
    </row>
    <row r="69" spans="1:15">
      <c r="A69" s="102" t="s">
        <v>10</v>
      </c>
      <c r="B69" s="104">
        <f t="shared" si="4"/>
        <v>6.9814241208391099</v>
      </c>
      <c r="C69" s="104">
        <f>(D69/SUM($D$68:$D$78))*100</f>
        <v>9.3433285021197374</v>
      </c>
      <c r="D69" s="103">
        <f>R10</f>
        <v>58340.908000000003</v>
      </c>
      <c r="F69" s="102" t="s">
        <v>9</v>
      </c>
      <c r="G69" s="104">
        <f>Z11/Z$22*100</f>
        <v>3.0156186121123292</v>
      </c>
      <c r="H69" s="103">
        <f>Z11</f>
        <v>24368.156999999999</v>
      </c>
      <c r="J69" s="237" t="s">
        <v>112</v>
      </c>
      <c r="K69" s="238">
        <f>SUM(C75:C78)</f>
        <v>13.49480270707023</v>
      </c>
      <c r="L69" s="238">
        <f>SUM(G73:G77)</f>
        <v>25.51176403024505</v>
      </c>
    </row>
    <row r="70" spans="1:15">
      <c r="A70" s="102" t="s">
        <v>9</v>
      </c>
      <c r="B70" s="104">
        <f t="shared" si="4"/>
        <v>10.376526383881579</v>
      </c>
      <c r="C70" s="104">
        <f>(D70/SUM($D$68:$D$78))*100</f>
        <v>13.88703694796664</v>
      </c>
      <c r="D70" s="103">
        <f>R11</f>
        <v>86712.39</v>
      </c>
      <c r="F70" s="102" t="s">
        <v>8</v>
      </c>
      <c r="G70" s="104">
        <f>Z12/Z$22*100</f>
        <v>14.390116554851334</v>
      </c>
      <c r="H70" s="103">
        <f>Z12</f>
        <v>116281.488</v>
      </c>
    </row>
    <row r="71" spans="1:15">
      <c r="A71" s="102" t="s">
        <v>25</v>
      </c>
      <c r="B71" s="104">
        <f t="shared" si="4"/>
        <v>42.747175804501985</v>
      </c>
      <c r="C71" s="104">
        <f>(D71/SUM($D$68:$D$78))*100</f>
        <v>57.209087883250106</v>
      </c>
      <c r="D71" s="103">
        <f>R13</f>
        <v>357220.67700000003</v>
      </c>
      <c r="F71" s="102" t="s">
        <v>25</v>
      </c>
      <c r="G71" s="104">
        <f>Z13/Z$22*100</f>
        <v>38.055427769828924</v>
      </c>
      <c r="H71" s="103">
        <f>Z13</f>
        <v>307512.57299999997</v>
      </c>
      <c r="J71" s="213" t="s">
        <v>129</v>
      </c>
    </row>
    <row r="72" spans="1:15">
      <c r="A72" s="102" t="s">
        <v>24</v>
      </c>
      <c r="B72" s="104">
        <f t="shared" si="4"/>
        <v>0</v>
      </c>
      <c r="C72" s="104"/>
      <c r="D72" s="103">
        <f>R14</f>
        <v>0</v>
      </c>
      <c r="F72" s="102" t="s">
        <v>23</v>
      </c>
      <c r="G72" s="104">
        <f>Z19/Z$22*100</f>
        <v>0</v>
      </c>
      <c r="H72" s="103">
        <f>Z19</f>
        <v>0</v>
      </c>
      <c r="J72" s="231"/>
      <c r="K72" s="231" t="s">
        <v>105</v>
      </c>
      <c r="L72" s="231" t="s">
        <v>93</v>
      </c>
    </row>
    <row r="73" spans="1:15" ht="12.75">
      <c r="A73" s="102" t="s">
        <v>23</v>
      </c>
      <c r="B73" s="104">
        <f t="shared" si="4"/>
        <v>0.36873336185381395</v>
      </c>
      <c r="C73" s="104">
        <f t="shared" ref="C73:C77" si="5">(D73/SUM($D$68:$D$78))*100</f>
        <v>0.49348053776126805</v>
      </c>
      <c r="D73" s="103">
        <f>R19</f>
        <v>3081.3539999999998</v>
      </c>
      <c r="F73" s="102" t="s">
        <v>12</v>
      </c>
      <c r="G73" s="104">
        <f>Z8/Z$22*100</f>
        <v>2.7247438497669575E-2</v>
      </c>
      <c r="H73" s="103">
        <f>Z8</f>
        <v>220.17699999999999</v>
      </c>
      <c r="J73" s="232" t="s">
        <v>128</v>
      </c>
      <c r="K73" s="233">
        <f>IF(L73=0,0,L73/L73)</f>
        <v>0</v>
      </c>
      <c r="L73" s="234">
        <f>R23</f>
        <v>0</v>
      </c>
      <c r="M73" s="214" t="str">
        <f>CONCATENATE(J73," ",TEXT(L73,"0,00")," MWh")</f>
        <v>Entrega baterías 0,00 MWh</v>
      </c>
      <c r="N73" s="215">
        <f>1-K73</f>
        <v>1</v>
      </c>
      <c r="O73" s="220">
        <f>1-N73</f>
        <v>0</v>
      </c>
    </row>
    <row r="74" spans="1:15" ht="12.75">
      <c r="A74" s="102" t="s">
        <v>47</v>
      </c>
      <c r="B74" s="104">
        <f t="shared" si="4"/>
        <v>1.4046013610891817</v>
      </c>
      <c r="C74" s="104">
        <f t="shared" si="5"/>
        <v>1.8797958273309108</v>
      </c>
      <c r="D74" s="103">
        <f>R21</f>
        <v>11737.6795</v>
      </c>
      <c r="F74" s="102" t="s">
        <v>6</v>
      </c>
      <c r="G74" s="104">
        <f>Z15/Z$22*100</f>
        <v>0.31268365285820604</v>
      </c>
      <c r="H74" s="103">
        <f>Z15</f>
        <v>2526.6869999999999</v>
      </c>
      <c r="J74" s="232" t="s">
        <v>132</v>
      </c>
      <c r="K74" s="233">
        <f>IF(L74=0,0,L74/L74)</f>
        <v>0</v>
      </c>
      <c r="L74" s="234">
        <f>R24</f>
        <v>0</v>
      </c>
      <c r="M74" s="214" t="str">
        <f>CONCATENATE(J74," ",TEXT(L74,"0,00")," MWh")</f>
        <v>Carga baterías 0,00 MWh</v>
      </c>
      <c r="N74" s="215">
        <f>1-K74</f>
        <v>1</v>
      </c>
      <c r="O74" s="220">
        <f>1-N74</f>
        <v>0</v>
      </c>
    </row>
    <row r="75" spans="1:15">
      <c r="A75" s="102" t="s">
        <v>46</v>
      </c>
      <c r="B75" s="104">
        <f t="shared" si="4"/>
        <v>1.4046013610891817</v>
      </c>
      <c r="C75" s="104">
        <f t="shared" si="5"/>
        <v>1.8797958273309108</v>
      </c>
      <c r="D75" s="103">
        <f>R20</f>
        <v>11737.6795</v>
      </c>
      <c r="F75" s="102" t="s">
        <v>5</v>
      </c>
      <c r="G75" s="104">
        <f>Z16/Z$22*100</f>
        <v>18.586068135471127</v>
      </c>
      <c r="H75" s="103">
        <f>Z16</f>
        <v>150187.50200000001</v>
      </c>
      <c r="L75" s="219"/>
    </row>
    <row r="76" spans="1:15">
      <c r="A76" s="102" t="s">
        <v>5</v>
      </c>
      <c r="B76" s="104">
        <f t="shared" si="4"/>
        <v>0</v>
      </c>
      <c r="C76" s="104">
        <f>(D76/SUM($D$68:$D$78))*100</f>
        <v>0</v>
      </c>
      <c r="D76" s="103">
        <f>R16</f>
        <v>0</v>
      </c>
      <c r="F76" s="102" t="s">
        <v>4</v>
      </c>
      <c r="G76" s="104">
        <f>Z17/Z$22*100</f>
        <v>6.4644001778129345</v>
      </c>
      <c r="H76" s="103">
        <f>Z17</f>
        <v>52236.552000000003</v>
      </c>
    </row>
    <row r="77" spans="1:15">
      <c r="A77" s="102" t="s">
        <v>4</v>
      </c>
      <c r="B77" s="104">
        <f t="shared" si="4"/>
        <v>8.4552842837429232</v>
      </c>
      <c r="C77" s="104">
        <f t="shared" si="5"/>
        <v>11.315814262882103</v>
      </c>
      <c r="D77" s="103">
        <f>R17</f>
        <v>70657.354999999996</v>
      </c>
      <c r="F77" s="102" t="s">
        <v>22</v>
      </c>
      <c r="G77" s="104">
        <f>Z18/Z$22*100</f>
        <v>0.12136462560511332</v>
      </c>
      <c r="H77" s="103">
        <f>Z18</f>
        <v>980.70500000000004</v>
      </c>
      <c r="J77" s="213" t="s">
        <v>136</v>
      </c>
    </row>
    <row r="78" spans="1:15">
      <c r="A78" s="102" t="s">
        <v>22</v>
      </c>
      <c r="B78" s="104">
        <f t="shared" si="4"/>
        <v>0.22355957533014637</v>
      </c>
      <c r="C78" s="104">
        <f>(D78/SUM($D$68:$D$78))*100</f>
        <v>0.29919261685721593</v>
      </c>
      <c r="D78" s="103">
        <f>R18</f>
        <v>1868.1959999999999</v>
      </c>
      <c r="F78" s="105" t="s">
        <v>20</v>
      </c>
      <c r="G78" s="107">
        <f>SUM(G68:G77)</f>
        <v>100</v>
      </c>
      <c r="H78" s="106">
        <f>SUM(H68:H77)</f>
        <v>808064.94900000002</v>
      </c>
      <c r="J78" s="231"/>
      <c r="K78" s="231" t="s">
        <v>105</v>
      </c>
      <c r="L78" s="231" t="s">
        <v>93</v>
      </c>
    </row>
    <row r="79" spans="1:15" ht="12.75">
      <c r="A79" s="102" t="s">
        <v>21</v>
      </c>
      <c r="B79" s="104">
        <f t="shared" si="4"/>
        <v>25.279046763097114</v>
      </c>
      <c r="C79" s="104"/>
      <c r="D79" s="103">
        <f>R25</f>
        <v>211246.66200000001</v>
      </c>
      <c r="J79" s="232" t="s">
        <v>128</v>
      </c>
      <c r="K79" s="233">
        <f>IF(L79=0,0,L79/L79)</f>
        <v>0</v>
      </c>
      <c r="L79" s="234">
        <f>Z23</f>
        <v>0</v>
      </c>
      <c r="M79" s="214" t="str">
        <f>CONCATENATE(J79," ",TEXT(L79,"0,00")," MWh")</f>
        <v>Entrega baterías 0,00 MWh</v>
      </c>
      <c r="N79" s="215">
        <f>1-K79</f>
        <v>1</v>
      </c>
      <c r="O79" s="220">
        <f>1-N79</f>
        <v>0</v>
      </c>
    </row>
    <row r="80" spans="1:15" ht="12.75">
      <c r="A80" s="105" t="s">
        <v>20</v>
      </c>
      <c r="B80" s="107">
        <f>SUM(B68:B79)</f>
        <v>100</v>
      </c>
      <c r="C80" s="107">
        <f>SUM(C68:C79)</f>
        <v>100</v>
      </c>
      <c r="D80" s="106">
        <f>SUM(D68:D79)</f>
        <v>835659.12899999996</v>
      </c>
      <c r="J80" s="232" t="s">
        <v>132</v>
      </c>
      <c r="K80" s="233">
        <f>IF(L80=0,0,L80/L80)</f>
        <v>1</v>
      </c>
      <c r="L80" s="234">
        <f>Z24</f>
        <v>-18.018000000000001</v>
      </c>
      <c r="M80" s="214" t="str">
        <f>CONCATENATE(J80," ",TEXT(L80,"0,00")," MWh")</f>
        <v>Carga baterías -18,02 MWh</v>
      </c>
      <c r="N80" s="215">
        <f>1-K80</f>
        <v>0</v>
      </c>
      <c r="O80" s="220">
        <f>1-N80</f>
        <v>1</v>
      </c>
    </row>
    <row r="85" spans="1:26" ht="15">
      <c r="A85" s="128"/>
      <c r="B85" s="128" t="s">
        <v>61</v>
      </c>
      <c r="C85" s="287" t="s">
        <v>13</v>
      </c>
      <c r="D85" s="288"/>
      <c r="E85" s="288"/>
      <c r="F85" s="288"/>
      <c r="G85" s="288"/>
      <c r="H85" s="288"/>
      <c r="I85" s="288"/>
      <c r="J85" s="288"/>
      <c r="K85" s="288"/>
      <c r="L85" s="288"/>
      <c r="M85" s="288"/>
      <c r="N85" s="288"/>
      <c r="O85" s="288"/>
      <c r="P85" s="288"/>
      <c r="Q85" s="288"/>
      <c r="R85" s="288"/>
      <c r="S85" s="288"/>
      <c r="T85" s="288"/>
      <c r="U85" s="288"/>
      <c r="V85" s="288"/>
      <c r="W85"/>
      <c r="X85"/>
      <c r="Y85"/>
      <c r="Z85"/>
    </row>
    <row r="86" spans="1:26" ht="15">
      <c r="A86" s="128"/>
      <c r="B86" s="126" t="s">
        <v>59</v>
      </c>
      <c r="C86" s="181" t="s">
        <v>94</v>
      </c>
      <c r="D86" s="181" t="s">
        <v>97</v>
      </c>
      <c r="E86" s="181" t="s">
        <v>110</v>
      </c>
      <c r="F86" s="181" t="s">
        <v>117</v>
      </c>
      <c r="G86" s="181" t="s">
        <v>118</v>
      </c>
      <c r="H86" s="181" t="s">
        <v>130</v>
      </c>
      <c r="I86" s="181" t="s">
        <v>131</v>
      </c>
      <c r="J86" s="181" t="s">
        <v>133</v>
      </c>
      <c r="K86" s="181" t="s">
        <v>134</v>
      </c>
      <c r="L86" s="181" t="s">
        <v>135</v>
      </c>
      <c r="M86" s="181" t="s">
        <v>145</v>
      </c>
      <c r="N86" s="181" t="s">
        <v>146</v>
      </c>
      <c r="O86" s="181" t="s">
        <v>147</v>
      </c>
      <c r="P86" s="181" t="s">
        <v>148</v>
      </c>
      <c r="Q86" s="181" t="s">
        <v>149</v>
      </c>
      <c r="R86" s="181" t="s">
        <v>144</v>
      </c>
      <c r="S86" s="181" t="s">
        <v>150</v>
      </c>
      <c r="T86" s="181" t="s">
        <v>203</v>
      </c>
      <c r="U86" s="181" t="s">
        <v>205</v>
      </c>
      <c r="V86" s="181" t="s">
        <v>210</v>
      </c>
      <c r="W86"/>
      <c r="X86"/>
      <c r="Y86"/>
      <c r="Z86"/>
    </row>
    <row r="87" spans="1:26" ht="15">
      <c r="A87" s="128" t="s">
        <v>60</v>
      </c>
      <c r="B87" s="128" t="s">
        <v>62</v>
      </c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/>
      <c r="X87"/>
      <c r="Y87"/>
      <c r="Z87"/>
    </row>
    <row r="88" spans="1:26" ht="15">
      <c r="A88" s="278" t="s">
        <v>49</v>
      </c>
      <c r="B88" s="127" t="s">
        <v>11</v>
      </c>
      <c r="C88" s="243">
        <v>4.6319679999999996</v>
      </c>
      <c r="D88" s="243">
        <v>61.004249999999999</v>
      </c>
      <c r="E88" s="243">
        <v>29.608969999999999</v>
      </c>
      <c r="F88" s="243">
        <v>0</v>
      </c>
      <c r="G88" s="243">
        <v>0</v>
      </c>
      <c r="H88" s="243">
        <v>0</v>
      </c>
      <c r="I88" s="243">
        <v>0</v>
      </c>
      <c r="J88" s="243">
        <v>0</v>
      </c>
      <c r="K88" s="243">
        <v>0</v>
      </c>
      <c r="L88" s="243">
        <v>0</v>
      </c>
      <c r="M88" s="243">
        <v>0</v>
      </c>
      <c r="N88" s="243">
        <v>0</v>
      </c>
      <c r="O88" s="243">
        <v>0</v>
      </c>
      <c r="P88" s="243">
        <v>0</v>
      </c>
      <c r="Q88" s="243">
        <v>0</v>
      </c>
      <c r="R88" s="243">
        <v>0</v>
      </c>
      <c r="S88" s="243">
        <v>0</v>
      </c>
      <c r="T88" s="243">
        <v>0</v>
      </c>
      <c r="U88" s="243">
        <v>23.056228000000001</v>
      </c>
      <c r="V88" s="243">
        <v>0</v>
      </c>
      <c r="W88"/>
      <c r="X88"/>
      <c r="Y88"/>
      <c r="Z88"/>
    </row>
    <row r="89" spans="1:26" ht="15">
      <c r="A89" s="279"/>
      <c r="B89" s="127" t="s">
        <v>69</v>
      </c>
      <c r="C89" s="243">
        <v>8.5854890000000008</v>
      </c>
      <c r="D89" s="243">
        <v>6.4758909999999998</v>
      </c>
      <c r="E89" s="243">
        <v>7.3957850000000001</v>
      </c>
      <c r="F89" s="243">
        <v>13.863616</v>
      </c>
      <c r="G89" s="243">
        <v>17.616911000000002</v>
      </c>
      <c r="H89" s="243">
        <v>36.758597999999999</v>
      </c>
      <c r="I89" s="243">
        <v>62.363782</v>
      </c>
      <c r="J89" s="243">
        <v>66.467855</v>
      </c>
      <c r="K89" s="243">
        <v>45.454340000000002</v>
      </c>
      <c r="L89" s="243">
        <v>22.456917000000001</v>
      </c>
      <c r="M89" s="243">
        <v>17.069234000000002</v>
      </c>
      <c r="N89" s="243">
        <v>11.652042</v>
      </c>
      <c r="O89" s="243">
        <v>14.892018999999999</v>
      </c>
      <c r="P89" s="243">
        <v>6.0359920000000002</v>
      </c>
      <c r="Q89" s="243">
        <v>8.5326330000000006</v>
      </c>
      <c r="R89" s="243">
        <v>8.6196000000000002</v>
      </c>
      <c r="S89" s="243">
        <v>22.465201</v>
      </c>
      <c r="T89" s="243">
        <v>36.617978999999998</v>
      </c>
      <c r="U89" s="243">
        <v>58.340907999999999</v>
      </c>
      <c r="V89" s="243">
        <v>39.736117999999998</v>
      </c>
      <c r="W89"/>
      <c r="X89"/>
      <c r="Y89"/>
      <c r="Z89"/>
    </row>
    <row r="90" spans="1:26" ht="15">
      <c r="A90" s="279"/>
      <c r="B90" s="127" t="s">
        <v>9</v>
      </c>
      <c r="C90" s="243">
        <v>23.827804</v>
      </c>
      <c r="D90" s="243">
        <v>22.326347999999999</v>
      </c>
      <c r="E90" s="243">
        <v>24.290578</v>
      </c>
      <c r="F90" s="243">
        <v>25.040586000000001</v>
      </c>
      <c r="G90" s="243">
        <v>25.468105999999999</v>
      </c>
      <c r="H90" s="243">
        <v>46.078491</v>
      </c>
      <c r="I90" s="243">
        <v>58.218541000000002</v>
      </c>
      <c r="J90" s="243">
        <v>51.241262999999996</v>
      </c>
      <c r="K90" s="243">
        <v>39.777388999999999</v>
      </c>
      <c r="L90" s="243">
        <v>43.751629999999999</v>
      </c>
      <c r="M90" s="243">
        <v>32.383879</v>
      </c>
      <c r="N90" s="243">
        <v>25.042332999999999</v>
      </c>
      <c r="O90" s="243">
        <v>28.074463000000002</v>
      </c>
      <c r="P90" s="243">
        <v>21.743562000000001</v>
      </c>
      <c r="Q90" s="243">
        <v>24.257366999999999</v>
      </c>
      <c r="R90" s="243">
        <v>22.619537000000001</v>
      </c>
      <c r="S90" s="243">
        <v>36.469515000000001</v>
      </c>
      <c r="T90" s="243">
        <v>48.031368999999998</v>
      </c>
      <c r="U90" s="243">
        <v>86.712389999999999</v>
      </c>
      <c r="V90" s="243">
        <v>44.154013999999997</v>
      </c>
      <c r="W90"/>
      <c r="X90"/>
      <c r="Y90"/>
      <c r="Z90"/>
    </row>
    <row r="91" spans="1:26" ht="15">
      <c r="A91" s="279"/>
      <c r="B91" s="127" t="s">
        <v>25</v>
      </c>
      <c r="C91" s="243">
        <v>284.762474</v>
      </c>
      <c r="D91" s="243">
        <v>188.665806</v>
      </c>
      <c r="E91" s="243">
        <v>223.33681300000001</v>
      </c>
      <c r="F91" s="243">
        <v>226.59007600000001</v>
      </c>
      <c r="G91" s="243">
        <v>244.74023199999999</v>
      </c>
      <c r="H91" s="243">
        <v>274.475863</v>
      </c>
      <c r="I91" s="243">
        <v>334.267562</v>
      </c>
      <c r="J91" s="243">
        <v>319.07413400000002</v>
      </c>
      <c r="K91" s="243">
        <v>274.82982800000002</v>
      </c>
      <c r="L91" s="243">
        <v>257.021049</v>
      </c>
      <c r="M91" s="243">
        <v>234.20941099999999</v>
      </c>
      <c r="N91" s="243">
        <v>265.032152</v>
      </c>
      <c r="O91" s="243">
        <v>271.90836200000001</v>
      </c>
      <c r="P91" s="243">
        <v>219.728983</v>
      </c>
      <c r="Q91" s="243">
        <v>263.66985</v>
      </c>
      <c r="R91" s="243">
        <v>217.826639</v>
      </c>
      <c r="S91" s="243">
        <v>237.47240300000001</v>
      </c>
      <c r="T91" s="243">
        <v>278.43838</v>
      </c>
      <c r="U91" s="243">
        <v>357.22067700000002</v>
      </c>
      <c r="V91" s="243">
        <v>231.85280700000001</v>
      </c>
      <c r="W91"/>
      <c r="X91"/>
      <c r="Y91"/>
      <c r="Z91"/>
    </row>
    <row r="92" spans="1:26" ht="15">
      <c r="A92" s="279"/>
      <c r="B92" s="127" t="s">
        <v>24</v>
      </c>
      <c r="C92" s="243">
        <v>0</v>
      </c>
      <c r="D92" s="243">
        <v>0</v>
      </c>
      <c r="E92" s="243">
        <v>0</v>
      </c>
      <c r="F92" s="243">
        <v>0</v>
      </c>
      <c r="G92" s="243">
        <v>0</v>
      </c>
      <c r="H92" s="243">
        <v>0</v>
      </c>
      <c r="I92" s="243">
        <v>0</v>
      </c>
      <c r="J92" s="243">
        <v>0</v>
      </c>
      <c r="K92" s="243">
        <v>0</v>
      </c>
      <c r="L92" s="243">
        <v>0</v>
      </c>
      <c r="M92" s="243">
        <v>0</v>
      </c>
      <c r="N92" s="243">
        <v>0</v>
      </c>
      <c r="O92" s="243">
        <v>0</v>
      </c>
      <c r="P92" s="243">
        <v>0</v>
      </c>
      <c r="Q92" s="243">
        <v>0</v>
      </c>
      <c r="R92" s="243">
        <v>0</v>
      </c>
      <c r="S92" s="243">
        <v>0</v>
      </c>
      <c r="T92" s="243">
        <v>0</v>
      </c>
      <c r="U92" s="243">
        <v>0</v>
      </c>
      <c r="V92" s="243">
        <v>0</v>
      </c>
      <c r="W92"/>
      <c r="X92"/>
      <c r="Y92"/>
      <c r="Z92"/>
    </row>
    <row r="93" spans="1:26" ht="15">
      <c r="A93" s="279"/>
      <c r="B93" s="127" t="s">
        <v>5</v>
      </c>
      <c r="C93" s="243">
        <v>0</v>
      </c>
      <c r="D93" s="243">
        <v>0</v>
      </c>
      <c r="E93" s="243">
        <v>0</v>
      </c>
      <c r="F93" s="243">
        <v>0</v>
      </c>
      <c r="G93" s="243">
        <v>0</v>
      </c>
      <c r="H93" s="243">
        <v>0</v>
      </c>
      <c r="I93" s="243">
        <v>0</v>
      </c>
      <c r="J93" s="243">
        <v>0</v>
      </c>
      <c r="K93" s="243">
        <v>0</v>
      </c>
      <c r="L93" s="243">
        <v>0</v>
      </c>
      <c r="M93" s="243">
        <v>0</v>
      </c>
      <c r="N93" s="243">
        <v>0</v>
      </c>
      <c r="O93" s="243">
        <v>0</v>
      </c>
      <c r="P93" s="243">
        <v>0</v>
      </c>
      <c r="Q93" s="243">
        <v>0</v>
      </c>
      <c r="R93" s="243">
        <v>0</v>
      </c>
      <c r="S93" s="243">
        <v>0</v>
      </c>
      <c r="T93" s="243">
        <v>0</v>
      </c>
      <c r="U93" s="243">
        <v>0</v>
      </c>
      <c r="V93" s="243">
        <v>0</v>
      </c>
      <c r="W93"/>
      <c r="X93"/>
      <c r="Y93"/>
      <c r="Z93"/>
    </row>
    <row r="94" spans="1:26" ht="15">
      <c r="A94" s="279"/>
      <c r="B94" s="127" t="s">
        <v>4</v>
      </c>
      <c r="C94" s="243">
        <v>27.366243000000001</v>
      </c>
      <c r="D94" s="243">
        <v>29.824808999999998</v>
      </c>
      <c r="E94" s="243">
        <v>33.932969999999997</v>
      </c>
      <c r="F94" s="243">
        <v>49.048960999999998</v>
      </c>
      <c r="G94" s="243">
        <v>55.148218999999997</v>
      </c>
      <c r="H94" s="243">
        <v>64.616387000000003</v>
      </c>
      <c r="I94" s="243">
        <v>58.301254</v>
      </c>
      <c r="J94" s="243">
        <v>58.388308000000002</v>
      </c>
      <c r="K94" s="243">
        <v>48.070135000000001</v>
      </c>
      <c r="L94" s="243">
        <v>38.159438000000002</v>
      </c>
      <c r="M94" s="243">
        <v>28.287680999999999</v>
      </c>
      <c r="N94" s="243">
        <v>21.457460999999999</v>
      </c>
      <c r="O94" s="243">
        <v>26.531222</v>
      </c>
      <c r="P94" s="243">
        <v>38.510109999999997</v>
      </c>
      <c r="Q94" s="243">
        <v>42.581280999999997</v>
      </c>
      <c r="R94" s="243">
        <v>59.468370999999998</v>
      </c>
      <c r="S94" s="243">
        <v>57.807105</v>
      </c>
      <c r="T94" s="243">
        <v>70.263322000000002</v>
      </c>
      <c r="U94" s="243">
        <v>70.657354999999995</v>
      </c>
      <c r="V94" s="243">
        <v>40.067771</v>
      </c>
      <c r="W94"/>
      <c r="X94"/>
      <c r="Y94"/>
      <c r="Z94"/>
    </row>
    <row r="95" spans="1:26" ht="15">
      <c r="A95" s="279"/>
      <c r="B95" s="127" t="s">
        <v>22</v>
      </c>
      <c r="C95" s="243">
        <v>0.256185</v>
      </c>
      <c r="D95" s="243">
        <v>0.25728499999999999</v>
      </c>
      <c r="E95" s="243">
        <v>0.27165699999999998</v>
      </c>
      <c r="F95" s="243">
        <v>0.216173</v>
      </c>
      <c r="G95" s="243">
        <v>0.242977</v>
      </c>
      <c r="H95" s="243">
        <v>0.25375799999999998</v>
      </c>
      <c r="I95" s="243">
        <v>0.13533500000000001</v>
      </c>
      <c r="J95" s="243">
        <v>6.2700000000000006E-2</v>
      </c>
      <c r="K95" s="243">
        <v>0.16319</v>
      </c>
      <c r="L95" s="243">
        <v>0.72397699999999998</v>
      </c>
      <c r="M95" s="243">
        <v>1.328557</v>
      </c>
      <c r="N95" s="243">
        <v>0.812226</v>
      </c>
      <c r="O95" s="243">
        <v>0.97993699999999995</v>
      </c>
      <c r="P95" s="243">
        <v>0.94255900000000004</v>
      </c>
      <c r="Q95" s="243">
        <v>1.3661909999999999</v>
      </c>
      <c r="R95" s="243">
        <v>1.581583</v>
      </c>
      <c r="S95" s="243">
        <v>1.776745</v>
      </c>
      <c r="T95" s="243">
        <v>1.9475359999999999</v>
      </c>
      <c r="U95" s="243">
        <v>1.868196</v>
      </c>
      <c r="V95" s="243">
        <v>1.2958339999999999</v>
      </c>
      <c r="W95"/>
      <c r="X95"/>
      <c r="Y95"/>
      <c r="Z95"/>
    </row>
    <row r="96" spans="1:26" ht="15">
      <c r="A96" s="279"/>
      <c r="B96" s="127" t="s">
        <v>23</v>
      </c>
      <c r="C96" s="243">
        <v>3.6863090000000001</v>
      </c>
      <c r="D96" s="243">
        <v>3.272465</v>
      </c>
      <c r="E96" s="243">
        <v>2.6087359999999999</v>
      </c>
      <c r="F96" s="243">
        <v>2.4437060000000002</v>
      </c>
      <c r="G96" s="243">
        <v>3.266893</v>
      </c>
      <c r="H96" s="243">
        <v>4.1208809999999998</v>
      </c>
      <c r="I96" s="243">
        <v>3.573118</v>
      </c>
      <c r="J96" s="243">
        <v>3.1659009999999999</v>
      </c>
      <c r="K96" s="243">
        <v>2.336195</v>
      </c>
      <c r="L96" s="243">
        <v>3.0284080000000002</v>
      </c>
      <c r="M96" s="243">
        <v>2.5220250000000002</v>
      </c>
      <c r="N96" s="243">
        <v>3.7919230000000002</v>
      </c>
      <c r="O96" s="243">
        <v>3.4251860000000001</v>
      </c>
      <c r="P96" s="243">
        <v>1.3775310000000001</v>
      </c>
      <c r="Q96" s="243">
        <v>0.98716599999999999</v>
      </c>
      <c r="R96" s="243">
        <v>2.6262699999999999</v>
      </c>
      <c r="S96" s="243">
        <v>2.7262230000000001</v>
      </c>
      <c r="T96" s="243">
        <v>3.0921349999999999</v>
      </c>
      <c r="U96" s="243">
        <v>3.0813540000000001</v>
      </c>
      <c r="V96" s="243">
        <v>1.38626</v>
      </c>
      <c r="W96"/>
      <c r="X96"/>
      <c r="Y96"/>
      <c r="Z96"/>
    </row>
    <row r="97" spans="1:26" ht="15">
      <c r="A97" s="279"/>
      <c r="B97" s="127" t="s">
        <v>46</v>
      </c>
      <c r="C97" s="243">
        <v>10.134332000000001</v>
      </c>
      <c r="D97" s="243">
        <v>8.8925330000000002</v>
      </c>
      <c r="E97" s="243">
        <v>9.8915330000000008</v>
      </c>
      <c r="F97" s="243">
        <v>12.984987</v>
      </c>
      <c r="G97" s="243">
        <v>10.486427000000001</v>
      </c>
      <c r="H97" s="243">
        <v>14.345347</v>
      </c>
      <c r="I97" s="243">
        <v>13.9802175</v>
      </c>
      <c r="J97" s="243">
        <v>11.851319</v>
      </c>
      <c r="K97" s="243">
        <v>13.92998</v>
      </c>
      <c r="L97" s="243">
        <v>8.0829000000000004</v>
      </c>
      <c r="M97" s="243">
        <v>12.386824499999999</v>
      </c>
      <c r="N97" s="243">
        <v>9.5741110000000003</v>
      </c>
      <c r="O97" s="243">
        <v>8.3717509999999997</v>
      </c>
      <c r="P97" s="243">
        <v>4.8198524999999997</v>
      </c>
      <c r="Q97" s="243">
        <v>9.7177954999999994</v>
      </c>
      <c r="R97" s="243">
        <v>15.144128</v>
      </c>
      <c r="S97" s="243">
        <v>11.267936000000001</v>
      </c>
      <c r="T97" s="243">
        <v>13.462051000000001</v>
      </c>
      <c r="U97" s="243">
        <v>11.7376795</v>
      </c>
      <c r="V97" s="243">
        <v>7.1117800000000004</v>
      </c>
      <c r="W97"/>
      <c r="X97"/>
      <c r="Y97"/>
      <c r="Z97"/>
    </row>
    <row r="98" spans="1:26" ht="15">
      <c r="A98" s="279"/>
      <c r="B98" s="127" t="s">
        <v>47</v>
      </c>
      <c r="C98" s="243">
        <v>10.134332000000001</v>
      </c>
      <c r="D98" s="243">
        <v>8.8925330000000002</v>
      </c>
      <c r="E98" s="243">
        <v>9.8915330000000008</v>
      </c>
      <c r="F98" s="243">
        <v>12.984987</v>
      </c>
      <c r="G98" s="243">
        <v>10.486427000000001</v>
      </c>
      <c r="H98" s="243">
        <v>14.345347</v>
      </c>
      <c r="I98" s="243">
        <v>13.9802175</v>
      </c>
      <c r="J98" s="243">
        <v>11.851319</v>
      </c>
      <c r="K98" s="243">
        <v>13.92998</v>
      </c>
      <c r="L98" s="243">
        <v>8.0829000000000004</v>
      </c>
      <c r="M98" s="243">
        <v>12.386824499999999</v>
      </c>
      <c r="N98" s="243">
        <v>9.5741110000000003</v>
      </c>
      <c r="O98" s="243">
        <v>8.3717509999999997</v>
      </c>
      <c r="P98" s="243">
        <v>4.8198524999999997</v>
      </c>
      <c r="Q98" s="243">
        <v>9.7177954999999994</v>
      </c>
      <c r="R98" s="243">
        <v>15.144128</v>
      </c>
      <c r="S98" s="243">
        <v>11.267936000000001</v>
      </c>
      <c r="T98" s="243">
        <v>13.462051000000001</v>
      </c>
      <c r="U98" s="243">
        <v>11.7376795</v>
      </c>
      <c r="V98" s="243">
        <v>7.1117800000000004</v>
      </c>
      <c r="W98"/>
      <c r="X98"/>
      <c r="Y98"/>
      <c r="Z98"/>
    </row>
    <row r="99" spans="1:26" ht="15">
      <c r="A99" s="279"/>
      <c r="B99" s="131" t="s">
        <v>2</v>
      </c>
      <c r="C99" s="244">
        <v>373.38513599999999</v>
      </c>
      <c r="D99" s="244">
        <v>329.61192</v>
      </c>
      <c r="E99" s="244">
        <v>341.22857499999998</v>
      </c>
      <c r="F99" s="244">
        <v>343.173092</v>
      </c>
      <c r="G99" s="244">
        <v>367.45619199999999</v>
      </c>
      <c r="H99" s="244">
        <v>454.99467199999998</v>
      </c>
      <c r="I99" s="244">
        <v>544.82002699999998</v>
      </c>
      <c r="J99" s="244">
        <v>522.102799</v>
      </c>
      <c r="K99" s="244">
        <v>438.49103700000001</v>
      </c>
      <c r="L99" s="244">
        <v>381.30721899999998</v>
      </c>
      <c r="M99" s="244">
        <v>340.57443599999999</v>
      </c>
      <c r="N99" s="244">
        <v>346.93635899999998</v>
      </c>
      <c r="O99" s="244">
        <v>362.55469099999999</v>
      </c>
      <c r="P99" s="244">
        <v>297.97844199999997</v>
      </c>
      <c r="Q99" s="244">
        <v>360.83007900000001</v>
      </c>
      <c r="R99" s="244">
        <v>343.03025600000001</v>
      </c>
      <c r="S99" s="244">
        <v>381.25306399999999</v>
      </c>
      <c r="T99" s="244">
        <v>465.31482299999999</v>
      </c>
      <c r="U99" s="244">
        <v>624.41246699999999</v>
      </c>
      <c r="V99" s="244">
        <v>372.716364</v>
      </c>
      <c r="W99"/>
      <c r="X99"/>
      <c r="Y99"/>
      <c r="Z99"/>
    </row>
    <row r="100" spans="1:26" ht="15">
      <c r="A100" s="279"/>
      <c r="B100" s="127" t="s">
        <v>95</v>
      </c>
      <c r="C100" s="243">
        <v>5.3210000000000002E-3</v>
      </c>
      <c r="D100" s="243">
        <v>9.2090000000000002E-3</v>
      </c>
      <c r="E100" s="243">
        <v>1.562E-3</v>
      </c>
      <c r="F100" s="243">
        <v>9.810000000000001E-4</v>
      </c>
      <c r="G100" s="243">
        <v>8.0190000000000001E-3</v>
      </c>
      <c r="H100" s="243">
        <v>3.3307000000000003E-2</v>
      </c>
      <c r="I100" s="243">
        <v>2.5804000000000001E-2</v>
      </c>
      <c r="J100" s="243">
        <v>0</v>
      </c>
      <c r="K100" s="243">
        <v>2.65E-3</v>
      </c>
      <c r="L100" s="243">
        <v>1.1019999999999999E-3</v>
      </c>
      <c r="M100" s="243">
        <v>1.536E-3</v>
      </c>
      <c r="N100" s="243">
        <v>0</v>
      </c>
      <c r="O100" s="243">
        <v>0</v>
      </c>
      <c r="P100" s="243">
        <v>0</v>
      </c>
      <c r="Q100" s="243">
        <v>0</v>
      </c>
      <c r="R100" s="243">
        <v>0</v>
      </c>
      <c r="S100" s="243">
        <v>0</v>
      </c>
      <c r="T100" s="243">
        <v>0</v>
      </c>
      <c r="U100" s="243">
        <v>0</v>
      </c>
      <c r="V100" s="243">
        <v>0</v>
      </c>
      <c r="W100"/>
      <c r="X100"/>
      <c r="Y100"/>
      <c r="Z100"/>
    </row>
    <row r="101" spans="1:26" ht="15">
      <c r="A101" s="279"/>
      <c r="B101" s="127" t="s">
        <v>96</v>
      </c>
      <c r="C101" s="243">
        <v>-2.0024E-2</v>
      </c>
      <c r="D101" s="243">
        <v>-1.9650000000000001E-2</v>
      </c>
      <c r="E101" s="243">
        <v>-6.5550000000000001E-3</v>
      </c>
      <c r="F101" s="243">
        <v>-6.4229999999999999E-3</v>
      </c>
      <c r="G101" s="243">
        <v>-2.7414000000000001E-2</v>
      </c>
      <c r="H101" s="243">
        <v>-6.6456000000000001E-2</v>
      </c>
      <c r="I101" s="243">
        <v>-8.4402000000000005E-2</v>
      </c>
      <c r="J101" s="243">
        <v>-3.7090000000000001E-3</v>
      </c>
      <c r="K101" s="243">
        <v>-8.4089999999999998E-3</v>
      </c>
      <c r="L101" s="243">
        <v>-6.4120000000000002E-3</v>
      </c>
      <c r="M101" s="243">
        <v>-5.6010000000000001E-3</v>
      </c>
      <c r="N101" s="243">
        <v>-4.0439999999999999E-3</v>
      </c>
      <c r="O101" s="243">
        <v>-3.8699999999999997E-4</v>
      </c>
      <c r="P101" s="243">
        <v>0</v>
      </c>
      <c r="Q101" s="243">
        <v>0</v>
      </c>
      <c r="R101" s="243">
        <v>0</v>
      </c>
      <c r="S101" s="243">
        <v>0</v>
      </c>
      <c r="T101" s="243">
        <v>0</v>
      </c>
      <c r="U101" s="243">
        <v>0</v>
      </c>
      <c r="V101" s="243">
        <v>0</v>
      </c>
      <c r="W101"/>
      <c r="X101"/>
      <c r="Y101"/>
      <c r="Z101"/>
    </row>
    <row r="102" spans="1:26" ht="15">
      <c r="A102" s="279"/>
      <c r="B102" s="127" t="s">
        <v>21</v>
      </c>
      <c r="C102" s="243">
        <v>85.443509000000006</v>
      </c>
      <c r="D102" s="243">
        <v>90.795297000000005</v>
      </c>
      <c r="E102" s="243">
        <v>113.220591</v>
      </c>
      <c r="F102" s="243">
        <v>85.306769000000003</v>
      </c>
      <c r="G102" s="243">
        <v>110.447626</v>
      </c>
      <c r="H102" s="243">
        <v>171.035324</v>
      </c>
      <c r="I102" s="243">
        <v>188.42781500000001</v>
      </c>
      <c r="J102" s="243">
        <v>208.61120199999999</v>
      </c>
      <c r="K102" s="243">
        <v>166.21217300000001</v>
      </c>
      <c r="L102" s="243">
        <v>119.248762</v>
      </c>
      <c r="M102" s="243">
        <v>76.900411000000005</v>
      </c>
      <c r="N102" s="243">
        <v>120.18883599999999</v>
      </c>
      <c r="O102" s="243">
        <v>138.53626600000001</v>
      </c>
      <c r="P102" s="243">
        <v>102.627172</v>
      </c>
      <c r="Q102" s="243">
        <v>104.897592</v>
      </c>
      <c r="R102" s="243">
        <v>97.533116000000007</v>
      </c>
      <c r="S102" s="243">
        <v>113.97348</v>
      </c>
      <c r="T102" s="243">
        <v>154.19043300000001</v>
      </c>
      <c r="U102" s="243">
        <v>211.24666199999999</v>
      </c>
      <c r="V102" s="243">
        <v>110.03326</v>
      </c>
      <c r="W102"/>
      <c r="X102"/>
      <c r="Y102"/>
      <c r="Z102"/>
    </row>
    <row r="103" spans="1:26" ht="15">
      <c r="A103" s="280"/>
      <c r="B103" s="131" t="s">
        <v>70</v>
      </c>
      <c r="C103" s="244">
        <v>458.813942</v>
      </c>
      <c r="D103" s="244">
        <v>420.39677599999999</v>
      </c>
      <c r="E103" s="244">
        <v>454.44417299999998</v>
      </c>
      <c r="F103" s="244">
        <v>428.47441900000001</v>
      </c>
      <c r="G103" s="244">
        <v>477.88442300000003</v>
      </c>
      <c r="H103" s="244">
        <v>625.996847</v>
      </c>
      <c r="I103" s="244">
        <v>733.18924400000003</v>
      </c>
      <c r="J103" s="244">
        <v>730.71029199999998</v>
      </c>
      <c r="K103" s="244">
        <v>604.697451</v>
      </c>
      <c r="L103" s="244">
        <v>500.55067100000002</v>
      </c>
      <c r="M103" s="244">
        <v>417.47078199999999</v>
      </c>
      <c r="N103" s="244">
        <v>467.121151</v>
      </c>
      <c r="O103" s="244">
        <v>501.09057000000001</v>
      </c>
      <c r="P103" s="244">
        <v>400.605614</v>
      </c>
      <c r="Q103" s="244">
        <v>465.72767099999999</v>
      </c>
      <c r="R103" s="244">
        <v>440.56337200000002</v>
      </c>
      <c r="S103" s="244">
        <v>495.22654399999999</v>
      </c>
      <c r="T103" s="244">
        <v>619.50525600000003</v>
      </c>
      <c r="U103" s="244">
        <v>835.65912900000001</v>
      </c>
      <c r="V103" s="244">
        <v>482.74962399999998</v>
      </c>
      <c r="W103"/>
      <c r="X103"/>
      <c r="Y103"/>
      <c r="Z103"/>
    </row>
    <row r="104" spans="1:26" ht="15">
      <c r="A104" s="286" t="s">
        <v>50</v>
      </c>
      <c r="B104" s="127" t="s">
        <v>12</v>
      </c>
      <c r="C104" s="243">
        <v>0.285242</v>
      </c>
      <c r="D104" s="243">
        <v>5.4619000000000001E-2</v>
      </c>
      <c r="E104" s="243">
        <v>0</v>
      </c>
      <c r="F104" s="243">
        <v>0</v>
      </c>
      <c r="G104" s="243">
        <v>0</v>
      </c>
      <c r="H104" s="243">
        <v>0</v>
      </c>
      <c r="I104" s="243">
        <v>0</v>
      </c>
      <c r="J104" s="243">
        <v>0</v>
      </c>
      <c r="K104" s="243">
        <v>0</v>
      </c>
      <c r="L104" s="243">
        <v>0</v>
      </c>
      <c r="M104" s="243">
        <v>0</v>
      </c>
      <c r="N104" s="243">
        <v>0</v>
      </c>
      <c r="O104" s="243">
        <v>0</v>
      </c>
      <c r="P104" s="243">
        <v>0</v>
      </c>
      <c r="Q104" s="243">
        <v>0</v>
      </c>
      <c r="R104" s="243">
        <v>0</v>
      </c>
      <c r="S104" s="243">
        <v>0</v>
      </c>
      <c r="T104" s="243">
        <v>7.3203000000000004E-2</v>
      </c>
      <c r="U104" s="243">
        <v>0.22017700000000001</v>
      </c>
      <c r="V104" s="243">
        <v>0</v>
      </c>
      <c r="W104"/>
      <c r="X104"/>
      <c r="Y104"/>
      <c r="Z104"/>
    </row>
    <row r="105" spans="1:26" ht="15">
      <c r="A105" s="279"/>
      <c r="B105" s="127" t="s">
        <v>69</v>
      </c>
      <c r="C105" s="243">
        <v>164.446281</v>
      </c>
      <c r="D105" s="243">
        <v>147.685913</v>
      </c>
      <c r="E105" s="243">
        <v>173.83343199999999</v>
      </c>
      <c r="F105" s="243">
        <v>146.76996600000001</v>
      </c>
      <c r="G105" s="243">
        <v>139.11880199999999</v>
      </c>
      <c r="H105" s="243">
        <v>133.454463</v>
      </c>
      <c r="I105" s="243">
        <v>138.95366799999999</v>
      </c>
      <c r="J105" s="243">
        <v>156.429901</v>
      </c>
      <c r="K105" s="243">
        <v>146.533942</v>
      </c>
      <c r="L105" s="243">
        <v>159.05462600000001</v>
      </c>
      <c r="M105" s="243">
        <v>144.58958999999999</v>
      </c>
      <c r="N105" s="243">
        <v>158.02685199999999</v>
      </c>
      <c r="O105" s="243">
        <v>158.381069</v>
      </c>
      <c r="P105" s="243">
        <v>143.06514300000001</v>
      </c>
      <c r="Q105" s="243">
        <v>149.59031300000001</v>
      </c>
      <c r="R105" s="243">
        <v>153.416853</v>
      </c>
      <c r="S105" s="243">
        <v>140.31111100000001</v>
      </c>
      <c r="T105" s="243">
        <v>133.397616</v>
      </c>
      <c r="U105" s="243">
        <v>153.75110799999999</v>
      </c>
      <c r="V105" s="243">
        <v>88.435755</v>
      </c>
      <c r="W105"/>
      <c r="X105"/>
      <c r="Y105"/>
      <c r="Z105"/>
    </row>
    <row r="106" spans="1:26" ht="15">
      <c r="A106" s="279"/>
      <c r="B106" s="127" t="s">
        <v>9</v>
      </c>
      <c r="C106" s="243">
        <v>37.045735999999998</v>
      </c>
      <c r="D106" s="243">
        <v>22.268398999999999</v>
      </c>
      <c r="E106" s="243">
        <v>28.510366000000001</v>
      </c>
      <c r="F106" s="243">
        <v>15.002691</v>
      </c>
      <c r="G106" s="243">
        <v>15.518791</v>
      </c>
      <c r="H106" s="243">
        <v>14.439681999999999</v>
      </c>
      <c r="I106" s="243">
        <v>17.277450000000002</v>
      </c>
      <c r="J106" s="243">
        <v>21.905804</v>
      </c>
      <c r="K106" s="243">
        <v>21.204673</v>
      </c>
      <c r="L106" s="243">
        <v>28.975633999999999</v>
      </c>
      <c r="M106" s="243">
        <v>21.440819999999999</v>
      </c>
      <c r="N106" s="243">
        <v>25.811325</v>
      </c>
      <c r="O106" s="243">
        <v>28.873301000000001</v>
      </c>
      <c r="P106" s="243">
        <v>25.555015999999998</v>
      </c>
      <c r="Q106" s="243">
        <v>29.612995000000002</v>
      </c>
      <c r="R106" s="243">
        <v>34.690565999999997</v>
      </c>
      <c r="S106" s="243">
        <v>21.324908000000001</v>
      </c>
      <c r="T106" s="243">
        <v>18.374575</v>
      </c>
      <c r="U106" s="243">
        <v>24.368157</v>
      </c>
      <c r="V106" s="243">
        <v>7.3286910000000001</v>
      </c>
      <c r="W106"/>
      <c r="X106"/>
      <c r="Y106"/>
      <c r="Z106"/>
    </row>
    <row r="107" spans="1:26" ht="15">
      <c r="A107" s="279"/>
      <c r="B107" s="127" t="s">
        <v>8</v>
      </c>
      <c r="C107" s="243">
        <v>82.867552000000003</v>
      </c>
      <c r="D107" s="243">
        <v>111.33840600000001</v>
      </c>
      <c r="E107" s="243">
        <v>126.580506</v>
      </c>
      <c r="F107" s="243">
        <v>98.063034000000002</v>
      </c>
      <c r="G107" s="243">
        <v>81.823025999999999</v>
      </c>
      <c r="H107" s="243">
        <v>84.304407999999995</v>
      </c>
      <c r="I107" s="243">
        <v>97.398498000000004</v>
      </c>
      <c r="J107" s="243">
        <v>100.21077</v>
      </c>
      <c r="K107" s="243">
        <v>99.346721000000002</v>
      </c>
      <c r="L107" s="243">
        <v>125.06728200000001</v>
      </c>
      <c r="M107" s="243">
        <v>112.30573</v>
      </c>
      <c r="N107" s="243">
        <v>119.831412</v>
      </c>
      <c r="O107" s="243">
        <v>117.60937199999999</v>
      </c>
      <c r="P107" s="243">
        <v>92.890253999999999</v>
      </c>
      <c r="Q107" s="243">
        <v>82.571079999999995</v>
      </c>
      <c r="R107" s="243">
        <v>106.513632</v>
      </c>
      <c r="S107" s="243">
        <v>111.85987799999999</v>
      </c>
      <c r="T107" s="243">
        <v>90.531129000000007</v>
      </c>
      <c r="U107" s="243">
        <v>116.281488</v>
      </c>
      <c r="V107" s="243">
        <v>58.272019999999998</v>
      </c>
      <c r="W107"/>
      <c r="X107"/>
      <c r="Y107"/>
      <c r="Z107"/>
    </row>
    <row r="108" spans="1:26" ht="15">
      <c r="A108" s="279"/>
      <c r="B108" s="127" t="s">
        <v>25</v>
      </c>
      <c r="C108" s="243">
        <v>342.56568199999998</v>
      </c>
      <c r="D108" s="243">
        <v>249.83534599999999</v>
      </c>
      <c r="E108" s="243">
        <v>290.37200899999999</v>
      </c>
      <c r="F108" s="243">
        <v>290.70250900000002</v>
      </c>
      <c r="G108" s="243">
        <v>328.89233899999999</v>
      </c>
      <c r="H108" s="243">
        <v>284.16690399999999</v>
      </c>
      <c r="I108" s="243">
        <v>316.70403900000002</v>
      </c>
      <c r="J108" s="243">
        <v>340.02993600000002</v>
      </c>
      <c r="K108" s="243">
        <v>307.60187999999999</v>
      </c>
      <c r="L108" s="243">
        <v>357.47449</v>
      </c>
      <c r="M108" s="243">
        <v>343.63677799999999</v>
      </c>
      <c r="N108" s="243">
        <v>344.06825099999998</v>
      </c>
      <c r="O108" s="243">
        <v>331.93350299999997</v>
      </c>
      <c r="P108" s="243">
        <v>287.05643500000002</v>
      </c>
      <c r="Q108" s="243">
        <v>282.06847599999998</v>
      </c>
      <c r="R108" s="243">
        <v>284.69147199999998</v>
      </c>
      <c r="S108" s="243">
        <v>302.07158099999998</v>
      </c>
      <c r="T108" s="243">
        <v>285.73719699999998</v>
      </c>
      <c r="U108" s="243">
        <v>307.51257299999997</v>
      </c>
      <c r="V108" s="243">
        <v>164.10411300000001</v>
      </c>
      <c r="W108"/>
      <c r="X108"/>
      <c r="Y108"/>
      <c r="Z108"/>
    </row>
    <row r="109" spans="1:26" ht="15">
      <c r="A109" s="279"/>
      <c r="B109" s="127" t="s">
        <v>6</v>
      </c>
      <c r="C109" s="243">
        <v>1.249555</v>
      </c>
      <c r="D109" s="243">
        <v>1.142978</v>
      </c>
      <c r="E109" s="243">
        <v>1.2419039999999999</v>
      </c>
      <c r="F109" s="243">
        <v>1.7632380000000001</v>
      </c>
      <c r="G109" s="243">
        <v>1.701465</v>
      </c>
      <c r="H109" s="243">
        <v>2.9528669999999999</v>
      </c>
      <c r="I109" s="243">
        <v>3.2914970000000001</v>
      </c>
      <c r="J109" s="243">
        <v>2.7481429999999998</v>
      </c>
      <c r="K109" s="243">
        <v>2.5908169999999999</v>
      </c>
      <c r="L109" s="243">
        <v>1.167157</v>
      </c>
      <c r="M109" s="243">
        <v>0.94978899999999999</v>
      </c>
      <c r="N109" s="243">
        <v>1.389267</v>
      </c>
      <c r="O109" s="243">
        <v>1.2355400000000001</v>
      </c>
      <c r="P109" s="243">
        <v>1.2530779999999999</v>
      </c>
      <c r="Q109" s="243">
        <v>2.036778</v>
      </c>
      <c r="R109" s="243">
        <v>1.462315</v>
      </c>
      <c r="S109" s="243">
        <v>1.65883</v>
      </c>
      <c r="T109" s="243">
        <v>2.7551960000000002</v>
      </c>
      <c r="U109" s="243">
        <v>2.5266869999999999</v>
      </c>
      <c r="V109" s="243">
        <v>0</v>
      </c>
      <c r="W109"/>
      <c r="X109"/>
      <c r="Y109"/>
      <c r="Z109"/>
    </row>
    <row r="110" spans="1:26" ht="15">
      <c r="A110" s="279"/>
      <c r="B110" s="127" t="s">
        <v>5</v>
      </c>
      <c r="C110" s="243">
        <v>94.891767999999999</v>
      </c>
      <c r="D110" s="243">
        <v>107.781023</v>
      </c>
      <c r="E110" s="243">
        <v>77.912910999999994</v>
      </c>
      <c r="F110" s="243">
        <v>105.25716</v>
      </c>
      <c r="G110" s="243">
        <v>99.456442999999993</v>
      </c>
      <c r="H110" s="243">
        <v>143.551423</v>
      </c>
      <c r="I110" s="243">
        <v>166.964561</v>
      </c>
      <c r="J110" s="243">
        <v>149.445853</v>
      </c>
      <c r="K110" s="243">
        <v>165.43614400000001</v>
      </c>
      <c r="L110" s="243">
        <v>84.341824000000003</v>
      </c>
      <c r="M110" s="243">
        <v>95.968860000000006</v>
      </c>
      <c r="N110" s="243">
        <v>82.177819999999997</v>
      </c>
      <c r="O110" s="243">
        <v>97.153379000000001</v>
      </c>
      <c r="P110" s="243">
        <v>91.083347000000003</v>
      </c>
      <c r="Q110" s="243">
        <v>165.14311699999999</v>
      </c>
      <c r="R110" s="243">
        <v>81.914609999999996</v>
      </c>
      <c r="S110" s="243">
        <v>90.114508999999998</v>
      </c>
      <c r="T110" s="243">
        <v>139.72264899999999</v>
      </c>
      <c r="U110" s="243">
        <v>150.18750199999999</v>
      </c>
      <c r="V110" s="243">
        <v>122.805989</v>
      </c>
      <c r="W110"/>
      <c r="X110"/>
      <c r="Y110"/>
      <c r="Z110"/>
    </row>
    <row r="111" spans="1:26" ht="15">
      <c r="A111" s="279"/>
      <c r="B111" s="127" t="s">
        <v>4</v>
      </c>
      <c r="C111" s="243">
        <v>32.201141</v>
      </c>
      <c r="D111" s="243">
        <v>35.576335999999998</v>
      </c>
      <c r="E111" s="243">
        <v>37.483338000000003</v>
      </c>
      <c r="F111" s="243">
        <v>38.331471000000001</v>
      </c>
      <c r="G111" s="243">
        <v>44.747520000000002</v>
      </c>
      <c r="H111" s="243">
        <v>42.657446</v>
      </c>
      <c r="I111" s="243">
        <v>44.683625999999997</v>
      </c>
      <c r="J111" s="243">
        <v>46.097631</v>
      </c>
      <c r="K111" s="243">
        <v>39.592024000000002</v>
      </c>
      <c r="L111" s="243">
        <v>35.989100999999998</v>
      </c>
      <c r="M111" s="243">
        <v>32.078172000000002</v>
      </c>
      <c r="N111" s="243">
        <v>31.976611999999999</v>
      </c>
      <c r="O111" s="243">
        <v>33.762532</v>
      </c>
      <c r="P111" s="243">
        <v>36.724344000000002</v>
      </c>
      <c r="Q111" s="243">
        <v>36.337868999999998</v>
      </c>
      <c r="R111" s="243">
        <v>41.012202000000002</v>
      </c>
      <c r="S111" s="243">
        <v>46.822612999999997</v>
      </c>
      <c r="T111" s="243">
        <v>49.021248</v>
      </c>
      <c r="U111" s="243">
        <v>52.236552000000003</v>
      </c>
      <c r="V111" s="243">
        <v>27.375657</v>
      </c>
      <c r="W111"/>
      <c r="X111"/>
      <c r="Y111"/>
      <c r="Z111"/>
    </row>
    <row r="112" spans="1:26" ht="15">
      <c r="A112" s="279"/>
      <c r="B112" s="127" t="s">
        <v>22</v>
      </c>
      <c r="C112" s="243">
        <v>1.1695549999999999</v>
      </c>
      <c r="D112" s="243">
        <v>1.2032910000000001</v>
      </c>
      <c r="E112" s="243">
        <v>1.447702</v>
      </c>
      <c r="F112" s="243">
        <v>1.4667380000000001</v>
      </c>
      <c r="G112" s="243">
        <v>1.4553370000000001</v>
      </c>
      <c r="H112" s="243">
        <v>1.2805299999999999</v>
      </c>
      <c r="I112" s="243">
        <v>1.163958</v>
      </c>
      <c r="J112" s="243">
        <v>0.98014500000000004</v>
      </c>
      <c r="K112" s="243">
        <v>0.36074600000000001</v>
      </c>
      <c r="L112" s="243">
        <v>0.77339199999999997</v>
      </c>
      <c r="M112" s="243">
        <v>0.74605500000000002</v>
      </c>
      <c r="N112" s="243">
        <v>0.798705</v>
      </c>
      <c r="O112" s="243">
        <v>0.99824000000000002</v>
      </c>
      <c r="P112" s="243">
        <v>0.82315300000000002</v>
      </c>
      <c r="Q112" s="243">
        <v>0.86323799999999995</v>
      </c>
      <c r="R112" s="243">
        <v>0.83965599999999996</v>
      </c>
      <c r="S112" s="243">
        <v>1.0704100000000001</v>
      </c>
      <c r="T112" s="243">
        <v>0.92642400000000003</v>
      </c>
      <c r="U112" s="243">
        <v>0.98070500000000005</v>
      </c>
      <c r="V112" s="243">
        <v>0</v>
      </c>
      <c r="W112"/>
      <c r="X112"/>
      <c r="Y112"/>
      <c r="Z112"/>
    </row>
    <row r="113" spans="1:26" ht="15">
      <c r="A113" s="279"/>
      <c r="B113" s="131" t="s">
        <v>2</v>
      </c>
      <c r="C113" s="244">
        <v>756.72251200000005</v>
      </c>
      <c r="D113" s="244">
        <v>676.88631099999998</v>
      </c>
      <c r="E113" s="244">
        <v>737.38216799999998</v>
      </c>
      <c r="F113" s="244">
        <v>697.356807</v>
      </c>
      <c r="G113" s="244">
        <v>712.71372299999996</v>
      </c>
      <c r="H113" s="244">
        <v>706.80772300000001</v>
      </c>
      <c r="I113" s="244">
        <v>786.43729699999994</v>
      </c>
      <c r="J113" s="244">
        <v>817.84818299999995</v>
      </c>
      <c r="K113" s="244">
        <v>782.66694700000005</v>
      </c>
      <c r="L113" s="244">
        <v>792.84350600000005</v>
      </c>
      <c r="M113" s="244">
        <v>751.71579399999996</v>
      </c>
      <c r="N113" s="244">
        <v>764.08024399999999</v>
      </c>
      <c r="O113" s="244">
        <v>769.94693600000005</v>
      </c>
      <c r="P113" s="244">
        <v>678.45077000000003</v>
      </c>
      <c r="Q113" s="244">
        <v>748.22386600000004</v>
      </c>
      <c r="R113" s="244">
        <v>704.54130599999996</v>
      </c>
      <c r="S113" s="244">
        <v>715.23383999999999</v>
      </c>
      <c r="T113" s="244">
        <v>720.53923699999996</v>
      </c>
      <c r="U113" s="244">
        <v>808.06494899999996</v>
      </c>
      <c r="V113" s="244">
        <v>468.322225</v>
      </c>
      <c r="W113"/>
      <c r="X113"/>
      <c r="Y113"/>
      <c r="Z113"/>
    </row>
    <row r="114" spans="1:26" ht="15">
      <c r="A114" s="279"/>
      <c r="B114" s="127" t="s">
        <v>95</v>
      </c>
      <c r="C114" s="243">
        <v>0</v>
      </c>
      <c r="D114" s="243">
        <v>0</v>
      </c>
      <c r="E114" s="243">
        <v>0</v>
      </c>
      <c r="F114" s="243">
        <v>0</v>
      </c>
      <c r="G114" s="243">
        <v>0</v>
      </c>
      <c r="H114" s="243">
        <v>0</v>
      </c>
      <c r="I114" s="243">
        <v>0</v>
      </c>
      <c r="J114" s="243">
        <v>0</v>
      </c>
      <c r="K114" s="243">
        <v>0</v>
      </c>
      <c r="L114" s="243">
        <v>6.3000000000000003E-4</v>
      </c>
      <c r="M114" s="243">
        <v>5.5779999999999996E-3</v>
      </c>
      <c r="N114" s="243">
        <v>1.06E-4</v>
      </c>
      <c r="O114" s="243">
        <v>9.9999999999999995E-7</v>
      </c>
      <c r="P114" s="243">
        <v>3.7019000000000003E-2</v>
      </c>
      <c r="Q114" s="243">
        <v>4.1999999999999998E-5</v>
      </c>
      <c r="R114" s="243">
        <v>0</v>
      </c>
      <c r="S114" s="243">
        <v>7.0930000000000003E-3</v>
      </c>
      <c r="T114" s="243">
        <v>9.9999999999999995E-7</v>
      </c>
      <c r="U114" s="243">
        <v>0</v>
      </c>
      <c r="V114" s="243">
        <v>0</v>
      </c>
      <c r="W114"/>
      <c r="X114"/>
      <c r="Y114"/>
      <c r="Z114"/>
    </row>
    <row r="115" spans="1:26" ht="15">
      <c r="A115" s="279"/>
      <c r="B115" s="127" t="s">
        <v>96</v>
      </c>
      <c r="C115" s="243">
        <v>0</v>
      </c>
      <c r="D115" s="243">
        <v>0</v>
      </c>
      <c r="E115" s="243">
        <v>0</v>
      </c>
      <c r="F115" s="243">
        <v>0</v>
      </c>
      <c r="G115" s="243">
        <v>0</v>
      </c>
      <c r="H115" s="243">
        <v>0</v>
      </c>
      <c r="I115" s="243">
        <v>-1.4660000000000001E-3</v>
      </c>
      <c r="J115" s="243">
        <v>-3.5109999999999998E-3</v>
      </c>
      <c r="K115" s="243">
        <v>-8.7720000000000003E-3</v>
      </c>
      <c r="L115" s="243">
        <v>-1.4031E-2</v>
      </c>
      <c r="M115" s="243">
        <v>-1.7222999999999999E-2</v>
      </c>
      <c r="N115" s="243">
        <v>-1.6891E-2</v>
      </c>
      <c r="O115" s="243">
        <v>-1.1672999999999999E-2</v>
      </c>
      <c r="P115" s="243">
        <v>-5.8445999999999998E-2</v>
      </c>
      <c r="Q115" s="243">
        <v>-1.3491E-2</v>
      </c>
      <c r="R115" s="243">
        <v>-2.2315000000000002E-2</v>
      </c>
      <c r="S115" s="243">
        <v>-2.2401000000000001E-2</v>
      </c>
      <c r="T115" s="243">
        <v>-1.2041E-2</v>
      </c>
      <c r="U115" s="243">
        <v>-1.8017999999999999E-2</v>
      </c>
      <c r="V115" s="243">
        <v>0</v>
      </c>
      <c r="W115"/>
      <c r="X115"/>
      <c r="Y115"/>
      <c r="Z115"/>
    </row>
    <row r="116" spans="1:26" ht="15">
      <c r="A116" s="279"/>
      <c r="B116" s="131" t="s">
        <v>70</v>
      </c>
      <c r="C116" s="244">
        <v>756.72251200000005</v>
      </c>
      <c r="D116" s="244">
        <v>676.88631099999998</v>
      </c>
      <c r="E116" s="244">
        <v>737.38216799999998</v>
      </c>
      <c r="F116" s="244">
        <v>697.356807</v>
      </c>
      <c r="G116" s="244">
        <v>712.71372299999996</v>
      </c>
      <c r="H116" s="244">
        <v>706.80772300000001</v>
      </c>
      <c r="I116" s="244">
        <v>786.43583100000001</v>
      </c>
      <c r="J116" s="244">
        <v>817.84467199999995</v>
      </c>
      <c r="K116" s="244">
        <v>782.65817500000003</v>
      </c>
      <c r="L116" s="244">
        <v>792.830105</v>
      </c>
      <c r="M116" s="244">
        <v>751.70414900000003</v>
      </c>
      <c r="N116" s="244">
        <v>764.06345899999997</v>
      </c>
      <c r="O116" s="244">
        <v>769.93526399999996</v>
      </c>
      <c r="P116" s="244">
        <v>678.42934300000002</v>
      </c>
      <c r="Q116" s="244">
        <v>748.21041700000001</v>
      </c>
      <c r="R116" s="244">
        <v>704.51899100000003</v>
      </c>
      <c r="S116" s="244">
        <v>715.21853199999998</v>
      </c>
      <c r="T116" s="244">
        <v>720.527197</v>
      </c>
      <c r="U116" s="244">
        <v>808.04693099999997</v>
      </c>
      <c r="V116" s="244">
        <v>468.322225</v>
      </c>
      <c r="W116"/>
      <c r="X116"/>
      <c r="Y116"/>
      <c r="Z116"/>
    </row>
    <row r="117" spans="1:26" ht="15">
      <c r="A117" s="280"/>
      <c r="B117" s="127" t="s">
        <v>202</v>
      </c>
      <c r="C117" s="243">
        <v>0</v>
      </c>
      <c r="D117" s="243">
        <v>0</v>
      </c>
      <c r="E117" s="243">
        <v>0</v>
      </c>
      <c r="F117" s="243">
        <v>0</v>
      </c>
      <c r="G117" s="243">
        <v>0</v>
      </c>
      <c r="H117" s="243">
        <v>0</v>
      </c>
      <c r="I117" s="243">
        <v>0</v>
      </c>
      <c r="J117" s="243">
        <v>0</v>
      </c>
      <c r="K117" s="243">
        <v>0</v>
      </c>
      <c r="L117" s="243">
        <v>0</v>
      </c>
      <c r="M117" s="243">
        <v>0</v>
      </c>
      <c r="N117" s="243">
        <v>0</v>
      </c>
      <c r="O117" s="243">
        <v>0</v>
      </c>
      <c r="P117" s="243">
        <v>0</v>
      </c>
      <c r="Q117" s="243">
        <v>0</v>
      </c>
      <c r="R117" s="243">
        <v>0</v>
      </c>
      <c r="S117" s="243">
        <v>7.1372000000000005E-2</v>
      </c>
      <c r="T117" s="243">
        <v>0.42799399999999999</v>
      </c>
      <c r="U117" s="243">
        <v>0.103421</v>
      </c>
      <c r="V117" s="243">
        <v>5.1999999999999998E-2</v>
      </c>
      <c r="W117"/>
      <c r="X117"/>
      <c r="Y117"/>
      <c r="Z117"/>
    </row>
    <row r="118" spans="1:26" ht="1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spans="1:26" ht="12" customHeight="1">
      <c r="A119"/>
      <c r="B119" s="99" t="s">
        <v>137</v>
      </c>
      <c r="C119" s="201">
        <f t="shared" ref="C119:O119" si="6">+C135+C136</f>
        <v>-5.8598000000000004E-2</v>
      </c>
      <c r="D119" s="201">
        <f t="shared" si="6"/>
        <v>-3.7090000000000001E-3</v>
      </c>
      <c r="E119" s="201">
        <f t="shared" si="6"/>
        <v>-5.7590000000000002E-3</v>
      </c>
      <c r="F119" s="201">
        <f t="shared" si="6"/>
        <v>-5.3100000000000005E-3</v>
      </c>
      <c r="G119" s="201">
        <f t="shared" si="6"/>
        <v>-4.065E-3</v>
      </c>
      <c r="H119" s="201">
        <f t="shared" si="6"/>
        <v>-4.0439999999999999E-3</v>
      </c>
      <c r="I119" s="201">
        <f t="shared" si="6"/>
        <v>-3.8699999999999997E-4</v>
      </c>
      <c r="J119" s="201">
        <f t="shared" si="6"/>
        <v>0</v>
      </c>
      <c r="K119" s="201">
        <f t="shared" si="6"/>
        <v>0</v>
      </c>
      <c r="L119" s="201">
        <f t="shared" si="6"/>
        <v>0</v>
      </c>
      <c r="M119" s="201">
        <f t="shared" si="6"/>
        <v>0</v>
      </c>
      <c r="N119" s="201">
        <f t="shared" si="6"/>
        <v>0</v>
      </c>
      <c r="O119" s="201">
        <f t="shared" si="6"/>
        <v>0</v>
      </c>
      <c r="P119"/>
      <c r="Q119"/>
      <c r="R119"/>
      <c r="S119"/>
    </row>
    <row r="120" spans="1:26">
      <c r="B120" s="99" t="s">
        <v>138</v>
      </c>
      <c r="C120" s="201">
        <f>+C151+C152</f>
        <v>-1.4660000000000001E-3</v>
      </c>
      <c r="D120" s="201">
        <f t="shared" ref="D120:N120" si="7">+D151+D152</f>
        <v>-3.5109999999999998E-3</v>
      </c>
      <c r="E120" s="201">
        <f t="shared" si="7"/>
        <v>-8.7720000000000003E-3</v>
      </c>
      <c r="F120" s="201">
        <f t="shared" si="7"/>
        <v>-1.3401E-2</v>
      </c>
      <c r="G120" s="201">
        <f t="shared" si="7"/>
        <v>-1.1644999999999999E-2</v>
      </c>
      <c r="H120" s="201">
        <f t="shared" si="7"/>
        <v>-1.6785000000000001E-2</v>
      </c>
      <c r="I120" s="201">
        <f t="shared" si="7"/>
        <v>-1.1672E-2</v>
      </c>
      <c r="J120" s="201">
        <f t="shared" si="7"/>
        <v>-2.1426999999999995E-2</v>
      </c>
      <c r="K120" s="201">
        <f t="shared" si="7"/>
        <v>-1.3448999999999999E-2</v>
      </c>
      <c r="L120" s="201">
        <f t="shared" si="7"/>
        <v>-2.2315000000000002E-2</v>
      </c>
      <c r="M120" s="201">
        <f t="shared" si="7"/>
        <v>-1.5308E-2</v>
      </c>
      <c r="N120" s="201">
        <f t="shared" si="7"/>
        <v>-1.204E-2</v>
      </c>
      <c r="O120" s="201">
        <f>+O151+O152</f>
        <v>-1.8017999999999999E-2</v>
      </c>
    </row>
    <row r="121" spans="1:26">
      <c r="B121" s="276" t="s">
        <v>65</v>
      </c>
      <c r="C121" s="108" t="str">
        <f>TEXT(EDATE(D121,-1),"mmmm aaaa")</f>
        <v>julio 2025</v>
      </c>
      <c r="D121" s="108" t="str">
        <f t="shared" ref="D121:M121" si="8">TEXT(EDATE(E121,-1),"mmmm aaaa")</f>
        <v>agosto 2025</v>
      </c>
      <c r="E121" s="108" t="str">
        <f t="shared" si="8"/>
        <v>septiembre 2025</v>
      </c>
      <c r="F121" s="108" t="str">
        <f t="shared" si="8"/>
        <v>octubre 2025</v>
      </c>
      <c r="G121" s="108" t="str">
        <f t="shared" si="8"/>
        <v>noviembre 2025</v>
      </c>
      <c r="H121" s="108" t="str">
        <f t="shared" si="8"/>
        <v>diciembre 2025</v>
      </c>
      <c r="I121" s="108" t="str">
        <f t="shared" si="8"/>
        <v>enero 2026</v>
      </c>
      <c r="J121" s="108" t="str">
        <f t="shared" si="8"/>
        <v>febrero 2026</v>
      </c>
      <c r="K121" s="108" t="str">
        <f t="shared" si="8"/>
        <v>marzo 2026</v>
      </c>
      <c r="L121" s="108" t="str">
        <f t="shared" si="8"/>
        <v>abril 2026</v>
      </c>
      <c r="M121" s="108" t="str">
        <f t="shared" si="8"/>
        <v>mayo 2026</v>
      </c>
      <c r="N121" s="108" t="str">
        <f>TEXT(EDATE(O121,-1),"mmmm aaaa")</f>
        <v>junio 2026</v>
      </c>
      <c r="O121" s="109" t="str">
        <f>A2</f>
        <v>Julio 2026</v>
      </c>
    </row>
    <row r="122" spans="1:26">
      <c r="B122" s="277"/>
      <c r="C122" s="116" t="str">
        <f>TEXT(EDATE($A$2,-12),"mmm")&amp;".-"&amp;TEXT(EDATE($A$2,-12),"aa")</f>
        <v>jul.-25</v>
      </c>
      <c r="D122" s="116" t="str">
        <f>TEXT(EDATE($A$2,-11),"mmm")&amp;".-"&amp;TEXT(EDATE($A$2,-11),"aa")</f>
        <v>ago.-25</v>
      </c>
      <c r="E122" s="116" t="str">
        <f>TEXT(EDATE($A$2,-10),"mmm")&amp;".-"&amp;TEXT(EDATE($A$2,-10),"aa")</f>
        <v>sep.-25</v>
      </c>
      <c r="F122" s="116" t="str">
        <f>TEXT(EDATE($A$2,-9),"mmm")&amp;".-"&amp;TEXT(EDATE($A$2,-9),"aa")</f>
        <v>oct.-25</v>
      </c>
      <c r="G122" s="116" t="str">
        <f>TEXT(EDATE($A$2,-8),"mmm")&amp;".-"&amp;TEXT(EDATE($A$2,-8),"aa")</f>
        <v>nov.-25</v>
      </c>
      <c r="H122" s="116" t="str">
        <f>TEXT(EDATE($A$2,-7),"mmm")&amp;".-"&amp;TEXT(EDATE($A$2,-7),"aa")</f>
        <v>dic.-25</v>
      </c>
      <c r="I122" s="116" t="str">
        <f>TEXT(EDATE($A$2,-6),"mmm")&amp;".-"&amp;TEXT(EDATE($A$2,-6),"aa")</f>
        <v>ene.-26</v>
      </c>
      <c r="J122" s="116" t="str">
        <f>TEXT(EDATE($A$2,-5),"mmm")&amp;".-"&amp;TEXT(EDATE($A$2,-5),"aa")</f>
        <v>feb.-26</v>
      </c>
      <c r="K122" s="116" t="str">
        <f>TEXT(EDATE($A$2,-4),"mmm")&amp;".-"&amp;TEXT(EDATE($A$2,-4),"aa")</f>
        <v>mar.-26</v>
      </c>
      <c r="L122" s="116" t="str">
        <f>TEXT(EDATE($A$2,-3),"mmm")&amp;".-"&amp;TEXT(EDATE($A$2,-3),"aa")</f>
        <v>abr.-26</v>
      </c>
      <c r="M122" s="116" t="str">
        <f>TEXT(EDATE($A$2,-2),"mmm")&amp;".-"&amp;TEXT(EDATE($A$2,-2),"aa")</f>
        <v>may.-26</v>
      </c>
      <c r="N122" s="116" t="str">
        <f>TEXT(EDATE($A$2,-1),"mmm")&amp;".-"&amp;TEXT(EDATE($A$2,-1),"aa")</f>
        <v>jun.-26</v>
      </c>
      <c r="O122" s="136" t="str">
        <f>TEXT($A$2,"mmm")&amp;".-"&amp;TEXT($A$2,"aa")</f>
        <v>jul.-26</v>
      </c>
    </row>
    <row r="123" spans="1:26">
      <c r="A123" s="273" t="s">
        <v>67</v>
      </c>
      <c r="B123" s="117" t="s">
        <v>11</v>
      </c>
      <c r="C123" s="118">
        <f t="shared" ref="C123:O123" si="9">HLOOKUP(C$121,$86:$103,3,FALSE)</f>
        <v>0</v>
      </c>
      <c r="D123" s="118">
        <f t="shared" si="9"/>
        <v>0</v>
      </c>
      <c r="E123" s="118">
        <f t="shared" si="9"/>
        <v>0</v>
      </c>
      <c r="F123" s="118">
        <f t="shared" si="9"/>
        <v>0</v>
      </c>
      <c r="G123" s="118">
        <f t="shared" si="9"/>
        <v>0</v>
      </c>
      <c r="H123" s="118">
        <f t="shared" si="9"/>
        <v>0</v>
      </c>
      <c r="I123" s="118">
        <f t="shared" si="9"/>
        <v>0</v>
      </c>
      <c r="J123" s="118">
        <f t="shared" si="9"/>
        <v>0</v>
      </c>
      <c r="K123" s="118">
        <f t="shared" si="9"/>
        <v>0</v>
      </c>
      <c r="L123" s="118">
        <f t="shared" si="9"/>
        <v>0</v>
      </c>
      <c r="M123" s="118">
        <f t="shared" si="9"/>
        <v>0</v>
      </c>
      <c r="N123" s="118">
        <f t="shared" si="9"/>
        <v>0</v>
      </c>
      <c r="O123" s="119">
        <f t="shared" si="9"/>
        <v>23.056228000000001</v>
      </c>
    </row>
    <row r="124" spans="1:26">
      <c r="A124" s="274"/>
      <c r="B124" s="102" t="s">
        <v>10</v>
      </c>
      <c r="C124" s="104">
        <f t="shared" ref="C124:O124" si="10">HLOOKUP(C$121,$86:$103,4,FALSE)</f>
        <v>62.363782</v>
      </c>
      <c r="D124" s="104">
        <f t="shared" si="10"/>
        <v>66.467855</v>
      </c>
      <c r="E124" s="104">
        <f t="shared" si="10"/>
        <v>45.454340000000002</v>
      </c>
      <c r="F124" s="104">
        <f t="shared" si="10"/>
        <v>22.456917000000001</v>
      </c>
      <c r="G124" s="104">
        <f t="shared" si="10"/>
        <v>17.069234000000002</v>
      </c>
      <c r="H124" s="104">
        <f t="shared" si="10"/>
        <v>11.652042</v>
      </c>
      <c r="I124" s="104">
        <f t="shared" si="10"/>
        <v>14.892018999999999</v>
      </c>
      <c r="J124" s="104">
        <f t="shared" si="10"/>
        <v>6.0359920000000002</v>
      </c>
      <c r="K124" s="104">
        <f t="shared" si="10"/>
        <v>8.5326330000000006</v>
      </c>
      <c r="L124" s="104">
        <f t="shared" si="10"/>
        <v>8.6196000000000002</v>
      </c>
      <c r="M124" s="104">
        <f t="shared" si="10"/>
        <v>22.465201</v>
      </c>
      <c r="N124" s="104">
        <f t="shared" si="10"/>
        <v>36.617978999999998</v>
      </c>
      <c r="O124" s="119">
        <f t="shared" si="10"/>
        <v>58.340907999999999</v>
      </c>
    </row>
    <row r="125" spans="1:26">
      <c r="A125" s="274"/>
      <c r="B125" s="102" t="s">
        <v>9</v>
      </c>
      <c r="C125" s="104">
        <f t="shared" ref="C125:O125" si="11">HLOOKUP(C$121,$86:$103,5,FALSE)</f>
        <v>58.218541000000002</v>
      </c>
      <c r="D125" s="104">
        <f t="shared" si="11"/>
        <v>51.241262999999996</v>
      </c>
      <c r="E125" s="104">
        <f t="shared" si="11"/>
        <v>39.777388999999999</v>
      </c>
      <c r="F125" s="104">
        <f t="shared" si="11"/>
        <v>43.751629999999999</v>
      </c>
      <c r="G125" s="104">
        <f t="shared" si="11"/>
        <v>32.383879</v>
      </c>
      <c r="H125" s="104">
        <f t="shared" si="11"/>
        <v>25.042332999999999</v>
      </c>
      <c r="I125" s="104">
        <f t="shared" si="11"/>
        <v>28.074463000000002</v>
      </c>
      <c r="J125" s="104">
        <f t="shared" si="11"/>
        <v>21.743562000000001</v>
      </c>
      <c r="K125" s="104">
        <f t="shared" si="11"/>
        <v>24.257366999999999</v>
      </c>
      <c r="L125" s="104">
        <f t="shared" si="11"/>
        <v>22.619537000000001</v>
      </c>
      <c r="M125" s="104">
        <f t="shared" si="11"/>
        <v>36.469515000000001</v>
      </c>
      <c r="N125" s="104">
        <f t="shared" si="11"/>
        <v>48.031368999999998</v>
      </c>
      <c r="O125" s="119">
        <f t="shared" si="11"/>
        <v>86.712389999999999</v>
      </c>
    </row>
    <row r="126" spans="1:26" ht="14.25">
      <c r="A126" s="274"/>
      <c r="B126" s="102" t="s">
        <v>116</v>
      </c>
      <c r="C126" s="104">
        <f t="shared" ref="C126:O126" si="12">HLOOKUP(C$121,$86:$103,6,FALSE)</f>
        <v>334.267562</v>
      </c>
      <c r="D126" s="104">
        <f t="shared" si="12"/>
        <v>319.07413400000002</v>
      </c>
      <c r="E126" s="104">
        <f t="shared" si="12"/>
        <v>274.82982800000002</v>
      </c>
      <c r="F126" s="104">
        <f t="shared" si="12"/>
        <v>257.021049</v>
      </c>
      <c r="G126" s="104">
        <f t="shared" si="12"/>
        <v>234.20941099999999</v>
      </c>
      <c r="H126" s="104">
        <f t="shared" si="12"/>
        <v>265.032152</v>
      </c>
      <c r="I126" s="104">
        <f t="shared" si="12"/>
        <v>271.90836200000001</v>
      </c>
      <c r="J126" s="104">
        <f t="shared" si="12"/>
        <v>219.728983</v>
      </c>
      <c r="K126" s="104">
        <f t="shared" si="12"/>
        <v>263.66985</v>
      </c>
      <c r="L126" s="104">
        <f t="shared" si="12"/>
        <v>217.826639</v>
      </c>
      <c r="M126" s="104">
        <f t="shared" si="12"/>
        <v>237.47240300000001</v>
      </c>
      <c r="N126" s="104">
        <f t="shared" si="12"/>
        <v>278.43838</v>
      </c>
      <c r="O126" s="119">
        <f t="shared" si="12"/>
        <v>357.22067700000002</v>
      </c>
    </row>
    <row r="127" spans="1:26">
      <c r="A127" s="274"/>
      <c r="B127" s="102" t="s">
        <v>24</v>
      </c>
      <c r="C127" s="104">
        <f t="shared" ref="C127:O127" si="13">HLOOKUP(C$121,$86:$103,7,FALSE)</f>
        <v>0</v>
      </c>
      <c r="D127" s="104">
        <f t="shared" si="13"/>
        <v>0</v>
      </c>
      <c r="E127" s="104">
        <f t="shared" si="13"/>
        <v>0</v>
      </c>
      <c r="F127" s="104">
        <f t="shared" si="13"/>
        <v>0</v>
      </c>
      <c r="G127" s="104">
        <f t="shared" si="13"/>
        <v>0</v>
      </c>
      <c r="H127" s="104">
        <f t="shared" si="13"/>
        <v>0</v>
      </c>
      <c r="I127" s="104">
        <f t="shared" si="13"/>
        <v>0</v>
      </c>
      <c r="J127" s="104">
        <f t="shared" si="13"/>
        <v>0</v>
      </c>
      <c r="K127" s="104">
        <f t="shared" si="13"/>
        <v>0</v>
      </c>
      <c r="L127" s="104">
        <f t="shared" si="13"/>
        <v>0</v>
      </c>
      <c r="M127" s="104">
        <f t="shared" si="13"/>
        <v>0</v>
      </c>
      <c r="N127" s="104">
        <f t="shared" si="13"/>
        <v>0</v>
      </c>
      <c r="O127" s="119">
        <f t="shared" si="13"/>
        <v>0</v>
      </c>
    </row>
    <row r="128" spans="1:26">
      <c r="A128" s="274"/>
      <c r="B128" s="102" t="s">
        <v>5</v>
      </c>
      <c r="C128" s="104">
        <f t="shared" ref="C128:O128" si="14">HLOOKUP(C$121,$86:$104,8,FALSE)</f>
        <v>0</v>
      </c>
      <c r="D128" s="104">
        <f t="shared" si="14"/>
        <v>0</v>
      </c>
      <c r="E128" s="104">
        <f t="shared" si="14"/>
        <v>0</v>
      </c>
      <c r="F128" s="104">
        <f t="shared" si="14"/>
        <v>0</v>
      </c>
      <c r="G128" s="104">
        <f t="shared" si="14"/>
        <v>0</v>
      </c>
      <c r="H128" s="104">
        <f t="shared" si="14"/>
        <v>0</v>
      </c>
      <c r="I128" s="104">
        <f t="shared" si="14"/>
        <v>0</v>
      </c>
      <c r="J128" s="104">
        <f t="shared" si="14"/>
        <v>0</v>
      </c>
      <c r="K128" s="104">
        <f t="shared" si="14"/>
        <v>0</v>
      </c>
      <c r="L128" s="104">
        <f t="shared" si="14"/>
        <v>0</v>
      </c>
      <c r="M128" s="104">
        <f t="shared" si="14"/>
        <v>0</v>
      </c>
      <c r="N128" s="104">
        <f t="shared" si="14"/>
        <v>0</v>
      </c>
      <c r="O128" s="119">
        <f t="shared" si="14"/>
        <v>0</v>
      </c>
    </row>
    <row r="129" spans="1:15">
      <c r="A129" s="274"/>
      <c r="B129" s="102" t="s">
        <v>4</v>
      </c>
      <c r="C129" s="104">
        <f t="shared" ref="C129:O129" si="15">HLOOKUP(C$121,$86:$104,9,FALSE)</f>
        <v>58.301254</v>
      </c>
      <c r="D129" s="104">
        <f t="shared" si="15"/>
        <v>58.388308000000002</v>
      </c>
      <c r="E129" s="104">
        <f t="shared" si="15"/>
        <v>48.070135000000001</v>
      </c>
      <c r="F129" s="104">
        <f t="shared" si="15"/>
        <v>38.159438000000002</v>
      </c>
      <c r="G129" s="104">
        <f t="shared" si="15"/>
        <v>28.287680999999999</v>
      </c>
      <c r="H129" s="104">
        <f t="shared" si="15"/>
        <v>21.457460999999999</v>
      </c>
      <c r="I129" s="104">
        <f t="shared" si="15"/>
        <v>26.531222</v>
      </c>
      <c r="J129" s="104">
        <f t="shared" si="15"/>
        <v>38.510109999999997</v>
      </c>
      <c r="K129" s="104">
        <f t="shared" si="15"/>
        <v>42.581280999999997</v>
      </c>
      <c r="L129" s="104">
        <f t="shared" si="15"/>
        <v>59.468370999999998</v>
      </c>
      <c r="M129" s="104">
        <f t="shared" si="15"/>
        <v>57.807105</v>
      </c>
      <c r="N129" s="104">
        <f t="shared" si="15"/>
        <v>70.263322000000002</v>
      </c>
      <c r="O129" s="119">
        <f t="shared" si="15"/>
        <v>70.657354999999995</v>
      </c>
    </row>
    <row r="130" spans="1:15">
      <c r="A130" s="274"/>
      <c r="B130" s="110" t="s">
        <v>22</v>
      </c>
      <c r="C130" s="104">
        <f t="shared" ref="C130:O130" si="16">HLOOKUP(C$121,$86:$104,10,FALSE)</f>
        <v>0.13533500000000001</v>
      </c>
      <c r="D130" s="104">
        <f t="shared" si="16"/>
        <v>6.2700000000000006E-2</v>
      </c>
      <c r="E130" s="104">
        <f t="shared" si="16"/>
        <v>0.16319</v>
      </c>
      <c r="F130" s="104">
        <f t="shared" si="16"/>
        <v>0.72397699999999998</v>
      </c>
      <c r="G130" s="104">
        <f t="shared" si="16"/>
        <v>1.328557</v>
      </c>
      <c r="H130" s="104">
        <f t="shared" si="16"/>
        <v>0.812226</v>
      </c>
      <c r="I130" s="104">
        <f t="shared" si="16"/>
        <v>0.97993699999999995</v>
      </c>
      <c r="J130" s="104">
        <f t="shared" si="16"/>
        <v>0.94255900000000004</v>
      </c>
      <c r="K130" s="104">
        <f t="shared" si="16"/>
        <v>1.3661909999999999</v>
      </c>
      <c r="L130" s="104">
        <f t="shared" si="16"/>
        <v>1.581583</v>
      </c>
      <c r="M130" s="104">
        <f t="shared" si="16"/>
        <v>1.776745</v>
      </c>
      <c r="N130" s="104">
        <f t="shared" si="16"/>
        <v>1.9475359999999999</v>
      </c>
      <c r="O130" s="119">
        <f t="shared" si="16"/>
        <v>1.868196</v>
      </c>
    </row>
    <row r="131" spans="1:15">
      <c r="A131" s="274"/>
      <c r="B131" s="110" t="s">
        <v>23</v>
      </c>
      <c r="C131" s="104">
        <f t="shared" ref="C131:O131" si="17">HLOOKUP(C$121,$86:$104,11,FALSE)</f>
        <v>3.573118</v>
      </c>
      <c r="D131" s="104">
        <f t="shared" si="17"/>
        <v>3.1659009999999999</v>
      </c>
      <c r="E131" s="104">
        <f t="shared" si="17"/>
        <v>2.336195</v>
      </c>
      <c r="F131" s="104">
        <f t="shared" si="17"/>
        <v>3.0284080000000002</v>
      </c>
      <c r="G131" s="104">
        <f t="shared" si="17"/>
        <v>2.5220250000000002</v>
      </c>
      <c r="H131" s="104">
        <f t="shared" si="17"/>
        <v>3.7919230000000002</v>
      </c>
      <c r="I131" s="104">
        <f t="shared" si="17"/>
        <v>3.4251860000000001</v>
      </c>
      <c r="J131" s="104">
        <f t="shared" si="17"/>
        <v>1.3775310000000001</v>
      </c>
      <c r="K131" s="104">
        <f t="shared" si="17"/>
        <v>0.98716599999999999</v>
      </c>
      <c r="L131" s="104">
        <f t="shared" si="17"/>
        <v>2.6262699999999999</v>
      </c>
      <c r="M131" s="104">
        <f t="shared" si="17"/>
        <v>2.7262230000000001</v>
      </c>
      <c r="N131" s="104">
        <f t="shared" si="17"/>
        <v>3.0921349999999999</v>
      </c>
      <c r="O131" s="119">
        <f t="shared" si="17"/>
        <v>3.0813540000000001</v>
      </c>
    </row>
    <row r="132" spans="1:15">
      <c r="A132" s="274"/>
      <c r="B132" s="102" t="s">
        <v>47</v>
      </c>
      <c r="C132" s="104">
        <f t="shared" ref="C132:O132" si="18">HLOOKUP(C$121,$86:$104,13,FALSE)</f>
        <v>13.9802175</v>
      </c>
      <c r="D132" s="104">
        <f t="shared" si="18"/>
        <v>11.851319</v>
      </c>
      <c r="E132" s="104">
        <f t="shared" si="18"/>
        <v>13.92998</v>
      </c>
      <c r="F132" s="104">
        <f t="shared" si="18"/>
        <v>8.0829000000000004</v>
      </c>
      <c r="G132" s="104">
        <f t="shared" si="18"/>
        <v>12.386824499999999</v>
      </c>
      <c r="H132" s="104">
        <f t="shared" si="18"/>
        <v>9.5741110000000003</v>
      </c>
      <c r="I132" s="104">
        <f t="shared" si="18"/>
        <v>8.3717509999999997</v>
      </c>
      <c r="J132" s="104">
        <f t="shared" si="18"/>
        <v>4.8198524999999997</v>
      </c>
      <c r="K132" s="104">
        <f t="shared" si="18"/>
        <v>9.7177954999999994</v>
      </c>
      <c r="L132" s="104">
        <f t="shared" si="18"/>
        <v>15.144128</v>
      </c>
      <c r="M132" s="104">
        <f t="shared" si="18"/>
        <v>11.267936000000001</v>
      </c>
      <c r="N132" s="104">
        <f t="shared" si="18"/>
        <v>13.462051000000001</v>
      </c>
      <c r="O132" s="119">
        <f t="shared" si="18"/>
        <v>11.7376795</v>
      </c>
    </row>
    <row r="133" spans="1:15">
      <c r="A133" s="274"/>
      <c r="B133" s="102" t="s">
        <v>46</v>
      </c>
      <c r="C133" s="104">
        <f t="shared" ref="C133:O133" si="19">HLOOKUP(C$121,$86:$104,12,FALSE)</f>
        <v>13.9802175</v>
      </c>
      <c r="D133" s="104">
        <f t="shared" si="19"/>
        <v>11.851319</v>
      </c>
      <c r="E133" s="104">
        <f t="shared" si="19"/>
        <v>13.92998</v>
      </c>
      <c r="F133" s="104">
        <f t="shared" si="19"/>
        <v>8.0829000000000004</v>
      </c>
      <c r="G133" s="104">
        <f t="shared" si="19"/>
        <v>12.386824499999999</v>
      </c>
      <c r="H133" s="104">
        <f t="shared" si="19"/>
        <v>9.5741110000000003</v>
      </c>
      <c r="I133" s="104">
        <f t="shared" si="19"/>
        <v>8.3717509999999997</v>
      </c>
      <c r="J133" s="104">
        <f t="shared" si="19"/>
        <v>4.8198524999999997</v>
      </c>
      <c r="K133" s="104">
        <f t="shared" si="19"/>
        <v>9.7177954999999994</v>
      </c>
      <c r="L133" s="104">
        <f t="shared" si="19"/>
        <v>15.144128</v>
      </c>
      <c r="M133" s="104">
        <f t="shared" si="19"/>
        <v>11.267936000000001</v>
      </c>
      <c r="N133" s="104">
        <f t="shared" si="19"/>
        <v>13.462051000000001</v>
      </c>
      <c r="O133" s="119">
        <f t="shared" si="19"/>
        <v>11.7376795</v>
      </c>
    </row>
    <row r="134" spans="1:15">
      <c r="A134" s="274"/>
      <c r="B134" s="111" t="s">
        <v>2</v>
      </c>
      <c r="C134" s="159">
        <f>HLOOKUP(C$121,$86:$104,14,FALSE)</f>
        <v>544.82002699999998</v>
      </c>
      <c r="D134" s="159">
        <f t="shared" ref="D134:O134" si="20">HLOOKUP(D$121,$86:$104,14,FALSE)</f>
        <v>522.102799</v>
      </c>
      <c r="E134" s="159">
        <f t="shared" si="20"/>
        <v>438.49103700000001</v>
      </c>
      <c r="F134" s="159">
        <f t="shared" si="20"/>
        <v>381.30721899999998</v>
      </c>
      <c r="G134" s="159">
        <f t="shared" si="20"/>
        <v>340.57443599999999</v>
      </c>
      <c r="H134" s="159">
        <f t="shared" si="20"/>
        <v>346.93635899999998</v>
      </c>
      <c r="I134" s="159">
        <f t="shared" si="20"/>
        <v>362.55469099999999</v>
      </c>
      <c r="J134" s="159">
        <f t="shared" si="20"/>
        <v>297.97844199999997</v>
      </c>
      <c r="K134" s="159">
        <f t="shared" si="20"/>
        <v>360.83007900000001</v>
      </c>
      <c r="L134" s="159">
        <f t="shared" si="20"/>
        <v>343.03025600000001</v>
      </c>
      <c r="M134" s="159">
        <f t="shared" si="20"/>
        <v>381.25306399999999</v>
      </c>
      <c r="N134" s="159">
        <f t="shared" si="20"/>
        <v>465.31482299999999</v>
      </c>
      <c r="O134" s="160">
        <f t="shared" si="20"/>
        <v>624.41246699999999</v>
      </c>
    </row>
    <row r="135" spans="1:15">
      <c r="A135" s="274"/>
      <c r="B135" s="102" t="s">
        <v>95</v>
      </c>
      <c r="C135" s="104">
        <f>HLOOKUP(C$121,$86:$104,15,FALSE)</f>
        <v>2.5804000000000001E-2</v>
      </c>
      <c r="D135" s="104">
        <f t="shared" ref="D135:O135" si="21">HLOOKUP(D$121,$86:$104,15,FALSE)</f>
        <v>0</v>
      </c>
      <c r="E135" s="104">
        <f t="shared" si="21"/>
        <v>2.65E-3</v>
      </c>
      <c r="F135" s="104">
        <f t="shared" si="21"/>
        <v>1.1019999999999999E-3</v>
      </c>
      <c r="G135" s="104">
        <f t="shared" si="21"/>
        <v>1.536E-3</v>
      </c>
      <c r="H135" s="104">
        <f t="shared" si="21"/>
        <v>0</v>
      </c>
      <c r="I135" s="104">
        <f t="shared" si="21"/>
        <v>0</v>
      </c>
      <c r="J135" s="104">
        <f t="shared" si="21"/>
        <v>0</v>
      </c>
      <c r="K135" s="104">
        <f t="shared" si="21"/>
        <v>0</v>
      </c>
      <c r="L135" s="104">
        <f t="shared" si="21"/>
        <v>0</v>
      </c>
      <c r="M135" s="104">
        <f t="shared" si="21"/>
        <v>0</v>
      </c>
      <c r="N135" s="104">
        <f t="shared" si="21"/>
        <v>0</v>
      </c>
      <c r="O135" s="162">
        <f t="shared" si="21"/>
        <v>0</v>
      </c>
    </row>
    <row r="136" spans="1:15">
      <c r="A136" s="274"/>
      <c r="B136" s="102" t="s">
        <v>96</v>
      </c>
      <c r="C136" s="104">
        <f>HLOOKUP(C$121,$86:$104,16,FALSE)</f>
        <v>-8.4402000000000005E-2</v>
      </c>
      <c r="D136" s="104">
        <f t="shared" ref="D136:O136" si="22">HLOOKUP(D$121,$86:$104,16,FALSE)</f>
        <v>-3.7090000000000001E-3</v>
      </c>
      <c r="E136" s="104">
        <f t="shared" si="22"/>
        <v>-8.4089999999999998E-3</v>
      </c>
      <c r="F136" s="104">
        <f t="shared" si="22"/>
        <v>-6.4120000000000002E-3</v>
      </c>
      <c r="G136" s="104">
        <f t="shared" si="22"/>
        <v>-5.6010000000000001E-3</v>
      </c>
      <c r="H136" s="104">
        <f t="shared" si="22"/>
        <v>-4.0439999999999999E-3</v>
      </c>
      <c r="I136" s="104">
        <f t="shared" si="22"/>
        <v>-3.8699999999999997E-4</v>
      </c>
      <c r="J136" s="104">
        <f t="shared" si="22"/>
        <v>0</v>
      </c>
      <c r="K136" s="104">
        <f t="shared" si="22"/>
        <v>0</v>
      </c>
      <c r="L136" s="104">
        <f t="shared" si="22"/>
        <v>0</v>
      </c>
      <c r="M136" s="104">
        <f t="shared" si="22"/>
        <v>0</v>
      </c>
      <c r="N136" s="104">
        <f t="shared" si="22"/>
        <v>0</v>
      </c>
      <c r="O136" s="163">
        <f t="shared" si="22"/>
        <v>0</v>
      </c>
    </row>
    <row r="137" spans="1:15">
      <c r="A137" s="274"/>
      <c r="B137" s="102" t="s">
        <v>21</v>
      </c>
      <c r="C137" s="161">
        <f>HLOOKUP(C$121,$86:$104,17,FALSE)</f>
        <v>188.42781500000001</v>
      </c>
      <c r="D137" s="161">
        <f t="shared" ref="D137:O137" si="23">HLOOKUP(D$121,$86:$104,17,FALSE)</f>
        <v>208.61120199999999</v>
      </c>
      <c r="E137" s="161">
        <f t="shared" si="23"/>
        <v>166.21217300000001</v>
      </c>
      <c r="F137" s="161">
        <f t="shared" si="23"/>
        <v>119.248762</v>
      </c>
      <c r="G137" s="161">
        <f t="shared" si="23"/>
        <v>76.900411000000005</v>
      </c>
      <c r="H137" s="161">
        <f t="shared" si="23"/>
        <v>120.18883599999999</v>
      </c>
      <c r="I137" s="161">
        <f t="shared" si="23"/>
        <v>138.53626600000001</v>
      </c>
      <c r="J137" s="161">
        <f t="shared" si="23"/>
        <v>102.627172</v>
      </c>
      <c r="K137" s="161">
        <f t="shared" si="23"/>
        <v>104.897592</v>
      </c>
      <c r="L137" s="161">
        <f t="shared" si="23"/>
        <v>97.533116000000007</v>
      </c>
      <c r="M137" s="161">
        <f t="shared" si="23"/>
        <v>113.97348</v>
      </c>
      <c r="N137" s="161">
        <f t="shared" si="23"/>
        <v>154.19043300000001</v>
      </c>
      <c r="O137" s="164">
        <f t="shared" si="23"/>
        <v>211.24666199999999</v>
      </c>
    </row>
    <row r="138" spans="1:15">
      <c r="A138" s="274"/>
      <c r="B138" s="112" t="s">
        <v>1</v>
      </c>
      <c r="C138" s="113">
        <f>HLOOKUP(C$121,$86:$104,18,FALSE)</f>
        <v>733.18924400000003</v>
      </c>
      <c r="D138" s="113">
        <f t="shared" ref="D138:O138" si="24">HLOOKUP(D$121,$86:$104,18,FALSE)</f>
        <v>730.71029199999998</v>
      </c>
      <c r="E138" s="113">
        <f t="shared" si="24"/>
        <v>604.697451</v>
      </c>
      <c r="F138" s="113">
        <f t="shared" si="24"/>
        <v>500.55067100000002</v>
      </c>
      <c r="G138" s="113">
        <f t="shared" si="24"/>
        <v>417.47078199999999</v>
      </c>
      <c r="H138" s="113">
        <f t="shared" si="24"/>
        <v>467.121151</v>
      </c>
      <c r="I138" s="113">
        <f t="shared" si="24"/>
        <v>501.09057000000001</v>
      </c>
      <c r="J138" s="113">
        <f t="shared" si="24"/>
        <v>400.605614</v>
      </c>
      <c r="K138" s="113">
        <f t="shared" si="24"/>
        <v>465.72767099999999</v>
      </c>
      <c r="L138" s="113">
        <f t="shared" si="24"/>
        <v>440.56337200000002</v>
      </c>
      <c r="M138" s="113">
        <f t="shared" si="24"/>
        <v>495.22654399999999</v>
      </c>
      <c r="N138" s="113">
        <f t="shared" si="24"/>
        <v>619.50525600000003</v>
      </c>
      <c r="O138" s="165">
        <f t="shared" si="24"/>
        <v>835.65912900000001</v>
      </c>
    </row>
    <row r="139" spans="1:15" ht="14.25">
      <c r="A139" s="275"/>
      <c r="B139" s="120" t="s">
        <v>66</v>
      </c>
      <c r="C139" s="121">
        <f>C124+C125+C127</f>
        <v>120.582323</v>
      </c>
      <c r="D139" s="121">
        <f>D124+D125+D127</f>
        <v>117.70911799999999</v>
      </c>
      <c r="E139" s="121">
        <f t="shared" ref="E139:O139" si="25">E124+E125+E127</f>
        <v>85.231729000000001</v>
      </c>
      <c r="F139" s="121">
        <f t="shared" si="25"/>
        <v>66.208546999999996</v>
      </c>
      <c r="G139" s="121">
        <f t="shared" si="25"/>
        <v>49.453113000000002</v>
      </c>
      <c r="H139" s="121">
        <f t="shared" si="25"/>
        <v>36.694375000000001</v>
      </c>
      <c r="I139" s="121">
        <f t="shared" si="25"/>
        <v>42.966481999999999</v>
      </c>
      <c r="J139" s="121">
        <f t="shared" si="25"/>
        <v>27.779554000000001</v>
      </c>
      <c r="K139" s="121">
        <f t="shared" si="25"/>
        <v>32.79</v>
      </c>
      <c r="L139" s="121">
        <f t="shared" si="25"/>
        <v>31.239136999999999</v>
      </c>
      <c r="M139" s="121">
        <f t="shared" si="25"/>
        <v>58.934716000000002</v>
      </c>
      <c r="N139" s="121">
        <f t="shared" si="25"/>
        <v>84.649348000000003</v>
      </c>
      <c r="O139" s="121">
        <f t="shared" si="25"/>
        <v>145.05329799999998</v>
      </c>
    </row>
    <row r="140" spans="1:15" ht="14.1" customHeight="1">
      <c r="A140" s="270" t="s">
        <v>68</v>
      </c>
      <c r="B140" s="122" t="s">
        <v>65</v>
      </c>
      <c r="C140" s="108" t="str">
        <f>TEXT(EDATE($A$2,-12),"mmm")&amp;".-"&amp;TEXT(EDATE($A$2,-12),"aa")</f>
        <v>jul.-25</v>
      </c>
      <c r="D140" s="108" t="str">
        <f>TEXT(EDATE($A$2,-11),"mmm")&amp;".-"&amp;TEXT(EDATE($A$2,-11),"aa")</f>
        <v>ago.-25</v>
      </c>
      <c r="E140" s="108" t="str">
        <f>TEXT(EDATE($A$2,-10),"mmm")&amp;".-"&amp;TEXT(EDATE($A$2,-10),"aa")</f>
        <v>sep.-25</v>
      </c>
      <c r="F140" s="108" t="str">
        <f>TEXT(EDATE($A$2,-9),"mmm")&amp;".-"&amp;TEXT(EDATE($A$2,-9),"aa")</f>
        <v>oct.-25</v>
      </c>
      <c r="G140" s="108" t="str">
        <f>TEXT(EDATE($A$2,-8),"mmm")&amp;".-"&amp;TEXT(EDATE($A$2,-8),"aa")</f>
        <v>nov.-25</v>
      </c>
      <c r="H140" s="108" t="str">
        <f>TEXT(EDATE($A$2,-7),"mmm")&amp;".-"&amp;TEXT(EDATE($A$2,-7),"aa")</f>
        <v>dic.-25</v>
      </c>
      <c r="I140" s="108" t="str">
        <f>TEXT(EDATE($A$2,-6),"mmm")&amp;".-"&amp;TEXT(EDATE($A$2,-6),"aa")</f>
        <v>ene.-26</v>
      </c>
      <c r="J140" s="108" t="str">
        <f>TEXT(EDATE($A$2,-5),"mmm")&amp;".-"&amp;TEXT(EDATE($A$2,-5),"aa")</f>
        <v>feb.-26</v>
      </c>
      <c r="K140" s="108" t="str">
        <f>TEXT(EDATE($A$2,-4),"mmm")&amp;".-"&amp;TEXT(EDATE($A$2,-4),"aa")</f>
        <v>mar.-26</v>
      </c>
      <c r="L140" s="108" t="str">
        <f>TEXT(EDATE($A$2,-3),"mmm")&amp;".-"&amp;TEXT(EDATE($A$2,-3),"aa")</f>
        <v>abr.-26</v>
      </c>
      <c r="M140" s="108" t="str">
        <f>TEXT(EDATE($A$2,-2),"mmm")&amp;".-"&amp;TEXT(EDATE($A$2,-2),"aa")</f>
        <v>may.-26</v>
      </c>
      <c r="N140" s="108" t="str">
        <f>TEXT(EDATE($A$2,-1),"mmm")&amp;".-"&amp;TEXT(EDATE($A$2,-1),"aa")</f>
        <v>jun.-26</v>
      </c>
      <c r="O140" s="109" t="str">
        <f>TEXT($A$2,"mmm")&amp;".-"&amp;TEXT($A$2,"aa")</f>
        <v>jul.-26</v>
      </c>
    </row>
    <row r="141" spans="1:15" ht="15" customHeight="1">
      <c r="A141" s="271"/>
      <c r="B141" s="102" t="s">
        <v>12</v>
      </c>
      <c r="C141" s="104">
        <f>HLOOKUP(C$121,$86:$119,19,FALSE)</f>
        <v>0</v>
      </c>
      <c r="D141" s="104">
        <f t="shared" ref="D141:O141" si="26">HLOOKUP(D$121,$86:$119,19,FALSE)</f>
        <v>0</v>
      </c>
      <c r="E141" s="104">
        <f t="shared" si="26"/>
        <v>0</v>
      </c>
      <c r="F141" s="104">
        <f t="shared" si="26"/>
        <v>0</v>
      </c>
      <c r="G141" s="104">
        <f t="shared" si="26"/>
        <v>0</v>
      </c>
      <c r="H141" s="104">
        <f t="shared" si="26"/>
        <v>0</v>
      </c>
      <c r="I141" s="104">
        <f t="shared" si="26"/>
        <v>0</v>
      </c>
      <c r="J141" s="104">
        <f t="shared" si="26"/>
        <v>0</v>
      </c>
      <c r="K141" s="104">
        <f t="shared" si="26"/>
        <v>0</v>
      </c>
      <c r="L141" s="104">
        <f t="shared" si="26"/>
        <v>0</v>
      </c>
      <c r="M141" s="104">
        <f t="shared" si="26"/>
        <v>0</v>
      </c>
      <c r="N141" s="104">
        <f t="shared" si="26"/>
        <v>7.3203000000000004E-2</v>
      </c>
      <c r="O141" s="137">
        <f t="shared" si="26"/>
        <v>0.22017700000000001</v>
      </c>
    </row>
    <row r="142" spans="1:15" ht="14.1" customHeight="1">
      <c r="A142" s="271"/>
      <c r="B142" s="102" t="s">
        <v>10</v>
      </c>
      <c r="C142" s="104">
        <f>HLOOKUP(C$121,$86:$119,20,FALSE)</f>
        <v>138.95366799999999</v>
      </c>
      <c r="D142" s="104">
        <f t="shared" ref="D142:O142" si="27">HLOOKUP(D$121,$86:$119,20,FALSE)</f>
        <v>156.429901</v>
      </c>
      <c r="E142" s="104">
        <f t="shared" si="27"/>
        <v>146.533942</v>
      </c>
      <c r="F142" s="104">
        <f t="shared" si="27"/>
        <v>159.05462600000001</v>
      </c>
      <c r="G142" s="104">
        <f t="shared" si="27"/>
        <v>144.58958999999999</v>
      </c>
      <c r="H142" s="104">
        <f t="shared" si="27"/>
        <v>158.02685199999999</v>
      </c>
      <c r="I142" s="104">
        <f t="shared" si="27"/>
        <v>158.381069</v>
      </c>
      <c r="J142" s="104">
        <f t="shared" si="27"/>
        <v>143.06514300000001</v>
      </c>
      <c r="K142" s="104">
        <f t="shared" si="27"/>
        <v>149.59031300000001</v>
      </c>
      <c r="L142" s="104">
        <f t="shared" si="27"/>
        <v>153.416853</v>
      </c>
      <c r="M142" s="104">
        <f t="shared" si="27"/>
        <v>140.31111100000001</v>
      </c>
      <c r="N142" s="104">
        <f t="shared" si="27"/>
        <v>133.397616</v>
      </c>
      <c r="O142" s="119">
        <f t="shared" si="27"/>
        <v>153.75110799999999</v>
      </c>
    </row>
    <row r="143" spans="1:15" ht="14.1" customHeight="1">
      <c r="A143" s="271"/>
      <c r="B143" s="102" t="s">
        <v>9</v>
      </c>
      <c r="C143" s="104">
        <f>HLOOKUP(C$121,$86:$119,21,FALSE)</f>
        <v>17.277450000000002</v>
      </c>
      <c r="D143" s="104">
        <f t="shared" ref="D143:O143" si="28">HLOOKUP(D$121,$86:$119,21,FALSE)</f>
        <v>21.905804</v>
      </c>
      <c r="E143" s="104">
        <f t="shared" si="28"/>
        <v>21.204673</v>
      </c>
      <c r="F143" s="104">
        <f t="shared" si="28"/>
        <v>28.975633999999999</v>
      </c>
      <c r="G143" s="104">
        <f t="shared" si="28"/>
        <v>21.440819999999999</v>
      </c>
      <c r="H143" s="104">
        <f t="shared" si="28"/>
        <v>25.811325</v>
      </c>
      <c r="I143" s="104">
        <f t="shared" si="28"/>
        <v>28.873301000000001</v>
      </c>
      <c r="J143" s="104">
        <f t="shared" si="28"/>
        <v>25.555015999999998</v>
      </c>
      <c r="K143" s="104">
        <f t="shared" si="28"/>
        <v>29.612995000000002</v>
      </c>
      <c r="L143" s="104">
        <f t="shared" si="28"/>
        <v>34.690565999999997</v>
      </c>
      <c r="M143" s="104">
        <f t="shared" si="28"/>
        <v>21.324908000000001</v>
      </c>
      <c r="N143" s="104">
        <f t="shared" si="28"/>
        <v>18.374575</v>
      </c>
      <c r="O143" s="119">
        <f t="shared" si="28"/>
        <v>24.368157</v>
      </c>
    </row>
    <row r="144" spans="1:15" ht="14.1" customHeight="1">
      <c r="A144" s="271"/>
      <c r="B144" s="102" t="s">
        <v>8</v>
      </c>
      <c r="C144" s="104">
        <f>HLOOKUP(C$121,$86:$119,22,FALSE)</f>
        <v>97.398498000000004</v>
      </c>
      <c r="D144" s="104">
        <f t="shared" ref="D144:O144" si="29">HLOOKUP(D$121,$86:$119,22,FALSE)</f>
        <v>100.21077</v>
      </c>
      <c r="E144" s="104">
        <f t="shared" si="29"/>
        <v>99.346721000000002</v>
      </c>
      <c r="F144" s="104">
        <f t="shared" si="29"/>
        <v>125.06728200000001</v>
      </c>
      <c r="G144" s="104">
        <f t="shared" si="29"/>
        <v>112.30573</v>
      </c>
      <c r="H144" s="104">
        <f t="shared" si="29"/>
        <v>119.831412</v>
      </c>
      <c r="I144" s="104">
        <f t="shared" si="29"/>
        <v>117.60937199999999</v>
      </c>
      <c r="J144" s="104">
        <f t="shared" si="29"/>
        <v>92.890253999999999</v>
      </c>
      <c r="K144" s="104">
        <f t="shared" si="29"/>
        <v>82.571079999999995</v>
      </c>
      <c r="L144" s="104">
        <f t="shared" si="29"/>
        <v>106.513632</v>
      </c>
      <c r="M144" s="104">
        <f t="shared" si="29"/>
        <v>111.85987799999999</v>
      </c>
      <c r="N144" s="104">
        <f t="shared" si="29"/>
        <v>90.531129000000007</v>
      </c>
      <c r="O144" s="119">
        <f t="shared" si="29"/>
        <v>116.281488</v>
      </c>
    </row>
    <row r="145" spans="1:26" ht="14.45" customHeight="1">
      <c r="A145" s="271"/>
      <c r="B145" s="102" t="s">
        <v>116</v>
      </c>
      <c r="C145" s="104">
        <f>HLOOKUP(C$121,$86:$119,23,FALSE)</f>
        <v>316.70403900000002</v>
      </c>
      <c r="D145" s="104">
        <f t="shared" ref="D145:O145" si="30">HLOOKUP(D$121,$86:$119,23,FALSE)</f>
        <v>340.02993600000002</v>
      </c>
      <c r="E145" s="104">
        <f t="shared" si="30"/>
        <v>307.60187999999999</v>
      </c>
      <c r="F145" s="104">
        <f t="shared" si="30"/>
        <v>357.47449</v>
      </c>
      <c r="G145" s="104">
        <f t="shared" si="30"/>
        <v>343.63677799999999</v>
      </c>
      <c r="H145" s="104">
        <f t="shared" si="30"/>
        <v>344.06825099999998</v>
      </c>
      <c r="I145" s="104">
        <f t="shared" si="30"/>
        <v>331.93350299999997</v>
      </c>
      <c r="J145" s="104">
        <f t="shared" si="30"/>
        <v>287.05643500000002</v>
      </c>
      <c r="K145" s="104">
        <f t="shared" si="30"/>
        <v>282.06847599999998</v>
      </c>
      <c r="L145" s="104">
        <f t="shared" si="30"/>
        <v>284.69147199999998</v>
      </c>
      <c r="M145" s="104">
        <f t="shared" si="30"/>
        <v>302.07158099999998</v>
      </c>
      <c r="N145" s="104">
        <f t="shared" si="30"/>
        <v>285.73719699999998</v>
      </c>
      <c r="O145" s="119">
        <f t="shared" si="30"/>
        <v>307.51257299999997</v>
      </c>
    </row>
    <row r="146" spans="1:26" ht="14.1" customHeight="1">
      <c r="A146" s="271"/>
      <c r="B146" s="102" t="s">
        <v>6</v>
      </c>
      <c r="C146" s="104">
        <f>HLOOKUP(C$121,$86:$119,24,FALSE)</f>
        <v>3.2914970000000001</v>
      </c>
      <c r="D146" s="104">
        <f t="shared" ref="D146:O146" si="31">HLOOKUP(D$121,$86:$119,24,FALSE)</f>
        <v>2.7481429999999998</v>
      </c>
      <c r="E146" s="104">
        <f t="shared" si="31"/>
        <v>2.5908169999999999</v>
      </c>
      <c r="F146" s="104">
        <f t="shared" si="31"/>
        <v>1.167157</v>
      </c>
      <c r="G146" s="104">
        <f t="shared" si="31"/>
        <v>0.94978899999999999</v>
      </c>
      <c r="H146" s="104">
        <f t="shared" si="31"/>
        <v>1.389267</v>
      </c>
      <c r="I146" s="104">
        <f t="shared" si="31"/>
        <v>1.2355400000000001</v>
      </c>
      <c r="J146" s="104">
        <f t="shared" si="31"/>
        <v>1.2530779999999999</v>
      </c>
      <c r="K146" s="104">
        <f t="shared" si="31"/>
        <v>2.036778</v>
      </c>
      <c r="L146" s="104">
        <f t="shared" si="31"/>
        <v>1.462315</v>
      </c>
      <c r="M146" s="104">
        <f t="shared" si="31"/>
        <v>1.65883</v>
      </c>
      <c r="N146" s="104">
        <f t="shared" si="31"/>
        <v>2.7551960000000002</v>
      </c>
      <c r="O146" s="119">
        <f t="shared" si="31"/>
        <v>2.5266869999999999</v>
      </c>
    </row>
    <row r="147" spans="1:26" ht="14.1" customHeight="1">
      <c r="A147" s="271"/>
      <c r="B147" s="102" t="s">
        <v>5</v>
      </c>
      <c r="C147" s="104">
        <f>HLOOKUP(C$121,$86:$119,25,FALSE)</f>
        <v>166.964561</v>
      </c>
      <c r="D147" s="104">
        <f t="shared" ref="D147:O147" si="32">HLOOKUP(D$121,$86:$119,25,FALSE)</f>
        <v>149.445853</v>
      </c>
      <c r="E147" s="104">
        <f t="shared" si="32"/>
        <v>165.43614400000001</v>
      </c>
      <c r="F147" s="104">
        <f t="shared" si="32"/>
        <v>84.341824000000003</v>
      </c>
      <c r="G147" s="104">
        <f t="shared" si="32"/>
        <v>95.968860000000006</v>
      </c>
      <c r="H147" s="104">
        <f t="shared" si="32"/>
        <v>82.177819999999997</v>
      </c>
      <c r="I147" s="104">
        <f t="shared" si="32"/>
        <v>97.153379000000001</v>
      </c>
      <c r="J147" s="104">
        <f t="shared" si="32"/>
        <v>91.083347000000003</v>
      </c>
      <c r="K147" s="104">
        <f t="shared" si="32"/>
        <v>165.14311699999999</v>
      </c>
      <c r="L147" s="104">
        <f t="shared" si="32"/>
        <v>81.914609999999996</v>
      </c>
      <c r="M147" s="104">
        <f t="shared" si="32"/>
        <v>90.114508999999998</v>
      </c>
      <c r="N147" s="104">
        <f t="shared" si="32"/>
        <v>139.72264899999999</v>
      </c>
      <c r="O147" s="119">
        <f t="shared" si="32"/>
        <v>150.18750199999999</v>
      </c>
    </row>
    <row r="148" spans="1:26" ht="14.1" customHeight="1">
      <c r="A148" s="271"/>
      <c r="B148" s="102" t="s">
        <v>4</v>
      </c>
      <c r="C148" s="104">
        <f>HLOOKUP(C$121,$86:$119,26,FALSE)</f>
        <v>44.683625999999997</v>
      </c>
      <c r="D148" s="104">
        <f t="shared" ref="D148:O148" si="33">HLOOKUP(D$121,$86:$119,26,FALSE)</f>
        <v>46.097631</v>
      </c>
      <c r="E148" s="104">
        <f t="shared" si="33"/>
        <v>39.592024000000002</v>
      </c>
      <c r="F148" s="104">
        <f t="shared" si="33"/>
        <v>35.989100999999998</v>
      </c>
      <c r="G148" s="104">
        <f t="shared" si="33"/>
        <v>32.078172000000002</v>
      </c>
      <c r="H148" s="104">
        <f t="shared" si="33"/>
        <v>31.976611999999999</v>
      </c>
      <c r="I148" s="104">
        <f t="shared" si="33"/>
        <v>33.762532</v>
      </c>
      <c r="J148" s="104">
        <f t="shared" si="33"/>
        <v>36.724344000000002</v>
      </c>
      <c r="K148" s="104">
        <f t="shared" si="33"/>
        <v>36.337868999999998</v>
      </c>
      <c r="L148" s="104">
        <f t="shared" si="33"/>
        <v>41.012202000000002</v>
      </c>
      <c r="M148" s="104">
        <f t="shared" si="33"/>
        <v>46.822612999999997</v>
      </c>
      <c r="N148" s="104">
        <f t="shared" si="33"/>
        <v>49.021248</v>
      </c>
      <c r="O148" s="119">
        <f t="shared" si="33"/>
        <v>52.236552000000003</v>
      </c>
    </row>
    <row r="149" spans="1:26" ht="14.1" customHeight="1">
      <c r="A149" s="271"/>
      <c r="B149" s="102" t="s">
        <v>22</v>
      </c>
      <c r="C149" s="104">
        <f>HLOOKUP(C$121,$86:$119,27,FALSE)</f>
        <v>1.163958</v>
      </c>
      <c r="D149" s="104">
        <f t="shared" ref="D149:O149" si="34">HLOOKUP(D$121,$86:$119,27,FALSE)</f>
        <v>0.98014500000000004</v>
      </c>
      <c r="E149" s="104">
        <f t="shared" si="34"/>
        <v>0.36074600000000001</v>
      </c>
      <c r="F149" s="104">
        <f t="shared" si="34"/>
        <v>0.77339199999999997</v>
      </c>
      <c r="G149" s="104">
        <f t="shared" si="34"/>
        <v>0.74605500000000002</v>
      </c>
      <c r="H149" s="104">
        <f t="shared" si="34"/>
        <v>0.798705</v>
      </c>
      <c r="I149" s="104">
        <f t="shared" si="34"/>
        <v>0.99824000000000002</v>
      </c>
      <c r="J149" s="104">
        <f t="shared" si="34"/>
        <v>0.82315300000000002</v>
      </c>
      <c r="K149" s="104">
        <f t="shared" si="34"/>
        <v>0.86323799999999995</v>
      </c>
      <c r="L149" s="104">
        <f t="shared" si="34"/>
        <v>0.83965599999999996</v>
      </c>
      <c r="M149" s="104">
        <f t="shared" si="34"/>
        <v>1.0704100000000001</v>
      </c>
      <c r="N149" s="104">
        <f t="shared" si="34"/>
        <v>0.92642400000000003</v>
      </c>
      <c r="O149" s="119">
        <f t="shared" si="34"/>
        <v>0.98070500000000005</v>
      </c>
    </row>
    <row r="150" spans="1:26" ht="14.1" customHeight="1">
      <c r="A150" s="271"/>
      <c r="B150" s="111" t="s">
        <v>2</v>
      </c>
      <c r="C150" s="159">
        <f>HLOOKUP(C$121,$86:$119,28,FALSE)</f>
        <v>786.43729699999994</v>
      </c>
      <c r="D150" s="159">
        <f t="shared" ref="D150:O150" si="35">HLOOKUP(D$121,$86:$119,28,FALSE)</f>
        <v>817.84818299999995</v>
      </c>
      <c r="E150" s="159">
        <f t="shared" si="35"/>
        <v>782.66694700000005</v>
      </c>
      <c r="F150" s="159">
        <f t="shared" si="35"/>
        <v>792.84350600000005</v>
      </c>
      <c r="G150" s="159">
        <f t="shared" si="35"/>
        <v>751.71579399999996</v>
      </c>
      <c r="H150" s="159">
        <f t="shared" si="35"/>
        <v>764.08024399999999</v>
      </c>
      <c r="I150" s="159">
        <f t="shared" si="35"/>
        <v>769.94693600000005</v>
      </c>
      <c r="J150" s="159">
        <f t="shared" si="35"/>
        <v>678.45077000000003</v>
      </c>
      <c r="K150" s="159">
        <f t="shared" si="35"/>
        <v>748.22386600000004</v>
      </c>
      <c r="L150" s="159">
        <f t="shared" si="35"/>
        <v>704.54130599999996</v>
      </c>
      <c r="M150" s="159">
        <f t="shared" si="35"/>
        <v>715.23383999999999</v>
      </c>
      <c r="N150" s="159">
        <f t="shared" si="35"/>
        <v>720.53923699999996</v>
      </c>
      <c r="O150" s="160">
        <f t="shared" si="35"/>
        <v>808.06494899999996</v>
      </c>
    </row>
    <row r="151" spans="1:26" ht="14.1" customHeight="1">
      <c r="A151" s="271"/>
      <c r="B151" s="102" t="s">
        <v>95</v>
      </c>
      <c r="C151" s="104">
        <f>HLOOKUP(C$121,$86:$119,29,FALSE)</f>
        <v>0</v>
      </c>
      <c r="D151" s="104">
        <f t="shared" ref="D151:O151" si="36">HLOOKUP(D$121,$86:$119,29,FALSE)</f>
        <v>0</v>
      </c>
      <c r="E151" s="104">
        <f t="shared" si="36"/>
        <v>0</v>
      </c>
      <c r="F151" s="104">
        <f t="shared" si="36"/>
        <v>6.3000000000000003E-4</v>
      </c>
      <c r="G151" s="104">
        <f t="shared" si="36"/>
        <v>5.5779999999999996E-3</v>
      </c>
      <c r="H151" s="104">
        <f t="shared" si="36"/>
        <v>1.06E-4</v>
      </c>
      <c r="I151" s="104">
        <f t="shared" si="36"/>
        <v>9.9999999999999995E-7</v>
      </c>
      <c r="J151" s="104">
        <f t="shared" si="36"/>
        <v>3.7019000000000003E-2</v>
      </c>
      <c r="K151" s="104">
        <f t="shared" si="36"/>
        <v>4.1999999999999998E-5</v>
      </c>
      <c r="L151" s="104">
        <f t="shared" si="36"/>
        <v>0</v>
      </c>
      <c r="M151" s="104">
        <f t="shared" si="36"/>
        <v>7.0930000000000003E-3</v>
      </c>
      <c r="N151" s="104">
        <f t="shared" si="36"/>
        <v>9.9999999999999995E-7</v>
      </c>
      <c r="O151" s="119">
        <f t="shared" si="36"/>
        <v>0</v>
      </c>
    </row>
    <row r="152" spans="1:26" ht="14.1" customHeight="1">
      <c r="A152" s="271"/>
      <c r="B152" s="102" t="s">
        <v>96</v>
      </c>
      <c r="C152" s="104">
        <f>HLOOKUP(C$121,$86:$119,30,FALSE)</f>
        <v>-1.4660000000000001E-3</v>
      </c>
      <c r="D152" s="104">
        <f t="shared" ref="D152:O152" si="37">HLOOKUP(D$121,$86:$119,30,FALSE)</f>
        <v>-3.5109999999999998E-3</v>
      </c>
      <c r="E152" s="104">
        <f t="shared" si="37"/>
        <v>-8.7720000000000003E-3</v>
      </c>
      <c r="F152" s="104">
        <f t="shared" si="37"/>
        <v>-1.4031E-2</v>
      </c>
      <c r="G152" s="104">
        <f t="shared" si="37"/>
        <v>-1.7222999999999999E-2</v>
      </c>
      <c r="H152" s="104">
        <f t="shared" si="37"/>
        <v>-1.6891E-2</v>
      </c>
      <c r="I152" s="104">
        <f t="shared" si="37"/>
        <v>-1.1672999999999999E-2</v>
      </c>
      <c r="J152" s="104">
        <f t="shared" si="37"/>
        <v>-5.8445999999999998E-2</v>
      </c>
      <c r="K152" s="104">
        <f t="shared" si="37"/>
        <v>-1.3491E-2</v>
      </c>
      <c r="L152" s="104">
        <f t="shared" si="37"/>
        <v>-2.2315000000000002E-2</v>
      </c>
      <c r="M152" s="104">
        <f t="shared" si="37"/>
        <v>-2.2401000000000001E-2</v>
      </c>
      <c r="N152" s="104">
        <f t="shared" si="37"/>
        <v>-1.2041E-2</v>
      </c>
      <c r="O152" s="119">
        <f t="shared" si="37"/>
        <v>-1.8017999999999999E-2</v>
      </c>
    </row>
    <row r="153" spans="1:26" ht="14.1" customHeight="1">
      <c r="A153" s="271"/>
      <c r="B153" s="112" t="s">
        <v>1</v>
      </c>
      <c r="C153" s="113">
        <f>HLOOKUP(C$121,$86:$119,31,FALSE)</f>
        <v>786.43583100000001</v>
      </c>
      <c r="D153" s="113">
        <f t="shared" ref="D153:O153" si="38">HLOOKUP(D$121,$86:$119,31,FALSE)</f>
        <v>817.84467199999995</v>
      </c>
      <c r="E153" s="113">
        <f t="shared" si="38"/>
        <v>782.65817500000003</v>
      </c>
      <c r="F153" s="113">
        <f t="shared" si="38"/>
        <v>792.830105</v>
      </c>
      <c r="G153" s="113">
        <f t="shared" si="38"/>
        <v>751.70414900000003</v>
      </c>
      <c r="H153" s="113">
        <f t="shared" si="38"/>
        <v>764.06345899999997</v>
      </c>
      <c r="I153" s="113">
        <f t="shared" si="38"/>
        <v>769.93526399999996</v>
      </c>
      <c r="J153" s="113">
        <f t="shared" si="38"/>
        <v>678.42934300000002</v>
      </c>
      <c r="K153" s="113">
        <f t="shared" si="38"/>
        <v>748.21041700000001</v>
      </c>
      <c r="L153" s="113">
        <f t="shared" si="38"/>
        <v>704.51899100000003</v>
      </c>
      <c r="M153" s="113">
        <f t="shared" si="38"/>
        <v>715.21853199999998</v>
      </c>
      <c r="N153" s="113">
        <f t="shared" si="38"/>
        <v>720.527197</v>
      </c>
      <c r="O153" s="166">
        <f t="shared" si="38"/>
        <v>808.04693099999997</v>
      </c>
    </row>
    <row r="154" spans="1:26" ht="14.1" customHeight="1">
      <c r="A154" s="271"/>
      <c r="B154" s="114"/>
      <c r="C154" s="115"/>
      <c r="D154" s="115"/>
      <c r="E154" s="115"/>
      <c r="F154" s="115"/>
      <c r="G154" s="115"/>
      <c r="H154" s="115"/>
      <c r="I154" s="115"/>
      <c r="J154" s="115"/>
      <c r="K154" s="115"/>
      <c r="L154" s="115"/>
      <c r="M154" s="115"/>
      <c r="N154" s="115"/>
      <c r="O154" s="123"/>
    </row>
    <row r="155" spans="1:26" ht="14.1" customHeight="1">
      <c r="A155" s="272"/>
      <c r="B155" s="120" t="s">
        <v>66</v>
      </c>
      <c r="C155" s="124">
        <f>SUM(C142:C144)</f>
        <v>253.629616</v>
      </c>
      <c r="D155" s="124">
        <f t="shared" ref="D155:O155" si="39">SUM(D142:D144)</f>
        <v>278.54647499999999</v>
      </c>
      <c r="E155" s="124">
        <f t="shared" si="39"/>
        <v>267.08533599999998</v>
      </c>
      <c r="F155" s="124">
        <f t="shared" si="39"/>
        <v>313.09754199999998</v>
      </c>
      <c r="G155" s="124">
        <f t="shared" si="39"/>
        <v>278.33614</v>
      </c>
      <c r="H155" s="124">
        <f t="shared" si="39"/>
        <v>303.66958899999997</v>
      </c>
      <c r="I155" s="124">
        <f t="shared" si="39"/>
        <v>304.863742</v>
      </c>
      <c r="J155" s="124">
        <f t="shared" si="39"/>
        <v>261.51041299999997</v>
      </c>
      <c r="K155" s="124">
        <f t="shared" si="39"/>
        <v>261.77438800000004</v>
      </c>
      <c r="L155" s="124">
        <f t="shared" si="39"/>
        <v>294.62105099999997</v>
      </c>
      <c r="M155" s="124">
        <f t="shared" si="39"/>
        <v>273.49589700000001</v>
      </c>
      <c r="N155" s="124">
        <f t="shared" si="39"/>
        <v>242.30331999999999</v>
      </c>
      <c r="O155" s="125">
        <f t="shared" si="39"/>
        <v>294.40075300000001</v>
      </c>
    </row>
    <row r="156" spans="1:26" ht="1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</row>
    <row r="157" spans="1:26" ht="1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</row>
    <row r="158" spans="1:26" ht="15">
      <c r="A158" s="149"/>
      <c r="B158" s="149" t="s">
        <v>60</v>
      </c>
      <c r="C158" s="285" t="s">
        <v>49</v>
      </c>
      <c r="D158" s="284"/>
      <c r="E158" s="284"/>
      <c r="F158" s="284"/>
      <c r="G158" s="284"/>
      <c r="H158" s="284"/>
      <c r="I158" s="284"/>
      <c r="J158" s="284"/>
      <c r="K158" s="284"/>
      <c r="L158" s="284"/>
      <c r="M158" s="284"/>
      <c r="N158" s="284"/>
      <c r="O158"/>
      <c r="P158"/>
      <c r="Q158"/>
      <c r="R158"/>
      <c r="S158"/>
      <c r="T158"/>
      <c r="U158"/>
      <c r="V158"/>
      <c r="W158"/>
      <c r="X158"/>
      <c r="Y158"/>
      <c r="Z158"/>
    </row>
    <row r="159" spans="1:26" ht="15">
      <c r="A159" s="149"/>
      <c r="B159" s="149" t="s">
        <v>61</v>
      </c>
      <c r="C159" s="182" t="s">
        <v>80</v>
      </c>
      <c r="D159" s="182" t="s">
        <v>81</v>
      </c>
      <c r="E159" s="182" t="s">
        <v>82</v>
      </c>
      <c r="F159" s="182" t="s">
        <v>83</v>
      </c>
      <c r="G159" s="182" t="s">
        <v>84</v>
      </c>
      <c r="H159" s="182" t="s">
        <v>85</v>
      </c>
      <c r="I159" s="182" t="s">
        <v>86</v>
      </c>
      <c r="J159" s="182" t="s">
        <v>87</v>
      </c>
      <c r="K159" s="182" t="s">
        <v>88</v>
      </c>
      <c r="L159" s="182" t="s">
        <v>89</v>
      </c>
      <c r="M159" s="182" t="s">
        <v>90</v>
      </c>
      <c r="N159" s="182" t="s">
        <v>91</v>
      </c>
      <c r="O159"/>
      <c r="P159"/>
      <c r="Q159"/>
      <c r="R159"/>
      <c r="S159"/>
      <c r="T159"/>
      <c r="U159"/>
      <c r="V159"/>
      <c r="W159"/>
      <c r="X159"/>
      <c r="Y159"/>
      <c r="Z159"/>
    </row>
    <row r="160" spans="1:26" ht="15">
      <c r="A160" s="149" t="s">
        <v>59</v>
      </c>
      <c r="B160" s="149" t="s">
        <v>92</v>
      </c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1:26" ht="15">
      <c r="A161" s="151" t="s">
        <v>205</v>
      </c>
      <c r="B161" s="151" t="s">
        <v>207</v>
      </c>
      <c r="C161" s="245">
        <v>0.13976</v>
      </c>
      <c r="D161" s="245">
        <v>9.2000000000000003E-4</v>
      </c>
      <c r="E161" s="245">
        <v>1.8530000000000001E-2</v>
      </c>
      <c r="F161" s="245">
        <v>0.12031</v>
      </c>
      <c r="G161" s="245">
        <v>4.4229999999999998E-2</v>
      </c>
      <c r="H161" s="245">
        <v>8.8999999999999995E-4</v>
      </c>
      <c r="I161" s="245">
        <v>8.0499999999999999E-3</v>
      </c>
      <c r="J161" s="245">
        <v>3.5290000000000002E-2</v>
      </c>
      <c r="K161" s="245">
        <v>3.9559999999999998E-2</v>
      </c>
      <c r="L161" s="245">
        <v>1.6000000000000001E-3</v>
      </c>
      <c r="M161" s="245">
        <v>9.5899999999999996E-3</v>
      </c>
      <c r="N161" s="245">
        <v>2.8369999999999999E-2</v>
      </c>
      <c r="O161"/>
      <c r="P161"/>
      <c r="Q161"/>
      <c r="R161"/>
      <c r="S161"/>
      <c r="T161"/>
      <c r="U161"/>
      <c r="V161"/>
      <c r="W161"/>
      <c r="X161"/>
      <c r="Y161"/>
      <c r="Z161"/>
    </row>
    <row r="162" spans="1:26" ht="1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</row>
    <row r="163" spans="1:26" ht="1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</row>
    <row r="164" spans="1:26" ht="15">
      <c r="A164" s="149"/>
      <c r="B164" s="149" t="s">
        <v>60</v>
      </c>
      <c r="C164" s="285" t="s">
        <v>50</v>
      </c>
      <c r="D164" s="284"/>
      <c r="E164" s="284"/>
      <c r="F164" s="284"/>
      <c r="G164" s="284"/>
      <c r="H164" s="284"/>
      <c r="I164" s="284"/>
      <c r="J164" s="284"/>
      <c r="K164" s="284"/>
      <c r="L164" s="284"/>
      <c r="M164" s="284"/>
      <c r="N164" s="28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1:26" ht="15">
      <c r="A165" s="149"/>
      <c r="B165" s="149" t="s">
        <v>61</v>
      </c>
      <c r="C165" s="182" t="s">
        <v>80</v>
      </c>
      <c r="D165" s="182" t="s">
        <v>81</v>
      </c>
      <c r="E165" s="182" t="s">
        <v>82</v>
      </c>
      <c r="F165" s="182" t="s">
        <v>83</v>
      </c>
      <c r="G165" s="182" t="s">
        <v>84</v>
      </c>
      <c r="H165" s="182" t="s">
        <v>85</v>
      </c>
      <c r="I165" s="182" t="s">
        <v>86</v>
      </c>
      <c r="J165" s="182" t="s">
        <v>87</v>
      </c>
      <c r="K165" s="182" t="s">
        <v>88</v>
      </c>
      <c r="L165" s="182" t="s">
        <v>89</v>
      </c>
      <c r="M165" s="182" t="s">
        <v>90</v>
      </c>
      <c r="N165" s="182" t="s">
        <v>91</v>
      </c>
      <c r="O165"/>
      <c r="P165"/>
      <c r="Q165"/>
      <c r="R165"/>
      <c r="S165"/>
      <c r="T165"/>
      <c r="U165"/>
      <c r="V165"/>
      <c r="W165"/>
      <c r="X165"/>
      <c r="Y165"/>
      <c r="Z165"/>
    </row>
    <row r="166" spans="1:26" ht="15">
      <c r="A166" s="149" t="s">
        <v>59</v>
      </c>
      <c r="B166" s="149" t="s">
        <v>92</v>
      </c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/>
      <c r="P166"/>
      <c r="Q166"/>
      <c r="R166"/>
      <c r="S166"/>
      <c r="T166"/>
      <c r="U166"/>
      <c r="V166"/>
      <c r="W166"/>
      <c r="X166"/>
      <c r="Y166"/>
      <c r="Z166"/>
    </row>
    <row r="167" spans="1:26" ht="15">
      <c r="A167" s="151" t="s">
        <v>205</v>
      </c>
      <c r="B167" s="151" t="s">
        <v>207</v>
      </c>
      <c r="C167" s="245">
        <v>2.7609999999999999E-2</v>
      </c>
      <c r="D167" s="245">
        <v>2.9E-4</v>
      </c>
      <c r="E167" s="245">
        <v>-2.4599999999999999E-3</v>
      </c>
      <c r="F167" s="245">
        <v>2.9780000000000001E-2</v>
      </c>
      <c r="G167" s="245">
        <v>1.4030000000000001E-2</v>
      </c>
      <c r="H167" s="245">
        <v>6.4999999999999997E-4</v>
      </c>
      <c r="I167" s="245">
        <v>6.4999999999999997E-4</v>
      </c>
      <c r="J167" s="245">
        <v>1.273E-2</v>
      </c>
      <c r="K167" s="245">
        <v>1.805E-2</v>
      </c>
      <c r="L167" s="245">
        <v>2.9E-4</v>
      </c>
      <c r="M167" s="245">
        <v>1.5200000000000001E-3</v>
      </c>
      <c r="N167" s="245">
        <v>1.6240000000000001E-2</v>
      </c>
      <c r="O167"/>
      <c r="P167"/>
      <c r="Q167"/>
      <c r="R167"/>
      <c r="S167"/>
      <c r="T167"/>
      <c r="U167"/>
      <c r="V167"/>
      <c r="W167"/>
      <c r="X167"/>
      <c r="Y167"/>
      <c r="Z167"/>
    </row>
    <row r="168" spans="1:26" ht="1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</row>
    <row r="169" spans="1:26" ht="15">
      <c r="B169" s="218" t="s">
        <v>139</v>
      </c>
      <c r="C169"/>
      <c r="D169"/>
      <c r="E169"/>
      <c r="F169"/>
      <c r="G169"/>
      <c r="H169"/>
      <c r="I169"/>
      <c r="J169"/>
      <c r="K169"/>
      <c r="L169"/>
      <c r="M169"/>
      <c r="N169"/>
    </row>
    <row r="170" spans="1:26">
      <c r="B170" s="276" t="s">
        <v>65</v>
      </c>
      <c r="C170" s="108" t="str">
        <f>TEXT(EDATE(D121,-1),"mmmm aaaa")</f>
        <v>julio 2025</v>
      </c>
      <c r="D170" s="108" t="str">
        <f t="shared" ref="D170:N170" si="40">TEXT(EDATE(E121,-1),"mmmm aaaa")</f>
        <v>agosto 2025</v>
      </c>
      <c r="E170" s="108" t="str">
        <f t="shared" si="40"/>
        <v>septiembre 2025</v>
      </c>
      <c r="F170" s="108" t="str">
        <f t="shared" si="40"/>
        <v>octubre 2025</v>
      </c>
      <c r="G170" s="108" t="str">
        <f t="shared" si="40"/>
        <v>noviembre 2025</v>
      </c>
      <c r="H170" s="108" t="str">
        <f t="shared" si="40"/>
        <v>diciembre 2025</v>
      </c>
      <c r="I170" s="108" t="str">
        <f t="shared" si="40"/>
        <v>enero 2026</v>
      </c>
      <c r="J170" s="108" t="str">
        <f t="shared" si="40"/>
        <v>febrero 2026</v>
      </c>
      <c r="K170" s="108" t="str">
        <f t="shared" si="40"/>
        <v>marzo 2026</v>
      </c>
      <c r="L170" s="108" t="str">
        <f t="shared" si="40"/>
        <v>abril 2026</v>
      </c>
      <c r="M170" s="108" t="str">
        <f t="shared" si="40"/>
        <v>mayo 2026</v>
      </c>
      <c r="N170" s="108" t="str">
        <f t="shared" si="40"/>
        <v>junio 2026</v>
      </c>
      <c r="O170" s="108" t="str">
        <f>A2</f>
        <v>Julio 2026</v>
      </c>
    </row>
    <row r="171" spans="1:26">
      <c r="B171" s="277"/>
      <c r="C171" s="116" t="str">
        <f>MID(UPPER(TEXT(C121,"mmm")),1,1)</f>
        <v>J</v>
      </c>
      <c r="D171" s="116" t="str">
        <f t="shared" ref="D171:N171" si="41">MID(UPPER(TEXT(D121,"mmm")),1,1)</f>
        <v>A</v>
      </c>
      <c r="E171" s="116" t="str">
        <f t="shared" si="41"/>
        <v>S</v>
      </c>
      <c r="F171" s="116" t="str">
        <f t="shared" si="41"/>
        <v>O</v>
      </c>
      <c r="G171" s="116" t="str">
        <f t="shared" si="41"/>
        <v>N</v>
      </c>
      <c r="H171" s="116" t="str">
        <f t="shared" si="41"/>
        <v>D</v>
      </c>
      <c r="I171" s="116" t="str">
        <f t="shared" si="41"/>
        <v>E</v>
      </c>
      <c r="J171" s="116" t="str">
        <f t="shared" si="41"/>
        <v>F</v>
      </c>
      <c r="K171" s="116" t="str">
        <f t="shared" si="41"/>
        <v>M</v>
      </c>
      <c r="L171" s="116" t="str">
        <f t="shared" si="41"/>
        <v>A</v>
      </c>
      <c r="M171" s="116" t="str">
        <f t="shared" si="41"/>
        <v>M</v>
      </c>
      <c r="N171" s="116" t="str">
        <f t="shared" si="41"/>
        <v>J</v>
      </c>
      <c r="O171" s="116" t="str">
        <f t="shared" ref="O171" si="42">MID(UPPER(TEXT(O121,"mmm")),1,1)</f>
        <v>J</v>
      </c>
    </row>
    <row r="172" spans="1:26" ht="14.45" customHeight="1">
      <c r="A172" s="269" t="s">
        <v>17</v>
      </c>
      <c r="B172" s="102" t="s">
        <v>95</v>
      </c>
      <c r="C172" s="216">
        <f>HLOOKUP(C$170,$86:$103,15,FALSE)*1000</f>
        <v>25.804000000000002</v>
      </c>
      <c r="D172" s="216">
        <f t="shared" ref="D172:O172" si="43">HLOOKUP(D$170,$86:$103,15,FALSE)*1000</f>
        <v>0</v>
      </c>
      <c r="E172" s="216">
        <f t="shared" si="43"/>
        <v>2.65</v>
      </c>
      <c r="F172" s="216">
        <f t="shared" si="43"/>
        <v>1.1019999999999999</v>
      </c>
      <c r="G172" s="216">
        <f t="shared" si="43"/>
        <v>1.536</v>
      </c>
      <c r="H172" s="216">
        <f t="shared" si="43"/>
        <v>0</v>
      </c>
      <c r="I172" s="216">
        <f t="shared" si="43"/>
        <v>0</v>
      </c>
      <c r="J172" s="216">
        <f t="shared" si="43"/>
        <v>0</v>
      </c>
      <c r="K172" s="216">
        <f t="shared" si="43"/>
        <v>0</v>
      </c>
      <c r="L172" s="216">
        <f t="shared" si="43"/>
        <v>0</v>
      </c>
      <c r="M172" s="216">
        <f t="shared" si="43"/>
        <v>0</v>
      </c>
      <c r="N172" s="216">
        <f t="shared" si="43"/>
        <v>0</v>
      </c>
      <c r="O172" s="216">
        <f t="shared" si="43"/>
        <v>0</v>
      </c>
      <c r="P172" s="201"/>
    </row>
    <row r="173" spans="1:26" ht="14.45" customHeight="1">
      <c r="A173" s="269"/>
      <c r="B173" s="102" t="s">
        <v>96</v>
      </c>
      <c r="C173" s="216">
        <f>HLOOKUP(C$121,$86:$103,16,FALSE)*1000</f>
        <v>-84.402000000000001</v>
      </c>
      <c r="D173" s="216">
        <f t="shared" ref="D173:O173" si="44">HLOOKUP(D$121,$86:$103,16,FALSE)*1000</f>
        <v>-3.7090000000000001</v>
      </c>
      <c r="E173" s="216">
        <f t="shared" si="44"/>
        <v>-8.4089999999999989</v>
      </c>
      <c r="F173" s="216">
        <f t="shared" si="44"/>
        <v>-6.4119999999999999</v>
      </c>
      <c r="G173" s="216">
        <f t="shared" si="44"/>
        <v>-5.601</v>
      </c>
      <c r="H173" s="216">
        <f t="shared" si="44"/>
        <v>-4.0439999999999996</v>
      </c>
      <c r="I173" s="216">
        <f t="shared" si="44"/>
        <v>-0.38699999999999996</v>
      </c>
      <c r="J173" s="216">
        <f t="shared" si="44"/>
        <v>0</v>
      </c>
      <c r="K173" s="216">
        <f t="shared" si="44"/>
        <v>0</v>
      </c>
      <c r="L173" s="216">
        <f t="shared" si="44"/>
        <v>0</v>
      </c>
      <c r="M173" s="216">
        <f t="shared" si="44"/>
        <v>0</v>
      </c>
      <c r="N173" s="216">
        <f t="shared" si="44"/>
        <v>0</v>
      </c>
      <c r="O173" s="216">
        <f t="shared" si="44"/>
        <v>0</v>
      </c>
      <c r="P173" s="201"/>
    </row>
    <row r="174" spans="1:26" ht="14.45" customHeight="1">
      <c r="A174" s="269"/>
      <c r="B174" s="111" t="s">
        <v>122</v>
      </c>
      <c r="C174" s="217">
        <f>SUM(C172:C173)</f>
        <v>-58.597999999999999</v>
      </c>
      <c r="D174" s="217">
        <f t="shared" ref="D174:O174" si="45">SUM(D172:D173)</f>
        <v>-3.7090000000000001</v>
      </c>
      <c r="E174" s="217">
        <f t="shared" si="45"/>
        <v>-5.7589999999999986</v>
      </c>
      <c r="F174" s="217">
        <f t="shared" si="45"/>
        <v>-5.3100000000000005</v>
      </c>
      <c r="G174" s="217">
        <f t="shared" si="45"/>
        <v>-4.0649999999999995</v>
      </c>
      <c r="H174" s="217">
        <f t="shared" si="45"/>
        <v>-4.0439999999999996</v>
      </c>
      <c r="I174" s="217">
        <f t="shared" si="45"/>
        <v>-0.38699999999999996</v>
      </c>
      <c r="J174" s="217">
        <f t="shared" si="45"/>
        <v>0</v>
      </c>
      <c r="K174" s="217">
        <f t="shared" si="45"/>
        <v>0</v>
      </c>
      <c r="L174" s="217">
        <f t="shared" si="45"/>
        <v>0</v>
      </c>
      <c r="M174" s="217">
        <f t="shared" si="45"/>
        <v>0</v>
      </c>
      <c r="N174" s="217">
        <f t="shared" si="45"/>
        <v>0</v>
      </c>
      <c r="O174" s="217">
        <f t="shared" si="45"/>
        <v>0</v>
      </c>
    </row>
    <row r="175" spans="1:26">
      <c r="A175" s="269" t="s">
        <v>16</v>
      </c>
      <c r="B175" s="102" t="s">
        <v>95</v>
      </c>
      <c r="C175" s="216">
        <f>HLOOKUP(C$170,$86:$116,29,FALSE)*1000</f>
        <v>0</v>
      </c>
      <c r="D175" s="216">
        <f t="shared" ref="D175:O175" si="46">HLOOKUP(D$170,$86:$116,29,FALSE)*1000</f>
        <v>0</v>
      </c>
      <c r="E175" s="216">
        <f t="shared" si="46"/>
        <v>0</v>
      </c>
      <c r="F175" s="216">
        <f t="shared" si="46"/>
        <v>0.63</v>
      </c>
      <c r="G175" s="216">
        <f t="shared" si="46"/>
        <v>5.5779999999999994</v>
      </c>
      <c r="H175" s="216">
        <f t="shared" si="46"/>
        <v>0.106</v>
      </c>
      <c r="I175" s="216">
        <f t="shared" si="46"/>
        <v>1E-3</v>
      </c>
      <c r="J175" s="216">
        <f t="shared" si="46"/>
        <v>37.019000000000005</v>
      </c>
      <c r="K175" s="216">
        <f t="shared" si="46"/>
        <v>4.1999999999999996E-2</v>
      </c>
      <c r="L175" s="216">
        <f t="shared" si="46"/>
        <v>0</v>
      </c>
      <c r="M175" s="216">
        <f t="shared" si="46"/>
        <v>7.093</v>
      </c>
      <c r="N175" s="216">
        <f t="shared" si="46"/>
        <v>1E-3</v>
      </c>
      <c r="O175" s="216">
        <f t="shared" si="46"/>
        <v>0</v>
      </c>
      <c r="P175" s="201"/>
    </row>
    <row r="176" spans="1:26">
      <c r="A176" s="269"/>
      <c r="B176" s="102" t="s">
        <v>96</v>
      </c>
      <c r="C176" s="216">
        <f>HLOOKUP(C$170,$86:$116,30,FALSE)*1000</f>
        <v>-1.466</v>
      </c>
      <c r="D176" s="216">
        <f t="shared" ref="D176:O176" si="47">HLOOKUP(D$170,$86:$116,30,FALSE)*1000</f>
        <v>-3.5109999999999997</v>
      </c>
      <c r="E176" s="216">
        <f t="shared" si="47"/>
        <v>-8.7720000000000002</v>
      </c>
      <c r="F176" s="216">
        <f t="shared" si="47"/>
        <v>-14.031000000000001</v>
      </c>
      <c r="G176" s="216">
        <f t="shared" si="47"/>
        <v>-17.222999999999999</v>
      </c>
      <c r="H176" s="216">
        <f t="shared" si="47"/>
        <v>-16.890999999999998</v>
      </c>
      <c r="I176" s="216">
        <f t="shared" si="47"/>
        <v>-11.673</v>
      </c>
      <c r="J176" s="216">
        <f t="shared" si="47"/>
        <v>-58.445999999999998</v>
      </c>
      <c r="K176" s="216">
        <f t="shared" si="47"/>
        <v>-13.491</v>
      </c>
      <c r="L176" s="216">
        <f t="shared" si="47"/>
        <v>-22.315000000000001</v>
      </c>
      <c r="M176" s="216">
        <f t="shared" si="47"/>
        <v>-22.401</v>
      </c>
      <c r="N176" s="216">
        <f t="shared" si="47"/>
        <v>-12.041</v>
      </c>
      <c r="O176" s="216">
        <f t="shared" si="47"/>
        <v>-18.018000000000001</v>
      </c>
      <c r="P176" s="201"/>
    </row>
    <row r="177" spans="1:15">
      <c r="A177" s="269"/>
      <c r="B177" s="111" t="s">
        <v>122</v>
      </c>
      <c r="C177" s="217">
        <f>SUM(C175:C176)</f>
        <v>-1.466</v>
      </c>
      <c r="D177" s="217">
        <f t="shared" ref="D177:O177" si="48">SUM(D175:D176)</f>
        <v>-3.5109999999999997</v>
      </c>
      <c r="E177" s="217">
        <f t="shared" si="48"/>
        <v>-8.7720000000000002</v>
      </c>
      <c r="F177" s="217">
        <f t="shared" si="48"/>
        <v>-13.401</v>
      </c>
      <c r="G177" s="217">
        <f t="shared" si="48"/>
        <v>-11.645</v>
      </c>
      <c r="H177" s="217">
        <f t="shared" si="48"/>
        <v>-16.784999999999997</v>
      </c>
      <c r="I177" s="217">
        <f t="shared" si="48"/>
        <v>-11.672000000000001</v>
      </c>
      <c r="J177" s="217">
        <f t="shared" si="48"/>
        <v>-21.426999999999992</v>
      </c>
      <c r="K177" s="217">
        <f t="shared" si="48"/>
        <v>-13.449</v>
      </c>
      <c r="L177" s="217">
        <f t="shared" si="48"/>
        <v>-22.315000000000001</v>
      </c>
      <c r="M177" s="217">
        <f t="shared" si="48"/>
        <v>-15.308</v>
      </c>
      <c r="N177" s="217">
        <f t="shared" si="48"/>
        <v>-12.040000000000001</v>
      </c>
      <c r="O177" s="217">
        <f t="shared" si="48"/>
        <v>-18.018000000000001</v>
      </c>
    </row>
    <row r="178" spans="1:15" ht="1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</row>
    <row r="179" spans="1:15" ht="1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</row>
    <row r="180" spans="1:15" ht="1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</row>
    <row r="181" spans="1:15" ht="1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</row>
    <row r="182" spans="1:15" ht="1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</row>
    <row r="183" spans="1:15" ht="1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</row>
    <row r="184" spans="1:15" ht="1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</row>
    <row r="185" spans="1:15" ht="1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</row>
  </sheetData>
  <mergeCells count="18">
    <mergeCell ref="B4:AG4"/>
    <mergeCell ref="B5:I5"/>
    <mergeCell ref="J5:Q5"/>
    <mergeCell ref="R5:Y5"/>
    <mergeCell ref="Z5:AG5"/>
    <mergeCell ref="B30:C30"/>
    <mergeCell ref="B170:B171"/>
    <mergeCell ref="A172:A174"/>
    <mergeCell ref="B29:C29"/>
    <mergeCell ref="C158:N158"/>
    <mergeCell ref="C164:N164"/>
    <mergeCell ref="A104:A117"/>
    <mergeCell ref="C85:V85"/>
    <mergeCell ref="A175:A177"/>
    <mergeCell ref="A140:A155"/>
    <mergeCell ref="A123:A139"/>
    <mergeCell ref="B121:B122"/>
    <mergeCell ref="A88:A10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9D67F-C713-496B-B28C-8C55E200B498}">
  <dimension ref="A1:O159"/>
  <sheetViews>
    <sheetView topLeftCell="A128" workbookViewId="0">
      <selection activeCell="C160" sqref="C160"/>
    </sheetView>
  </sheetViews>
  <sheetFormatPr baseColWidth="10" defaultRowHeight="15"/>
  <cols>
    <col min="1" max="1" width="26.7109375" bestFit="1" customWidth="1"/>
    <col min="2" max="2" width="17.7109375" bestFit="1" customWidth="1"/>
    <col min="3" max="3" width="17.5703125" bestFit="1" customWidth="1"/>
    <col min="4" max="4" width="12.5703125" bestFit="1" customWidth="1"/>
    <col min="5" max="5" width="9.85546875" bestFit="1" customWidth="1"/>
    <col min="6" max="6" width="12" bestFit="1" customWidth="1"/>
    <col min="7" max="7" width="11.5703125" bestFit="1" customWidth="1"/>
    <col min="8" max="8" width="8.42578125" bestFit="1" customWidth="1"/>
    <col min="9" max="9" width="9.85546875" bestFit="1" customWidth="1"/>
    <col min="10" max="10" width="8.7109375" bestFit="1" customWidth="1"/>
    <col min="11" max="11" width="7.7109375" bestFit="1" customWidth="1"/>
    <col min="12" max="12" width="8.140625" bestFit="1" customWidth="1"/>
    <col min="13" max="13" width="8.28515625" bestFit="1" customWidth="1"/>
    <col min="14" max="14" width="7.7109375" bestFit="1" customWidth="1"/>
  </cols>
  <sheetData>
    <row r="1" spans="1:15">
      <c r="A1" s="126" t="s">
        <v>59</v>
      </c>
      <c r="B1" s="126" t="s">
        <v>63</v>
      </c>
    </row>
    <row r="2" spans="1:15">
      <c r="A2" s="127" t="s">
        <v>205</v>
      </c>
      <c r="B2" s="127" t="s">
        <v>207</v>
      </c>
    </row>
    <row r="4" spans="1:15">
      <c r="A4" s="246" t="s">
        <v>156</v>
      </c>
      <c r="B4" s="246" t="s">
        <v>49</v>
      </c>
    </row>
    <row r="5" spans="1:15">
      <c r="A5" s="149" t="s">
        <v>61</v>
      </c>
      <c r="B5" s="285" t="s">
        <v>157</v>
      </c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</row>
    <row r="6" spans="1:15">
      <c r="A6" s="149" t="s">
        <v>59</v>
      </c>
      <c r="B6" s="182" t="s">
        <v>158</v>
      </c>
      <c r="C6" s="182" t="s">
        <v>159</v>
      </c>
      <c r="D6" s="182" t="s">
        <v>160</v>
      </c>
      <c r="E6" s="182" t="s">
        <v>161</v>
      </c>
      <c r="F6" s="182" t="s">
        <v>162</v>
      </c>
      <c r="G6" s="182" t="s">
        <v>163</v>
      </c>
      <c r="H6" s="182" t="s">
        <v>164</v>
      </c>
      <c r="I6" s="182" t="s">
        <v>165</v>
      </c>
      <c r="J6" s="182" t="s">
        <v>166</v>
      </c>
      <c r="K6" s="182" t="s">
        <v>201</v>
      </c>
      <c r="L6" s="182" t="s">
        <v>204</v>
      </c>
      <c r="M6" s="182" t="s">
        <v>206</v>
      </c>
      <c r="N6" s="182" t="s">
        <v>215</v>
      </c>
    </row>
    <row r="7" spans="1:15">
      <c r="A7" s="149" t="s">
        <v>167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</row>
    <row r="8" spans="1:15">
      <c r="A8" s="151" t="s">
        <v>23</v>
      </c>
      <c r="B8" s="247">
        <v>3.649</v>
      </c>
      <c r="C8" s="247">
        <v>3.649</v>
      </c>
      <c r="D8" s="247">
        <v>3.649</v>
      </c>
      <c r="E8" s="247">
        <v>3.649</v>
      </c>
      <c r="F8" s="247">
        <v>3.649</v>
      </c>
      <c r="G8" s="247">
        <v>3.649</v>
      </c>
      <c r="H8" s="247">
        <v>3.649</v>
      </c>
      <c r="I8" s="247">
        <v>3.649</v>
      </c>
      <c r="J8" s="247">
        <v>3.649</v>
      </c>
      <c r="K8" s="247">
        <v>3.649</v>
      </c>
      <c r="L8" s="247">
        <v>3.649</v>
      </c>
      <c r="M8" s="247">
        <v>3.649</v>
      </c>
      <c r="N8" s="247">
        <v>3.649</v>
      </c>
    </row>
    <row r="9" spans="1:15">
      <c r="A9" s="151" t="s">
        <v>5</v>
      </c>
      <c r="B9" s="247">
        <v>5.0000000000000001E-3</v>
      </c>
      <c r="C9" s="247">
        <v>5.0000000000000001E-3</v>
      </c>
      <c r="D9" s="247">
        <v>5.0000000000000001E-3</v>
      </c>
      <c r="E9" s="247">
        <v>5.0000000000000001E-3</v>
      </c>
      <c r="F9" s="247">
        <v>5.0000000000000001E-3</v>
      </c>
      <c r="G9" s="247">
        <v>5.0000000000000001E-3</v>
      </c>
      <c r="H9" s="247">
        <v>5.0000000000000001E-3</v>
      </c>
      <c r="I9" s="247">
        <v>5.0000000000000001E-3</v>
      </c>
      <c r="J9" s="247">
        <v>5.0000000000000001E-3</v>
      </c>
      <c r="K9" s="247">
        <v>5.0000000000000001E-3</v>
      </c>
      <c r="L9" s="247">
        <v>5.0000000000000001E-3</v>
      </c>
      <c r="M9" s="247">
        <v>5.0000000000000001E-3</v>
      </c>
      <c r="N9" s="247">
        <v>5.0000000000000001E-3</v>
      </c>
    </row>
    <row r="10" spans="1:15">
      <c r="A10" s="151" t="s">
        <v>168</v>
      </c>
      <c r="B10" s="247">
        <v>6.0759999999999996</v>
      </c>
      <c r="C10" s="247">
        <v>6.0759999999999996</v>
      </c>
      <c r="D10" s="247">
        <v>6.0759999999999996</v>
      </c>
      <c r="E10" s="247">
        <v>7.9160000000000004</v>
      </c>
      <c r="F10" s="247">
        <v>7.9160000000000004</v>
      </c>
      <c r="G10" s="247">
        <v>7.9160000000000004</v>
      </c>
      <c r="H10" s="247">
        <v>7.9160000000000004</v>
      </c>
      <c r="I10" s="247">
        <v>7.9160000000000004</v>
      </c>
      <c r="J10" s="247">
        <v>7.9160000000000004</v>
      </c>
      <c r="K10" s="247">
        <v>7.9160000000000004</v>
      </c>
      <c r="L10" s="247">
        <v>7.9160000000000004</v>
      </c>
      <c r="M10" s="247">
        <v>7.9160000000000004</v>
      </c>
      <c r="N10" s="247">
        <v>7.9160000000000004</v>
      </c>
    </row>
    <row r="11" spans="1:15">
      <c r="A11" s="151" t="s">
        <v>169</v>
      </c>
      <c r="B11" s="247">
        <v>185.318927</v>
      </c>
      <c r="C11" s="247">
        <v>186.838897</v>
      </c>
      <c r="D11" s="247">
        <v>190.97144900000001</v>
      </c>
      <c r="E11" s="247">
        <v>194.755954</v>
      </c>
      <c r="F11" s="247">
        <v>197.07120399999999</v>
      </c>
      <c r="G11" s="247">
        <v>199.38936899999999</v>
      </c>
      <c r="H11" s="247">
        <v>201.287059</v>
      </c>
      <c r="I11" s="247">
        <v>203.47899899999999</v>
      </c>
      <c r="J11" s="247">
        <v>206.061252</v>
      </c>
      <c r="K11" s="247">
        <v>209.30697699999999</v>
      </c>
      <c r="L11" s="247">
        <v>211.09752599999999</v>
      </c>
      <c r="M11" s="247">
        <v>213.50440599999999</v>
      </c>
      <c r="N11" s="247">
        <v>213.50440599999999</v>
      </c>
    </row>
    <row r="12" spans="1:15">
      <c r="A12" s="151" t="s">
        <v>170</v>
      </c>
      <c r="B12" s="247">
        <v>5.0000000000000001E-3</v>
      </c>
      <c r="C12" s="247">
        <v>5.0000000000000001E-3</v>
      </c>
      <c r="D12" s="247">
        <v>5.0000000000000001E-3</v>
      </c>
      <c r="E12" s="247">
        <v>5.0000000000000001E-3</v>
      </c>
      <c r="F12" s="247">
        <v>5.0000000000000001E-3</v>
      </c>
      <c r="G12" s="247">
        <v>5.0000000000000001E-3</v>
      </c>
      <c r="H12" s="247">
        <v>5.0000000000000001E-3</v>
      </c>
      <c r="I12" s="247">
        <v>5.0000000000000001E-3</v>
      </c>
      <c r="J12" s="247">
        <v>5.0000000000000001E-3</v>
      </c>
      <c r="K12" s="247">
        <v>5.0000000000000001E-3</v>
      </c>
      <c r="L12" s="247">
        <v>5.0000000000000001E-3</v>
      </c>
      <c r="M12" s="247">
        <v>5.0000000000000001E-3</v>
      </c>
      <c r="N12" s="247">
        <v>5.0000000000000001E-3</v>
      </c>
    </row>
    <row r="13" spans="1:15">
      <c r="A13" s="248" t="s">
        <v>20</v>
      </c>
      <c r="B13" s="249">
        <v>195.05392699999999</v>
      </c>
      <c r="C13" s="249">
        <v>196.57389699999999</v>
      </c>
      <c r="D13" s="249">
        <v>200.70644899999999</v>
      </c>
      <c r="E13" s="249">
        <v>206.33095399999999</v>
      </c>
      <c r="F13" s="249">
        <v>208.64620400000001</v>
      </c>
      <c r="G13" s="249">
        <v>210.964369</v>
      </c>
      <c r="H13" s="249">
        <v>212.86205899999999</v>
      </c>
      <c r="I13" s="249">
        <v>215.053999</v>
      </c>
      <c r="J13" s="249">
        <v>217.63625200000001</v>
      </c>
      <c r="K13" s="249">
        <v>220.88197700000001</v>
      </c>
      <c r="L13" s="249">
        <v>222.672526</v>
      </c>
      <c r="M13" s="249">
        <v>225.07940600000001</v>
      </c>
      <c r="N13" s="249">
        <v>225.07940600000001</v>
      </c>
      <c r="O13" s="225">
        <f>(+N13/B13-1)*100</f>
        <v>15.393424506649399</v>
      </c>
    </row>
    <row r="15" spans="1:15">
      <c r="A15" s="246" t="s">
        <v>156</v>
      </c>
      <c r="B15" s="246" t="s">
        <v>49</v>
      </c>
    </row>
    <row r="16" spans="1:15">
      <c r="A16" s="149" t="s">
        <v>61</v>
      </c>
      <c r="B16" s="285" t="s">
        <v>157</v>
      </c>
      <c r="C16" s="284"/>
      <c r="D16" s="284"/>
      <c r="E16" s="284"/>
      <c r="F16" s="284"/>
      <c r="G16" s="284"/>
      <c r="H16" s="284"/>
      <c r="I16" s="284"/>
      <c r="J16" s="284"/>
      <c r="K16" s="284"/>
      <c r="L16" s="284"/>
      <c r="M16" s="284"/>
      <c r="N16" s="284"/>
    </row>
    <row r="17" spans="1:14">
      <c r="A17" s="149" t="s">
        <v>59</v>
      </c>
      <c r="B17" s="182" t="s">
        <v>158</v>
      </c>
      <c r="C17" s="182" t="s">
        <v>159</v>
      </c>
      <c r="D17" s="182" t="s">
        <v>160</v>
      </c>
      <c r="E17" s="182" t="s">
        <v>161</v>
      </c>
      <c r="F17" s="182" t="s">
        <v>162</v>
      </c>
      <c r="G17" s="182" t="s">
        <v>163</v>
      </c>
      <c r="H17" s="182" t="s">
        <v>164</v>
      </c>
      <c r="I17" s="182" t="s">
        <v>165</v>
      </c>
      <c r="J17" s="182" t="s">
        <v>166</v>
      </c>
      <c r="K17" s="182" t="s">
        <v>201</v>
      </c>
      <c r="L17" s="182" t="s">
        <v>204</v>
      </c>
      <c r="M17" s="182" t="s">
        <v>206</v>
      </c>
      <c r="N17" s="182" t="s">
        <v>215</v>
      </c>
    </row>
    <row r="18" spans="1:14">
      <c r="A18" s="149" t="s">
        <v>167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4">
      <c r="A19" s="151" t="s">
        <v>11</v>
      </c>
      <c r="B19" s="247">
        <v>241.2</v>
      </c>
      <c r="C19" s="247">
        <v>241.2</v>
      </c>
      <c r="D19" s="247">
        <v>241.2</v>
      </c>
      <c r="E19" s="247">
        <v>241.2</v>
      </c>
      <c r="F19" s="247">
        <v>241.2</v>
      </c>
      <c r="G19" s="247">
        <v>241.2</v>
      </c>
      <c r="H19" s="247">
        <v>241.2</v>
      </c>
      <c r="I19" s="247">
        <v>241.2</v>
      </c>
      <c r="J19" s="247">
        <v>241.2</v>
      </c>
      <c r="K19" s="247">
        <v>241.2</v>
      </c>
      <c r="L19" s="247">
        <v>241.2</v>
      </c>
      <c r="M19" s="247">
        <v>241.2</v>
      </c>
      <c r="N19" s="247">
        <v>241.2</v>
      </c>
    </row>
    <row r="20" spans="1:14">
      <c r="A20" s="151" t="s">
        <v>171</v>
      </c>
      <c r="B20" s="247">
        <v>822.9</v>
      </c>
      <c r="C20" s="247">
        <v>822.9</v>
      </c>
      <c r="D20" s="247">
        <v>822.9</v>
      </c>
      <c r="E20" s="247">
        <v>822.9</v>
      </c>
      <c r="F20" s="247">
        <v>822.9</v>
      </c>
      <c r="G20" s="247">
        <v>822.9</v>
      </c>
      <c r="H20" s="247">
        <v>822.9</v>
      </c>
      <c r="I20" s="247">
        <v>822.9</v>
      </c>
      <c r="J20" s="247">
        <v>822.9</v>
      </c>
      <c r="K20" s="247">
        <v>822.9</v>
      </c>
      <c r="L20" s="247">
        <v>822.9</v>
      </c>
      <c r="M20" s="247">
        <v>822.9</v>
      </c>
      <c r="N20" s="247">
        <v>822.9</v>
      </c>
    </row>
    <row r="21" spans="1:14">
      <c r="A21" s="151" t="s">
        <v>23</v>
      </c>
      <c r="B21" s="247">
        <v>10.523</v>
      </c>
      <c r="C21" s="247">
        <v>10.523</v>
      </c>
      <c r="D21" s="247">
        <v>10.523</v>
      </c>
      <c r="E21" s="247">
        <v>10.523</v>
      </c>
      <c r="F21" s="247">
        <v>10.523</v>
      </c>
      <c r="G21" s="247">
        <v>10.523</v>
      </c>
      <c r="H21" s="247">
        <v>10.523</v>
      </c>
      <c r="I21" s="247">
        <v>10.523</v>
      </c>
      <c r="J21" s="247">
        <v>10.523</v>
      </c>
      <c r="K21" s="247">
        <v>10.523</v>
      </c>
      <c r="L21" s="247">
        <v>10.523</v>
      </c>
      <c r="M21" s="247">
        <v>10.523</v>
      </c>
      <c r="N21" s="247">
        <v>10.523</v>
      </c>
    </row>
    <row r="22" spans="1:14">
      <c r="A22" s="151" t="s">
        <v>5</v>
      </c>
      <c r="B22" s="247">
        <v>3.5625</v>
      </c>
      <c r="C22" s="247">
        <v>3.5625</v>
      </c>
      <c r="D22" s="247">
        <v>3.5625</v>
      </c>
      <c r="E22" s="247">
        <v>3.5625</v>
      </c>
      <c r="F22" s="247">
        <v>3.5625</v>
      </c>
      <c r="G22" s="247">
        <v>3.5625</v>
      </c>
      <c r="H22" s="247">
        <v>3.5625</v>
      </c>
      <c r="I22" s="247">
        <v>3.5625</v>
      </c>
      <c r="J22" s="247">
        <v>3.5625</v>
      </c>
      <c r="K22" s="247">
        <v>3.5625</v>
      </c>
      <c r="L22" s="247">
        <v>3.5625</v>
      </c>
      <c r="M22" s="247">
        <v>3.5625</v>
      </c>
      <c r="N22" s="247">
        <v>3.5625</v>
      </c>
    </row>
    <row r="23" spans="1:14">
      <c r="A23" s="151" t="s">
        <v>172</v>
      </c>
      <c r="B23" s="247">
        <v>139.4</v>
      </c>
      <c r="C23" s="247">
        <v>139.4</v>
      </c>
      <c r="D23" s="247">
        <v>139.4</v>
      </c>
      <c r="E23" s="247">
        <v>139.4</v>
      </c>
      <c r="F23" s="247">
        <v>139.4</v>
      </c>
      <c r="G23" s="247">
        <v>139.4</v>
      </c>
      <c r="H23" s="247">
        <v>139.4</v>
      </c>
      <c r="I23" s="247">
        <v>139.4</v>
      </c>
      <c r="J23" s="247">
        <v>139.4</v>
      </c>
      <c r="K23" s="247">
        <v>139.4</v>
      </c>
      <c r="L23" s="247">
        <v>139.4</v>
      </c>
      <c r="M23" s="247">
        <v>139.4</v>
      </c>
      <c r="N23" s="247">
        <v>139.4</v>
      </c>
    </row>
    <row r="24" spans="1:14">
      <c r="A24" s="151" t="s">
        <v>168</v>
      </c>
      <c r="B24" s="247">
        <v>7.9160000000000004</v>
      </c>
      <c r="C24" s="247">
        <v>7.9160000000000004</v>
      </c>
      <c r="D24" s="247">
        <v>7.9160000000000004</v>
      </c>
      <c r="E24" s="247">
        <v>7.9160000000000004</v>
      </c>
      <c r="F24" s="247">
        <v>7.9160000000000004</v>
      </c>
      <c r="G24" s="247">
        <v>7.9160000000000004</v>
      </c>
      <c r="H24" s="247">
        <v>7.9160000000000004</v>
      </c>
      <c r="I24" s="247">
        <v>7.9160000000000004</v>
      </c>
      <c r="J24" s="247">
        <v>7.9160000000000004</v>
      </c>
      <c r="K24" s="247">
        <v>7.9160000000000004</v>
      </c>
      <c r="L24" s="247">
        <v>7.9160000000000004</v>
      </c>
      <c r="M24" s="247">
        <v>7.9160000000000004</v>
      </c>
      <c r="N24" s="247">
        <v>7.9160000000000004</v>
      </c>
    </row>
    <row r="25" spans="1:14">
      <c r="A25" s="151" t="s">
        <v>173</v>
      </c>
      <c r="B25" s="247">
        <v>37.4</v>
      </c>
      <c r="C25" s="247">
        <v>37.4</v>
      </c>
      <c r="D25" s="247">
        <v>37.4</v>
      </c>
      <c r="E25" s="247">
        <v>37.4</v>
      </c>
      <c r="F25" s="247">
        <v>37.4</v>
      </c>
      <c r="G25" s="247">
        <v>37.4</v>
      </c>
      <c r="H25" s="247">
        <v>37.4</v>
      </c>
      <c r="I25" s="247">
        <v>37.4</v>
      </c>
      <c r="J25" s="247">
        <v>37.4</v>
      </c>
      <c r="K25" s="247">
        <v>37.4</v>
      </c>
      <c r="L25" s="247">
        <v>37.4</v>
      </c>
      <c r="M25" s="247">
        <v>37.4</v>
      </c>
      <c r="N25" s="247">
        <v>37.4</v>
      </c>
    </row>
    <row r="26" spans="1:14">
      <c r="A26" s="151" t="s">
        <v>174</v>
      </c>
      <c r="B26" s="247">
        <v>37.4</v>
      </c>
      <c r="C26" s="247">
        <v>37.4</v>
      </c>
      <c r="D26" s="247">
        <v>37.4</v>
      </c>
      <c r="E26" s="247">
        <v>37.4</v>
      </c>
      <c r="F26" s="247">
        <v>37.4</v>
      </c>
      <c r="G26" s="247">
        <v>37.4</v>
      </c>
      <c r="H26" s="247">
        <v>37.4</v>
      </c>
      <c r="I26" s="247">
        <v>37.4</v>
      </c>
      <c r="J26" s="247">
        <v>37.4</v>
      </c>
      <c r="K26" s="247">
        <v>37.4</v>
      </c>
      <c r="L26" s="247">
        <v>37.4</v>
      </c>
      <c r="M26" s="247">
        <v>37.4</v>
      </c>
      <c r="N26" s="247">
        <v>37.4</v>
      </c>
    </row>
    <row r="27" spans="1:14">
      <c r="A27" s="151" t="s">
        <v>169</v>
      </c>
      <c r="B27" s="247">
        <v>571.22901200000001</v>
      </c>
      <c r="C27" s="247">
        <v>572.74898199999996</v>
      </c>
      <c r="D27" s="247">
        <v>586.30163400000004</v>
      </c>
      <c r="E27" s="247">
        <v>590.18613900000003</v>
      </c>
      <c r="F27" s="247">
        <v>592.35638900000004</v>
      </c>
      <c r="G27" s="247">
        <v>594.57455400000003</v>
      </c>
      <c r="H27" s="247">
        <v>596.47224400000005</v>
      </c>
      <c r="I27" s="247">
        <v>598.56418399999995</v>
      </c>
      <c r="J27" s="247">
        <v>653.96743700000002</v>
      </c>
      <c r="K27" s="247">
        <v>657.21316200000001</v>
      </c>
      <c r="L27" s="247">
        <v>675.80371100000002</v>
      </c>
      <c r="M27" s="247">
        <v>678.21059100000002</v>
      </c>
      <c r="N27" s="247">
        <v>678.19099100000005</v>
      </c>
    </row>
    <row r="28" spans="1:14">
      <c r="A28" s="151" t="s">
        <v>170</v>
      </c>
      <c r="B28" s="247">
        <v>5.0000000000000001E-3</v>
      </c>
      <c r="C28" s="247">
        <v>5.0000000000000001E-3</v>
      </c>
      <c r="D28" s="247">
        <v>5.0000000000000001E-3</v>
      </c>
      <c r="E28" s="247">
        <v>5.0000000000000001E-3</v>
      </c>
      <c r="F28" s="247">
        <v>5.0000000000000001E-3</v>
      </c>
      <c r="G28" s="247">
        <v>5.0000000000000001E-3</v>
      </c>
      <c r="H28" s="247">
        <v>5.0000000000000001E-3</v>
      </c>
      <c r="I28" s="247">
        <v>5.0000000000000001E-3</v>
      </c>
      <c r="J28" s="247">
        <v>5.0000000000000001E-3</v>
      </c>
      <c r="K28" s="247">
        <v>5.0000000000000001E-3</v>
      </c>
      <c r="L28" s="247">
        <v>5.0000000000000001E-3</v>
      </c>
      <c r="M28" s="247">
        <v>5.0000000000000001E-3</v>
      </c>
      <c r="N28" s="247">
        <v>5.0000000000000001E-3</v>
      </c>
    </row>
    <row r="29" spans="1:14">
      <c r="A29" s="151" t="s">
        <v>175</v>
      </c>
      <c r="B29" s="247">
        <v>591.6</v>
      </c>
      <c r="C29" s="247">
        <v>591.6</v>
      </c>
      <c r="D29" s="247">
        <v>591.6</v>
      </c>
      <c r="E29" s="247">
        <v>591.6</v>
      </c>
      <c r="F29" s="247">
        <v>591.6</v>
      </c>
      <c r="G29" s="247">
        <v>591.6</v>
      </c>
      <c r="H29" s="247">
        <v>591.6</v>
      </c>
      <c r="I29" s="247">
        <v>591.6</v>
      </c>
      <c r="J29" s="247">
        <v>591.6</v>
      </c>
      <c r="K29" s="247">
        <v>591.6</v>
      </c>
      <c r="L29" s="247">
        <v>591.6</v>
      </c>
      <c r="M29" s="247">
        <v>591.6</v>
      </c>
      <c r="N29" s="247">
        <v>591.6</v>
      </c>
    </row>
    <row r="30" spans="1:14">
      <c r="A30" s="151" t="s">
        <v>121</v>
      </c>
      <c r="B30" s="247">
        <v>1.2</v>
      </c>
      <c r="C30" s="247">
        <v>1.2</v>
      </c>
      <c r="D30" s="247">
        <v>1.2</v>
      </c>
      <c r="E30" s="247">
        <v>1.2</v>
      </c>
      <c r="F30" s="247">
        <v>1.2</v>
      </c>
      <c r="G30" s="247">
        <v>1.2</v>
      </c>
      <c r="H30" s="247">
        <v>1.2</v>
      </c>
      <c r="I30" s="247">
        <v>1.2</v>
      </c>
      <c r="J30" s="247">
        <v>1.2</v>
      </c>
      <c r="K30" s="247">
        <v>1.2</v>
      </c>
      <c r="L30" s="247">
        <v>1.2</v>
      </c>
      <c r="M30" s="247">
        <v>1.2</v>
      </c>
      <c r="N30" s="247">
        <v>1.2</v>
      </c>
    </row>
    <row r="31" spans="1:14">
      <c r="A31" s="248" t="s">
        <v>20</v>
      </c>
      <c r="B31" s="249">
        <v>2464.3355120000001</v>
      </c>
      <c r="C31" s="249">
        <v>2465.8554819999999</v>
      </c>
      <c r="D31" s="249">
        <v>2479.4081339999998</v>
      </c>
      <c r="E31" s="249">
        <v>2483.2926389999998</v>
      </c>
      <c r="F31" s="249">
        <v>2485.4628889999999</v>
      </c>
      <c r="G31" s="249">
        <v>2487.6810540000001</v>
      </c>
      <c r="H31" s="249">
        <v>2489.5787439999999</v>
      </c>
      <c r="I31" s="249">
        <v>2491.6706840000002</v>
      </c>
      <c r="J31" s="249">
        <v>2547.0739370000001</v>
      </c>
      <c r="K31" s="249">
        <v>2550.3196619999999</v>
      </c>
      <c r="L31" s="249">
        <v>2568.9102109999999</v>
      </c>
      <c r="M31" s="249">
        <v>2571.3170909999999</v>
      </c>
      <c r="N31" s="249">
        <v>2571.2974909999998</v>
      </c>
    </row>
    <row r="33" spans="1:15">
      <c r="A33" s="213" t="s">
        <v>176</v>
      </c>
    </row>
    <row r="34" spans="1:15">
      <c r="A34" s="226" t="s">
        <v>59</v>
      </c>
      <c r="B34" s="226" t="str">
        <f>MID(UPPER(TEXT(B6,"mmm")),6,1)</f>
        <v>J</v>
      </c>
      <c r="C34" s="226" t="str">
        <f t="shared" ref="C34:N34" si="0">MID(UPPER(TEXT(C6,"mmm")),6,1)</f>
        <v>A</v>
      </c>
      <c r="D34" s="226" t="str">
        <f t="shared" si="0"/>
        <v>S</v>
      </c>
      <c r="E34" s="226" t="str">
        <f t="shared" si="0"/>
        <v>O</v>
      </c>
      <c r="F34" s="226" t="str">
        <f t="shared" si="0"/>
        <v>N</v>
      </c>
      <c r="G34" s="226" t="str">
        <f t="shared" si="0"/>
        <v>D</v>
      </c>
      <c r="H34" s="226" t="str">
        <f t="shared" si="0"/>
        <v>E</v>
      </c>
      <c r="I34" s="226" t="str">
        <f t="shared" si="0"/>
        <v>F</v>
      </c>
      <c r="J34" s="226" t="str">
        <f t="shared" si="0"/>
        <v>M</v>
      </c>
      <c r="K34" s="226" t="str">
        <f t="shared" si="0"/>
        <v>A</v>
      </c>
      <c r="L34" s="226" t="str">
        <f t="shared" si="0"/>
        <v>M</v>
      </c>
      <c r="M34" s="226" t="str">
        <f t="shared" si="0"/>
        <v>J</v>
      </c>
      <c r="N34" s="226" t="str">
        <f t="shared" si="0"/>
        <v>J</v>
      </c>
    </row>
    <row r="35" spans="1:15">
      <c r="A35" s="227" t="s">
        <v>177</v>
      </c>
      <c r="B35" s="228">
        <f>B13/B31*100</f>
        <v>7.9150718743527957</v>
      </c>
      <c r="C35" s="228">
        <f t="shared" ref="C35:M35" si="1">C13/C31*100</f>
        <v>7.9718336469809383</v>
      </c>
      <c r="D35" s="228">
        <f t="shared" si="1"/>
        <v>8.0949338774735189</v>
      </c>
      <c r="E35" s="228">
        <f t="shared" si="1"/>
        <v>8.3087651757018719</v>
      </c>
      <c r="F35" s="228">
        <f t="shared" si="1"/>
        <v>8.3946618122287333</v>
      </c>
      <c r="G35" s="228">
        <f t="shared" si="1"/>
        <v>8.4803624106388344</v>
      </c>
      <c r="H35" s="228">
        <f t="shared" si="1"/>
        <v>8.5501235706244447</v>
      </c>
      <c r="I35" s="228">
        <f t="shared" si="1"/>
        <v>8.6309158100605554</v>
      </c>
      <c r="J35" s="228">
        <f t="shared" si="1"/>
        <v>8.5445596548460152</v>
      </c>
      <c r="K35" s="228">
        <f t="shared" si="1"/>
        <v>8.6609525970866326</v>
      </c>
      <c r="L35" s="228">
        <f t="shared" si="1"/>
        <v>8.6679762121121495</v>
      </c>
      <c r="M35" s="228">
        <f t="shared" si="1"/>
        <v>8.7534675045645702</v>
      </c>
      <c r="N35" s="228">
        <f>N13/N31*100</f>
        <v>8.7535342288404241</v>
      </c>
    </row>
    <row r="37" spans="1:15">
      <c r="A37" s="246" t="s">
        <v>156</v>
      </c>
      <c r="B37" s="246" t="s">
        <v>50</v>
      </c>
    </row>
    <row r="38" spans="1:15">
      <c r="A38" s="149" t="s">
        <v>61</v>
      </c>
      <c r="B38" s="285" t="s">
        <v>157</v>
      </c>
      <c r="C38" s="284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284"/>
    </row>
    <row r="39" spans="1:15">
      <c r="A39" s="149" t="s">
        <v>59</v>
      </c>
      <c r="B39" s="182" t="s">
        <v>158</v>
      </c>
      <c r="C39" s="182" t="s">
        <v>159</v>
      </c>
      <c r="D39" s="182" t="s">
        <v>160</v>
      </c>
      <c r="E39" s="182" t="s">
        <v>161</v>
      </c>
      <c r="F39" s="182" t="s">
        <v>162</v>
      </c>
      <c r="G39" s="182" t="s">
        <v>163</v>
      </c>
      <c r="H39" s="182" t="s">
        <v>164</v>
      </c>
      <c r="I39" s="182" t="s">
        <v>165</v>
      </c>
      <c r="J39" s="182" t="s">
        <v>166</v>
      </c>
      <c r="K39" s="182" t="s">
        <v>201</v>
      </c>
      <c r="L39" s="182" t="s">
        <v>204</v>
      </c>
      <c r="M39" s="182" t="s">
        <v>206</v>
      </c>
      <c r="N39" s="182" t="s">
        <v>215</v>
      </c>
    </row>
    <row r="40" spans="1:15">
      <c r="A40" s="149" t="s">
        <v>167</v>
      </c>
      <c r="B40" s="150"/>
      <c r="C40" s="150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</row>
    <row r="41" spans="1:15">
      <c r="A41" s="151" t="s">
        <v>5</v>
      </c>
      <c r="B41" s="247">
        <v>13.49</v>
      </c>
      <c r="C41" s="247">
        <v>13.49</v>
      </c>
      <c r="D41" s="247">
        <v>13.49</v>
      </c>
      <c r="E41" s="247">
        <v>18.11</v>
      </c>
      <c r="F41" s="247">
        <v>18.11</v>
      </c>
      <c r="G41" s="247">
        <v>18.11</v>
      </c>
      <c r="H41" s="247">
        <v>18.11</v>
      </c>
      <c r="I41" s="247">
        <v>18.11</v>
      </c>
      <c r="J41" s="247">
        <v>18.11</v>
      </c>
      <c r="K41" s="247">
        <v>18.11</v>
      </c>
      <c r="L41" s="247">
        <v>18.11</v>
      </c>
      <c r="M41" s="247">
        <v>18.11</v>
      </c>
      <c r="N41" s="247">
        <v>18.11</v>
      </c>
    </row>
    <row r="42" spans="1:15">
      <c r="A42" s="151" t="s">
        <v>12</v>
      </c>
      <c r="B42" s="247">
        <v>1.4999999999999999E-2</v>
      </c>
      <c r="C42" s="247">
        <v>1.4999999999999999E-2</v>
      </c>
      <c r="D42" s="247">
        <v>1.4999999999999999E-2</v>
      </c>
      <c r="E42" s="247">
        <v>1.4999999999999999E-2</v>
      </c>
      <c r="F42" s="247">
        <v>1.4999999999999999E-2</v>
      </c>
      <c r="G42" s="247">
        <v>1.4999999999999999E-2</v>
      </c>
      <c r="H42" s="247">
        <v>1.4999999999999999E-2</v>
      </c>
      <c r="I42" s="247">
        <v>1.4999999999999999E-2</v>
      </c>
      <c r="J42" s="247">
        <v>1.4999999999999999E-2</v>
      </c>
      <c r="K42" s="247">
        <v>1.4999999999999999E-2</v>
      </c>
      <c r="L42" s="247">
        <v>1.4999999999999999E-2</v>
      </c>
      <c r="M42" s="247">
        <v>1.4999999999999999E-2</v>
      </c>
      <c r="N42" s="247">
        <v>1.4999999999999999E-2</v>
      </c>
    </row>
    <row r="43" spans="1:15">
      <c r="A43" s="151" t="s">
        <v>168</v>
      </c>
      <c r="B43" s="247">
        <v>5.0119999999999996</v>
      </c>
      <c r="C43" s="247">
        <v>5.0119999999999996</v>
      </c>
      <c r="D43" s="247">
        <v>5.0119999999999996</v>
      </c>
      <c r="E43" s="247">
        <v>5.0119999999999996</v>
      </c>
      <c r="F43" s="247">
        <v>5.0119999999999996</v>
      </c>
      <c r="G43" s="247">
        <v>5.0119999999999996</v>
      </c>
      <c r="H43" s="247">
        <v>5.0119999999999996</v>
      </c>
      <c r="I43" s="247">
        <v>5.0119999999999996</v>
      </c>
      <c r="J43" s="247">
        <v>5.0119999999999996</v>
      </c>
      <c r="K43" s="247">
        <v>5.0119999999999996</v>
      </c>
      <c r="L43" s="247">
        <v>5.0119999999999996</v>
      </c>
      <c r="M43" s="247">
        <v>5.0119999999999996</v>
      </c>
      <c r="N43" s="247">
        <v>5.0119999999999996</v>
      </c>
    </row>
    <row r="44" spans="1:15">
      <c r="A44" s="151" t="s">
        <v>169</v>
      </c>
      <c r="B44" s="247">
        <v>142.71951200000001</v>
      </c>
      <c r="C44" s="247">
        <v>145.09858700000001</v>
      </c>
      <c r="D44" s="247">
        <v>148.07829699999999</v>
      </c>
      <c r="E44" s="247">
        <v>150.12040200000001</v>
      </c>
      <c r="F44" s="247">
        <v>152.36948699999999</v>
      </c>
      <c r="G44" s="247">
        <v>154.62613899999999</v>
      </c>
      <c r="H44" s="247">
        <v>156.39453900000001</v>
      </c>
      <c r="I44" s="247">
        <v>159.022729</v>
      </c>
      <c r="J44" s="247">
        <v>161.05822900000001</v>
      </c>
      <c r="K44" s="247">
        <v>163.05639400000001</v>
      </c>
      <c r="L44" s="247">
        <v>164.49396400000001</v>
      </c>
      <c r="M44" s="247">
        <v>166.118154</v>
      </c>
      <c r="N44" s="247">
        <v>166.118154</v>
      </c>
    </row>
    <row r="45" spans="1:15">
      <c r="A45" s="151" t="s">
        <v>170</v>
      </c>
      <c r="B45" s="247">
        <v>4.2999999999999997E-2</v>
      </c>
      <c r="C45" s="247">
        <v>4.2999999999999997E-2</v>
      </c>
      <c r="D45" s="247">
        <v>5.2999999999999999E-2</v>
      </c>
      <c r="E45" s="247">
        <v>5.2999999999999999E-2</v>
      </c>
      <c r="F45" s="247">
        <v>5.2999999999999999E-2</v>
      </c>
      <c r="G45" s="247">
        <v>7.2900000000000006E-2</v>
      </c>
      <c r="H45" s="247">
        <v>7.2900000000000006E-2</v>
      </c>
      <c r="I45" s="247">
        <v>7.2900000000000006E-2</v>
      </c>
      <c r="J45" s="247">
        <v>7.2900000000000006E-2</v>
      </c>
      <c r="K45" s="247">
        <v>7.2900000000000006E-2</v>
      </c>
      <c r="L45" s="247">
        <v>7.2900000000000006E-2</v>
      </c>
      <c r="M45" s="247">
        <v>7.2900000000000006E-2</v>
      </c>
      <c r="N45" s="247">
        <v>7.2900000000000006E-2</v>
      </c>
    </row>
    <row r="46" spans="1:15">
      <c r="A46" s="248" t="s">
        <v>20</v>
      </c>
      <c r="B46" s="249">
        <v>161.27951200000001</v>
      </c>
      <c r="C46" s="249">
        <v>163.65858700000001</v>
      </c>
      <c r="D46" s="249">
        <v>166.64829700000001</v>
      </c>
      <c r="E46" s="249">
        <v>173.31040200000001</v>
      </c>
      <c r="F46" s="249">
        <v>175.55948699999999</v>
      </c>
      <c r="G46" s="249">
        <v>177.836039</v>
      </c>
      <c r="H46" s="249">
        <v>179.60443900000001</v>
      </c>
      <c r="I46" s="249">
        <v>182.232629</v>
      </c>
      <c r="J46" s="249">
        <v>184.26812899999999</v>
      </c>
      <c r="K46" s="249">
        <v>186.26629399999999</v>
      </c>
      <c r="L46" s="249">
        <v>187.70386400000001</v>
      </c>
      <c r="M46" s="249">
        <v>189.32805400000001</v>
      </c>
      <c r="N46" s="249">
        <v>189.32805400000001</v>
      </c>
      <c r="O46" s="225">
        <f>(+N46/B46-1)*100</f>
        <v>17.391261699750181</v>
      </c>
    </row>
    <row r="48" spans="1:15">
      <c r="A48" s="246" t="s">
        <v>156</v>
      </c>
      <c r="B48" s="246" t="s">
        <v>50</v>
      </c>
    </row>
    <row r="49" spans="1:14">
      <c r="A49" s="149" t="s">
        <v>61</v>
      </c>
      <c r="B49" s="285" t="s">
        <v>157</v>
      </c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284"/>
    </row>
    <row r="50" spans="1:14">
      <c r="A50" s="149" t="s">
        <v>59</v>
      </c>
      <c r="B50" s="182" t="s">
        <v>158</v>
      </c>
      <c r="C50" s="182" t="s">
        <v>159</v>
      </c>
      <c r="D50" s="182" t="s">
        <v>160</v>
      </c>
      <c r="E50" s="182" t="s">
        <v>161</v>
      </c>
      <c r="F50" s="182" t="s">
        <v>162</v>
      </c>
      <c r="G50" s="182" t="s">
        <v>163</v>
      </c>
      <c r="H50" s="182" t="s">
        <v>164</v>
      </c>
      <c r="I50" s="182" t="s">
        <v>165</v>
      </c>
      <c r="J50" s="182" t="s">
        <v>166</v>
      </c>
      <c r="K50" s="182" t="s">
        <v>201</v>
      </c>
      <c r="L50" s="182" t="s">
        <v>204</v>
      </c>
      <c r="M50" s="182" t="s">
        <v>206</v>
      </c>
      <c r="N50" s="182" t="s">
        <v>215</v>
      </c>
    </row>
    <row r="51" spans="1:14">
      <c r="A51" s="149" t="s">
        <v>167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</row>
    <row r="52" spans="1:14">
      <c r="A52" s="151" t="s">
        <v>171</v>
      </c>
      <c r="B52" s="247">
        <v>865.4</v>
      </c>
      <c r="C52" s="247">
        <v>865.4</v>
      </c>
      <c r="D52" s="247">
        <v>865.4</v>
      </c>
      <c r="E52" s="247">
        <v>865.4</v>
      </c>
      <c r="F52" s="247">
        <v>865.4</v>
      </c>
      <c r="G52" s="247">
        <v>865.4</v>
      </c>
      <c r="H52" s="247">
        <v>865.4</v>
      </c>
      <c r="I52" s="247">
        <v>865.4</v>
      </c>
      <c r="J52" s="247">
        <v>865.4</v>
      </c>
      <c r="K52" s="247">
        <v>865.4</v>
      </c>
      <c r="L52" s="247">
        <v>865.4</v>
      </c>
      <c r="M52" s="247">
        <v>865.4</v>
      </c>
      <c r="N52" s="247">
        <v>865.4</v>
      </c>
    </row>
    <row r="53" spans="1:14">
      <c r="A53" s="151" t="s">
        <v>23</v>
      </c>
      <c r="B53" s="247">
        <v>38.200000000000003</v>
      </c>
      <c r="C53" s="247">
        <v>38.200000000000003</v>
      </c>
      <c r="D53" s="247">
        <v>38.200000000000003</v>
      </c>
      <c r="E53" s="247">
        <v>38.200000000000003</v>
      </c>
      <c r="F53" s="247">
        <v>38.200000000000003</v>
      </c>
      <c r="G53" s="247">
        <v>38.200000000000003</v>
      </c>
      <c r="H53" s="247">
        <v>38.200000000000003</v>
      </c>
      <c r="I53" s="247">
        <v>38.200000000000003</v>
      </c>
      <c r="J53" s="247">
        <v>38.200000000000003</v>
      </c>
      <c r="K53" s="247">
        <v>38.200000000000003</v>
      </c>
      <c r="L53" s="247">
        <v>38.200000000000003</v>
      </c>
      <c r="M53" s="247">
        <v>38.200000000000003</v>
      </c>
      <c r="N53" s="247">
        <v>38.200000000000003</v>
      </c>
    </row>
    <row r="54" spans="1:14">
      <c r="A54" s="151" t="s">
        <v>5</v>
      </c>
      <c r="B54" s="247">
        <v>657.86</v>
      </c>
      <c r="C54" s="247">
        <v>657.86</v>
      </c>
      <c r="D54" s="247">
        <v>660.21</v>
      </c>
      <c r="E54" s="247">
        <v>660.21</v>
      </c>
      <c r="F54" s="247">
        <v>660.21</v>
      </c>
      <c r="G54" s="247">
        <v>678.43499999999995</v>
      </c>
      <c r="H54" s="247">
        <v>677.53499999999997</v>
      </c>
      <c r="I54" s="247">
        <v>677.53499999999997</v>
      </c>
      <c r="J54" s="247">
        <v>677.53499999999997</v>
      </c>
      <c r="K54" s="247">
        <v>677.53499999999997</v>
      </c>
      <c r="L54" s="247">
        <v>677.53499999999997</v>
      </c>
      <c r="M54" s="247">
        <v>677.53499999999997</v>
      </c>
      <c r="N54" s="247">
        <v>677.53499999999997</v>
      </c>
    </row>
    <row r="55" spans="1:14">
      <c r="A55" s="151" t="s">
        <v>12</v>
      </c>
      <c r="B55" s="247">
        <v>0.77800000000000002</v>
      </c>
      <c r="C55" s="247">
        <v>0.77800000000000002</v>
      </c>
      <c r="D55" s="247">
        <v>0.77800000000000002</v>
      </c>
      <c r="E55" s="247">
        <v>0.77800000000000002</v>
      </c>
      <c r="F55" s="247">
        <v>0.77800000000000002</v>
      </c>
      <c r="G55" s="247">
        <v>0.77800000000000002</v>
      </c>
      <c r="H55" s="247">
        <v>0.77800000000000002</v>
      </c>
      <c r="I55" s="247">
        <v>0.77800000000000002</v>
      </c>
      <c r="J55" s="247">
        <v>0.77800000000000002</v>
      </c>
      <c r="K55" s="247">
        <v>0.77800000000000002</v>
      </c>
      <c r="L55" s="247">
        <v>0.77800000000000002</v>
      </c>
      <c r="M55" s="247">
        <v>0.77800000000000002</v>
      </c>
      <c r="N55" s="247">
        <v>0.77800000000000002</v>
      </c>
    </row>
    <row r="56" spans="1:14">
      <c r="A56" s="151" t="s">
        <v>6</v>
      </c>
      <c r="B56" s="247">
        <v>11.32</v>
      </c>
      <c r="C56" s="247">
        <v>11.32</v>
      </c>
      <c r="D56" s="247">
        <v>11.32</v>
      </c>
      <c r="E56" s="247">
        <v>11.32</v>
      </c>
      <c r="F56" s="247">
        <v>11.32</v>
      </c>
      <c r="G56" s="247">
        <v>11.32</v>
      </c>
      <c r="H56" s="247">
        <v>11.32</v>
      </c>
      <c r="I56" s="247">
        <v>11.32</v>
      </c>
      <c r="J56" s="247">
        <v>11.32</v>
      </c>
      <c r="K56" s="247">
        <v>11.32</v>
      </c>
      <c r="L56" s="247">
        <v>11.32</v>
      </c>
      <c r="M56" s="247">
        <v>11.32</v>
      </c>
      <c r="N56" s="247">
        <v>11.32</v>
      </c>
    </row>
    <row r="57" spans="1:14">
      <c r="A57" s="151" t="s">
        <v>172</v>
      </c>
      <c r="B57" s="247">
        <v>487.64</v>
      </c>
      <c r="C57" s="247">
        <v>487.64</v>
      </c>
      <c r="D57" s="247">
        <v>487.64</v>
      </c>
      <c r="E57" s="247">
        <v>487.64</v>
      </c>
      <c r="F57" s="247">
        <v>487.64</v>
      </c>
      <c r="G57" s="247">
        <v>487.64</v>
      </c>
      <c r="H57" s="247">
        <v>487.64</v>
      </c>
      <c r="I57" s="247">
        <v>487.64</v>
      </c>
      <c r="J57" s="247">
        <v>487.64</v>
      </c>
      <c r="K57" s="247">
        <v>487.64</v>
      </c>
      <c r="L57" s="247">
        <v>487.64</v>
      </c>
      <c r="M57" s="247">
        <v>487.64</v>
      </c>
      <c r="N57" s="247">
        <v>487.64</v>
      </c>
    </row>
    <row r="58" spans="1:14">
      <c r="A58" s="151" t="s">
        <v>168</v>
      </c>
      <c r="B58" s="247">
        <v>8.8059999999999992</v>
      </c>
      <c r="C58" s="247">
        <v>8.8059999999999992</v>
      </c>
      <c r="D58" s="247">
        <v>8.8059999999999992</v>
      </c>
      <c r="E58" s="247">
        <v>8.8059999999999992</v>
      </c>
      <c r="F58" s="247">
        <v>8.8059999999999992</v>
      </c>
      <c r="G58" s="247">
        <v>8.8059999999999992</v>
      </c>
      <c r="H58" s="247">
        <v>8.8059999999999992</v>
      </c>
      <c r="I58" s="247">
        <v>8.8059999999999992</v>
      </c>
      <c r="J58" s="247">
        <v>8.8059999999999992</v>
      </c>
      <c r="K58" s="247">
        <v>8.8059999999999992</v>
      </c>
      <c r="L58" s="247">
        <v>8.8059999999999992</v>
      </c>
      <c r="M58" s="247">
        <v>8.8059999999999992</v>
      </c>
      <c r="N58" s="247">
        <v>8.8059999999999992</v>
      </c>
    </row>
    <row r="59" spans="1:14">
      <c r="A59" s="151" t="s">
        <v>169</v>
      </c>
      <c r="B59" s="247">
        <v>457.129707</v>
      </c>
      <c r="C59" s="247">
        <v>461.11478199999999</v>
      </c>
      <c r="D59" s="247">
        <v>471.97499199999999</v>
      </c>
      <c r="E59" s="247">
        <v>474.01109700000001</v>
      </c>
      <c r="F59" s="247">
        <v>487.560182</v>
      </c>
      <c r="G59" s="247">
        <v>489.81683399999997</v>
      </c>
      <c r="H59" s="247">
        <v>491.57323400000001</v>
      </c>
      <c r="I59" s="247">
        <v>493.18642399999999</v>
      </c>
      <c r="J59" s="247">
        <v>495.221924</v>
      </c>
      <c r="K59" s="247">
        <v>497.22008899999997</v>
      </c>
      <c r="L59" s="247">
        <v>500.63765899999999</v>
      </c>
      <c r="M59" s="247">
        <v>502.26184899999998</v>
      </c>
      <c r="N59" s="247">
        <v>501.55402900000001</v>
      </c>
    </row>
    <row r="60" spans="1:14">
      <c r="A60" s="151" t="s">
        <v>170</v>
      </c>
      <c r="B60" s="247">
        <v>4.2999999999999997E-2</v>
      </c>
      <c r="C60" s="247">
        <v>4.2999999999999997E-2</v>
      </c>
      <c r="D60" s="247">
        <v>5.2999999999999999E-2</v>
      </c>
      <c r="E60" s="247">
        <v>5.2999999999999999E-2</v>
      </c>
      <c r="F60" s="247">
        <v>5.2999999999999999E-2</v>
      </c>
      <c r="G60" s="247">
        <v>7.2900000000000006E-2</v>
      </c>
      <c r="H60" s="247">
        <v>7.2900000000000006E-2</v>
      </c>
      <c r="I60" s="247">
        <v>7.2900000000000006E-2</v>
      </c>
      <c r="J60" s="247">
        <v>7.2900000000000006E-2</v>
      </c>
      <c r="K60" s="247">
        <v>7.2900000000000006E-2</v>
      </c>
      <c r="L60" s="247">
        <v>7.2900000000000006E-2</v>
      </c>
      <c r="M60" s="247">
        <v>7.2900000000000006E-2</v>
      </c>
      <c r="N60" s="247">
        <v>7.2900000000000006E-2</v>
      </c>
    </row>
    <row r="61" spans="1:14">
      <c r="A61" s="151" t="s">
        <v>175</v>
      </c>
      <c r="B61" s="247">
        <v>520.75</v>
      </c>
      <c r="C61" s="247">
        <v>520.75</v>
      </c>
      <c r="D61" s="247">
        <v>520.75</v>
      </c>
      <c r="E61" s="247">
        <v>520.75</v>
      </c>
      <c r="F61" s="247">
        <v>520.75</v>
      </c>
      <c r="G61" s="247">
        <v>520.75</v>
      </c>
      <c r="H61" s="247">
        <v>520.75</v>
      </c>
      <c r="I61" s="247">
        <v>520.75</v>
      </c>
      <c r="J61" s="247">
        <v>520.75</v>
      </c>
      <c r="K61" s="247">
        <v>520.75</v>
      </c>
      <c r="L61" s="247">
        <v>520.75</v>
      </c>
      <c r="M61" s="247">
        <v>520.75</v>
      </c>
      <c r="N61" s="247">
        <v>520.75</v>
      </c>
    </row>
    <row r="62" spans="1:14">
      <c r="A62" s="151" t="s">
        <v>178</v>
      </c>
      <c r="B62" s="247">
        <v>482.64</v>
      </c>
      <c r="C62" s="247">
        <v>482.64</v>
      </c>
      <c r="D62" s="247">
        <v>482.64</v>
      </c>
      <c r="E62" s="247">
        <v>482.64</v>
      </c>
      <c r="F62" s="247">
        <v>482.64</v>
      </c>
      <c r="G62" s="247">
        <v>482.64</v>
      </c>
      <c r="H62" s="247">
        <v>482.64</v>
      </c>
      <c r="I62" s="247">
        <v>482.64</v>
      </c>
      <c r="J62" s="247">
        <v>482.64</v>
      </c>
      <c r="K62" s="247">
        <v>482.64</v>
      </c>
      <c r="L62" s="247">
        <v>482.64</v>
      </c>
      <c r="M62" s="247">
        <v>482.64</v>
      </c>
      <c r="N62" s="247">
        <v>482.64</v>
      </c>
    </row>
    <row r="63" spans="1:14">
      <c r="A63" s="151" t="s">
        <v>121</v>
      </c>
      <c r="B63" s="247">
        <v>5.08</v>
      </c>
      <c r="C63" s="247">
        <v>5.08</v>
      </c>
      <c r="D63" s="247">
        <v>5.08</v>
      </c>
      <c r="E63" s="247">
        <v>5.08</v>
      </c>
      <c r="F63" s="247">
        <v>5.08</v>
      </c>
      <c r="G63" s="247">
        <v>5.08</v>
      </c>
      <c r="H63" s="247">
        <v>5.08</v>
      </c>
      <c r="I63" s="247">
        <v>5.08</v>
      </c>
      <c r="J63" s="247">
        <v>5.08</v>
      </c>
      <c r="K63" s="247">
        <v>5.08</v>
      </c>
      <c r="L63" s="247">
        <v>5.08</v>
      </c>
      <c r="M63" s="247">
        <v>5.08</v>
      </c>
      <c r="N63" s="247">
        <v>5.08</v>
      </c>
    </row>
    <row r="64" spans="1:14">
      <c r="A64" s="248" t="s">
        <v>20</v>
      </c>
      <c r="B64" s="249">
        <v>3535.6467069999999</v>
      </c>
      <c r="C64" s="249">
        <v>3539.6317819999999</v>
      </c>
      <c r="D64" s="249">
        <v>3552.8519919999999</v>
      </c>
      <c r="E64" s="249">
        <v>3554.888097</v>
      </c>
      <c r="F64" s="249">
        <v>3568.4371820000001</v>
      </c>
      <c r="G64" s="249">
        <v>3588.9387339999998</v>
      </c>
      <c r="H64" s="249">
        <v>3589.795134</v>
      </c>
      <c r="I64" s="249">
        <v>3591.408324</v>
      </c>
      <c r="J64" s="249">
        <v>3593.4438239999999</v>
      </c>
      <c r="K64" s="249">
        <v>3595.4419889999999</v>
      </c>
      <c r="L64" s="249">
        <v>3598.859559</v>
      </c>
      <c r="M64" s="249">
        <v>3600.483749</v>
      </c>
      <c r="N64" s="249">
        <v>3599.7759289999999</v>
      </c>
    </row>
    <row r="66" spans="1:14">
      <c r="A66" s="213" t="s">
        <v>179</v>
      </c>
    </row>
    <row r="67" spans="1:14">
      <c r="A67" s="226" t="s">
        <v>59</v>
      </c>
      <c r="B67" s="226" t="str">
        <f>MID(UPPER(TEXT(B39,"mmm")),6,1)</f>
        <v>J</v>
      </c>
      <c r="C67" s="226" t="str">
        <f t="shared" ref="C67:N67" si="2">MID(UPPER(TEXT(C39,"mmm")),6,1)</f>
        <v>A</v>
      </c>
      <c r="D67" s="226" t="str">
        <f t="shared" si="2"/>
        <v>S</v>
      </c>
      <c r="E67" s="226" t="str">
        <f t="shared" si="2"/>
        <v>O</v>
      </c>
      <c r="F67" s="226" t="str">
        <f t="shared" si="2"/>
        <v>N</v>
      </c>
      <c r="G67" s="226" t="str">
        <f t="shared" si="2"/>
        <v>D</v>
      </c>
      <c r="H67" s="226" t="str">
        <f t="shared" si="2"/>
        <v>E</v>
      </c>
      <c r="I67" s="226" t="str">
        <f t="shared" si="2"/>
        <v>F</v>
      </c>
      <c r="J67" s="226" t="str">
        <f t="shared" si="2"/>
        <v>M</v>
      </c>
      <c r="K67" s="226" t="str">
        <f t="shared" si="2"/>
        <v>A</v>
      </c>
      <c r="L67" s="226" t="str">
        <f t="shared" si="2"/>
        <v>M</v>
      </c>
      <c r="M67" s="226" t="str">
        <f t="shared" si="2"/>
        <v>J</v>
      </c>
      <c r="N67" s="226" t="str">
        <f t="shared" si="2"/>
        <v>J</v>
      </c>
    </row>
    <row r="68" spans="1:14">
      <c r="A68" s="227" t="s">
        <v>177</v>
      </c>
      <c r="B68" s="228">
        <f>B46/B64*100</f>
        <v>4.5615279287009374</v>
      </c>
      <c r="C68" s="228">
        <f t="shared" ref="C68:N68" si="3">C46/C64*100</f>
        <v>4.6236048572128006</v>
      </c>
      <c r="D68" s="228">
        <f t="shared" si="3"/>
        <v>4.6905499405898139</v>
      </c>
      <c r="E68" s="228">
        <f t="shared" si="3"/>
        <v>4.8752702552369538</v>
      </c>
      <c r="F68" s="228">
        <f t="shared" si="3"/>
        <v>4.9197863951637295</v>
      </c>
      <c r="G68" s="228">
        <f t="shared" si="3"/>
        <v>4.955114928969417</v>
      </c>
      <c r="H68" s="228">
        <f t="shared" si="3"/>
        <v>5.0031946753427192</v>
      </c>
      <c r="I68" s="228">
        <f t="shared" si="3"/>
        <v>5.0741272659588565</v>
      </c>
      <c r="J68" s="228">
        <f t="shared" si="3"/>
        <v>5.127897861358079</v>
      </c>
      <c r="K68" s="228">
        <f t="shared" si="3"/>
        <v>5.1806229823723626</v>
      </c>
      <c r="L68" s="228">
        <f t="shared" si="3"/>
        <v>5.2156484831588283</v>
      </c>
      <c r="M68" s="228">
        <f t="shared" si="3"/>
        <v>5.2584060142636124</v>
      </c>
      <c r="N68" s="228">
        <f t="shared" si="3"/>
        <v>5.2594399688814635</v>
      </c>
    </row>
    <row r="70" spans="1:14">
      <c r="A70" s="213" t="s">
        <v>180</v>
      </c>
    </row>
    <row r="71" spans="1:14">
      <c r="A71" s="246" t="s">
        <v>60</v>
      </c>
      <c r="B71" s="246" t="s">
        <v>49</v>
      </c>
    </row>
    <row r="72" spans="1:14">
      <c r="A72" s="149" t="s">
        <v>59</v>
      </c>
      <c r="B72" s="285" t="s">
        <v>205</v>
      </c>
      <c r="C72" s="284"/>
    </row>
    <row r="73" spans="1:14">
      <c r="A73" s="149" t="s">
        <v>61</v>
      </c>
      <c r="B73" s="182" t="s">
        <v>181</v>
      </c>
      <c r="C73" s="182" t="s">
        <v>182</v>
      </c>
    </row>
    <row r="74" spans="1:14">
      <c r="A74" s="149" t="s">
        <v>183</v>
      </c>
      <c r="B74" s="150"/>
      <c r="C74" s="150"/>
    </row>
    <row r="75" spans="1:14">
      <c r="A75" s="151" t="s">
        <v>184</v>
      </c>
      <c r="B75" s="247">
        <v>2988.7069999999999</v>
      </c>
      <c r="C75" s="250">
        <v>1120.511</v>
      </c>
    </row>
    <row r="76" spans="1:14">
      <c r="A76" s="151" t="s">
        <v>185</v>
      </c>
      <c r="B76" s="247">
        <v>0</v>
      </c>
      <c r="C76" s="250">
        <v>0</v>
      </c>
    </row>
    <row r="77" spans="1:14">
      <c r="A77" s="151" t="s">
        <v>186</v>
      </c>
      <c r="B77" s="247">
        <v>570.66099999999994</v>
      </c>
      <c r="C77" s="250">
        <v>284.63400000000001</v>
      </c>
    </row>
    <row r="78" spans="1:14">
      <c r="A78" s="151" t="s">
        <v>187</v>
      </c>
      <c r="B78" s="247">
        <v>0</v>
      </c>
      <c r="C78" s="250">
        <v>0</v>
      </c>
    </row>
    <row r="79" spans="1:14">
      <c r="A79" s="151" t="s">
        <v>188</v>
      </c>
      <c r="B79" s="247">
        <v>30305.058710000001</v>
      </c>
      <c r="C79" s="250">
        <v>28224.526709999998</v>
      </c>
    </row>
    <row r="80" spans="1:14">
      <c r="A80" s="151" t="s">
        <v>189</v>
      </c>
      <c r="B80" s="247">
        <v>0</v>
      </c>
      <c r="C80" s="250">
        <v>0</v>
      </c>
    </row>
    <row r="81" spans="1:7">
      <c r="A81" s="213"/>
    </row>
    <row r="82" spans="1:7">
      <c r="A82" s="213"/>
      <c r="B82" s="229" t="s">
        <v>190</v>
      </c>
      <c r="C82" t="s">
        <v>191</v>
      </c>
      <c r="D82" t="s">
        <v>192</v>
      </c>
      <c r="E82" t="s">
        <v>193</v>
      </c>
    </row>
    <row r="83" spans="1:7">
      <c r="A83" t="s">
        <v>4</v>
      </c>
      <c r="B83" s="230">
        <f>B79</f>
        <v>30305.058710000001</v>
      </c>
      <c r="C83" s="228">
        <f>B83-D83</f>
        <v>2080.5320000000029</v>
      </c>
      <c r="D83" s="230">
        <f>C79</f>
        <v>28224.526709999998</v>
      </c>
      <c r="E83" s="225">
        <f>B83/B$88*100</f>
        <v>89.489359939617898</v>
      </c>
    </row>
    <row r="84" spans="1:7">
      <c r="A84" t="s">
        <v>22</v>
      </c>
      <c r="B84" s="230">
        <f>B75</f>
        <v>2988.7069999999999</v>
      </c>
      <c r="C84" s="228">
        <f>B84-D84</f>
        <v>1868.1959999999999</v>
      </c>
      <c r="D84" s="230">
        <f>C75</f>
        <v>1120.511</v>
      </c>
      <c r="E84" s="225">
        <f t="shared" ref="E84:E85" si="4">B84/B$88*100</f>
        <v>8.8255059670549496</v>
      </c>
    </row>
    <row r="85" spans="1:7">
      <c r="A85" t="s">
        <v>23</v>
      </c>
      <c r="B85" s="230">
        <f>SUM(B77:B78)</f>
        <v>570.66099999999994</v>
      </c>
      <c r="C85" s="228">
        <f>B85-D85</f>
        <v>286.02699999999993</v>
      </c>
      <c r="D85" s="230">
        <f>SUM(C77:C78)</f>
        <v>284.63400000000001</v>
      </c>
      <c r="E85" s="225">
        <f t="shared" si="4"/>
        <v>1.6851340933271626</v>
      </c>
    </row>
    <row r="86" spans="1:7">
      <c r="A86" s="213"/>
      <c r="B86" s="230"/>
      <c r="D86" s="230"/>
    </row>
    <row r="87" spans="1:7">
      <c r="A87" s="213"/>
      <c r="B87" s="230"/>
      <c r="D87" s="230"/>
    </row>
    <row r="88" spans="1:7">
      <c r="A88" t="s">
        <v>194</v>
      </c>
      <c r="B88" s="230">
        <f>SUM(B83:B87)</f>
        <v>33864.42671</v>
      </c>
      <c r="C88" s="230">
        <f>SUM(C83:C87)</f>
        <v>4234.7550000000028</v>
      </c>
      <c r="D88" s="230">
        <f>SUM(D83:D87)</f>
        <v>29629.671709999995</v>
      </c>
      <c r="E88" s="225">
        <f>SUM(E83:E87)</f>
        <v>100.00000000000001</v>
      </c>
    </row>
    <row r="89" spans="1:7">
      <c r="A89" s="213"/>
    </row>
    <row r="90" spans="1:7">
      <c r="A90" t="s">
        <v>42</v>
      </c>
      <c r="B90" t="s">
        <v>221</v>
      </c>
      <c r="C90" t="s">
        <v>221</v>
      </c>
    </row>
    <row r="91" spans="1:7">
      <c r="A91" t="s">
        <v>42</v>
      </c>
      <c r="B91" t="s">
        <v>190</v>
      </c>
      <c r="C91" t="s">
        <v>191</v>
      </c>
      <c r="D91" t="s">
        <v>192</v>
      </c>
      <c r="E91" t="s">
        <v>193</v>
      </c>
    </row>
    <row r="92" spans="1:7">
      <c r="A92" t="s">
        <v>4</v>
      </c>
      <c r="B92" s="225">
        <v>30305.06</v>
      </c>
      <c r="C92" s="225">
        <v>2080.5300000000002</v>
      </c>
      <c r="D92" s="225">
        <v>28224.53</v>
      </c>
      <c r="E92" s="225">
        <v>89.489000000000004</v>
      </c>
      <c r="F92" s="228">
        <f>(100-E92)*B$97/100</f>
        <v>3559.4902372999986</v>
      </c>
      <c r="G92" t="str">
        <f>CONCATENATE(A92," ",TEXT(B92,"0.0,0")," MWh")</f>
        <v>Solar fotovoltaica 30.305,1 MWh</v>
      </c>
    </row>
    <row r="93" spans="1:7">
      <c r="A93" t="s">
        <v>22</v>
      </c>
      <c r="B93" s="225">
        <v>2988.71</v>
      </c>
      <c r="C93" s="225">
        <v>1868.2</v>
      </c>
      <c r="D93" s="225">
        <v>1120.51</v>
      </c>
      <c r="E93" s="225">
        <v>8.8260000000000005</v>
      </c>
      <c r="F93" s="228">
        <f>(100-E93)*B$97/100</f>
        <v>30875.555408200002</v>
      </c>
      <c r="G93" t="str">
        <f t="shared" ref="G93:G97" si="5">CONCATENATE(A93," ",TEXT(B93,"0.0,0")," MWh")</f>
        <v>Otras renovables 2.988,7 MWh</v>
      </c>
    </row>
    <row r="94" spans="1:7">
      <c r="A94" t="s">
        <v>23</v>
      </c>
      <c r="B94" s="225">
        <v>570.66</v>
      </c>
      <c r="C94" s="225">
        <v>286.02999999999997</v>
      </c>
      <c r="D94" s="225">
        <v>284.63</v>
      </c>
      <c r="E94" s="225">
        <v>1.6850000000000001</v>
      </c>
      <c r="F94" s="228">
        <f>(100-E94)*B$97/100</f>
        <v>33293.814354499998</v>
      </c>
      <c r="G94" t="str">
        <f t="shared" ref="G94" si="6">CONCATENATE(A94," ",TEXT(B94,"0.0,0")," MWh")</f>
        <v>Cogeneración 570,7 MWh</v>
      </c>
    </row>
    <row r="95" spans="1:7">
      <c r="A95" t="s">
        <v>5</v>
      </c>
      <c r="B95" s="225">
        <v>0</v>
      </c>
      <c r="C95" s="225">
        <v>0</v>
      </c>
      <c r="D95" s="225">
        <v>0</v>
      </c>
      <c r="E95" s="225">
        <v>0</v>
      </c>
      <c r="F95" s="228"/>
    </row>
    <row r="96" spans="1:7">
      <c r="A96" t="s">
        <v>195</v>
      </c>
      <c r="B96" s="225">
        <v>0</v>
      </c>
      <c r="C96" s="225">
        <v>0</v>
      </c>
      <c r="D96" s="225">
        <v>0</v>
      </c>
      <c r="E96" s="225">
        <v>0</v>
      </c>
      <c r="F96" s="228"/>
    </row>
    <row r="97" spans="1:7">
      <c r="A97" t="s">
        <v>194</v>
      </c>
      <c r="B97" s="225">
        <v>33864.43</v>
      </c>
      <c r="C97" s="225">
        <v>1868.2</v>
      </c>
      <c r="D97" s="225">
        <v>29629.67</v>
      </c>
      <c r="E97" s="225">
        <v>100</v>
      </c>
      <c r="F97" s="228"/>
      <c r="G97" t="str">
        <f t="shared" si="5"/>
        <v>Generación total autoconsumo 33.864,4 MWh</v>
      </c>
    </row>
    <row r="98" spans="1:7">
      <c r="F98" s="228"/>
    </row>
    <row r="99" spans="1:7">
      <c r="A99" s="213" t="s">
        <v>196</v>
      </c>
      <c r="F99" s="228"/>
    </row>
    <row r="100" spans="1:7">
      <c r="A100" t="s">
        <v>42</v>
      </c>
      <c r="B100" t="s">
        <v>221</v>
      </c>
      <c r="C100" t="s">
        <v>221</v>
      </c>
      <c r="F100" s="228"/>
    </row>
    <row r="101" spans="1:7">
      <c r="A101" t="s">
        <v>42</v>
      </c>
      <c r="B101" t="s">
        <v>93</v>
      </c>
      <c r="C101" t="s">
        <v>26</v>
      </c>
      <c r="F101" s="228"/>
    </row>
    <row r="102" spans="1:7">
      <c r="A102" t="s">
        <v>25</v>
      </c>
      <c r="B102" s="230">
        <v>357220.67700000003</v>
      </c>
      <c r="C102" s="230">
        <v>54.564</v>
      </c>
      <c r="F102" s="228"/>
    </row>
    <row r="103" spans="1:7">
      <c r="A103" t="s">
        <v>4</v>
      </c>
      <c r="B103" s="230">
        <v>99518.748999999996</v>
      </c>
      <c r="C103" s="230">
        <v>15.201000000000001</v>
      </c>
      <c r="F103" s="228"/>
    </row>
    <row r="104" spans="1:7">
      <c r="A104" t="s">
        <v>9</v>
      </c>
      <c r="B104" s="230">
        <v>86712.39</v>
      </c>
      <c r="C104" s="230">
        <v>13.244999999999999</v>
      </c>
      <c r="F104" s="228"/>
    </row>
    <row r="105" spans="1:7">
      <c r="A105" t="s">
        <v>10</v>
      </c>
      <c r="B105" s="230">
        <v>58340.908000000003</v>
      </c>
      <c r="C105" s="230">
        <v>8.9109999999999996</v>
      </c>
      <c r="F105" s="228"/>
    </row>
    <row r="106" spans="1:7">
      <c r="A106" t="s">
        <v>11</v>
      </c>
      <c r="B106" s="230">
        <v>23056.227999999999</v>
      </c>
      <c r="C106" s="230">
        <v>3.5219999999999998</v>
      </c>
      <c r="F106" s="228"/>
    </row>
    <row r="107" spans="1:7">
      <c r="A107" t="s">
        <v>46</v>
      </c>
      <c r="B107" s="230">
        <v>11737.68</v>
      </c>
      <c r="C107" s="230">
        <v>1.7929999999999999</v>
      </c>
      <c r="F107" s="228"/>
    </row>
    <row r="108" spans="1:7">
      <c r="A108" t="s">
        <v>47</v>
      </c>
      <c r="B108" s="230">
        <v>11737.68</v>
      </c>
      <c r="C108" s="230">
        <v>1.7929999999999999</v>
      </c>
      <c r="F108" s="228"/>
    </row>
    <row r="109" spans="1:7">
      <c r="A109" t="s">
        <v>23</v>
      </c>
      <c r="B109" s="230">
        <v>3365.9879999999998</v>
      </c>
      <c r="C109" s="230">
        <v>0.51400000000000001</v>
      </c>
      <c r="F109" s="228"/>
    </row>
    <row r="110" spans="1:7">
      <c r="A110" t="s">
        <v>22</v>
      </c>
      <c r="B110" s="230">
        <v>2988.7069999999999</v>
      </c>
      <c r="C110" s="230">
        <v>0.45700000000000002</v>
      </c>
      <c r="F110" s="228"/>
    </row>
    <row r="111" spans="1:7">
      <c r="A111" t="s">
        <v>5</v>
      </c>
      <c r="B111" s="230">
        <v>0</v>
      </c>
      <c r="C111" s="230">
        <v>0</v>
      </c>
      <c r="F111" s="228"/>
    </row>
    <row r="112" spans="1:7">
      <c r="A112" t="s">
        <v>195</v>
      </c>
      <c r="B112" s="230">
        <v>0</v>
      </c>
      <c r="C112" s="230">
        <v>0</v>
      </c>
      <c r="F112" s="228"/>
    </row>
    <row r="113" spans="1:6">
      <c r="A113" t="s">
        <v>197</v>
      </c>
      <c r="B113" s="230">
        <v>654679.00600000005</v>
      </c>
      <c r="C113">
        <v>100</v>
      </c>
      <c r="F113" s="228"/>
    </row>
    <row r="114" spans="1:6">
      <c r="A114" t="s">
        <v>198</v>
      </c>
      <c r="B114" s="230">
        <f>SUM(B103,B107,B110:B112)</f>
        <v>114245.136</v>
      </c>
      <c r="C114" s="230">
        <f>SUM(C103,C107,C110:C112)</f>
        <v>17.451000000000001</v>
      </c>
      <c r="F114" s="228"/>
    </row>
    <row r="116" spans="1:6">
      <c r="A116" s="213" t="s">
        <v>199</v>
      </c>
    </row>
    <row r="117" spans="1:6">
      <c r="A117" s="246" t="s">
        <v>60</v>
      </c>
      <c r="B117" s="246" t="s">
        <v>50</v>
      </c>
    </row>
    <row r="118" spans="1:6">
      <c r="A118" s="149" t="s">
        <v>59</v>
      </c>
      <c r="B118" s="285" t="s">
        <v>205</v>
      </c>
      <c r="C118" s="284"/>
    </row>
    <row r="119" spans="1:6">
      <c r="A119" s="149" t="s">
        <v>61</v>
      </c>
      <c r="B119" s="182" t="s">
        <v>181</v>
      </c>
      <c r="C119" s="182" t="s">
        <v>182</v>
      </c>
    </row>
    <row r="120" spans="1:6">
      <c r="A120" s="149" t="s">
        <v>183</v>
      </c>
      <c r="B120" s="150"/>
      <c r="C120" s="150"/>
    </row>
    <row r="121" spans="1:6">
      <c r="A121" s="151" t="s">
        <v>184</v>
      </c>
      <c r="B121" s="247">
        <v>1281.2539999999999</v>
      </c>
      <c r="C121" s="250">
        <v>324.84699999999998</v>
      </c>
    </row>
    <row r="122" spans="1:6">
      <c r="A122" s="151" t="s">
        <v>185</v>
      </c>
      <c r="B122" s="247">
        <v>4324.3800300000003</v>
      </c>
      <c r="C122" s="250">
        <v>2569.3080300000001</v>
      </c>
    </row>
    <row r="123" spans="1:6">
      <c r="A123" s="151" t="s">
        <v>188</v>
      </c>
      <c r="B123" s="247">
        <v>14237.27671</v>
      </c>
      <c r="C123" s="250">
        <v>13410.77771</v>
      </c>
    </row>
    <row r="124" spans="1:6">
      <c r="A124" s="151" t="s">
        <v>189</v>
      </c>
      <c r="B124" s="247">
        <v>0</v>
      </c>
      <c r="C124" s="250">
        <v>0</v>
      </c>
    </row>
    <row r="126" spans="1:6">
      <c r="A126" s="213"/>
    </row>
    <row r="127" spans="1:6">
      <c r="A127" s="213"/>
      <c r="B127" s="229" t="s">
        <v>190</v>
      </c>
      <c r="C127" t="s">
        <v>191</v>
      </c>
      <c r="D127" t="s">
        <v>192</v>
      </c>
      <c r="E127" t="s">
        <v>193</v>
      </c>
    </row>
    <row r="128" spans="1:6">
      <c r="A128" t="s">
        <v>4</v>
      </c>
      <c r="B128" s="230">
        <f>B124</f>
        <v>0</v>
      </c>
      <c r="C128" s="228">
        <f t="shared" ref="C128:C130" si="7">B128-D128</f>
        <v>0</v>
      </c>
      <c r="D128" s="230">
        <f>C124</f>
        <v>0</v>
      </c>
      <c r="E128" s="225">
        <f>B128/B$133*100</f>
        <v>0</v>
      </c>
    </row>
    <row r="129" spans="1:7">
      <c r="A129" t="s">
        <v>5</v>
      </c>
      <c r="B129" s="230">
        <f>B122</f>
        <v>4324.3800300000003</v>
      </c>
      <c r="C129" s="228">
        <f t="shared" si="7"/>
        <v>1755.0720000000001</v>
      </c>
      <c r="D129" s="230">
        <f>C122</f>
        <v>2569.3080300000001</v>
      </c>
      <c r="E129" s="225">
        <f t="shared" ref="E129:E130" si="8">B129/B$133*100</f>
        <v>77.143459720291446</v>
      </c>
    </row>
    <row r="130" spans="1:7">
      <c r="A130" t="s">
        <v>22</v>
      </c>
      <c r="B130" s="230">
        <f>B121</f>
        <v>1281.2539999999999</v>
      </c>
      <c r="C130" s="228">
        <f t="shared" si="7"/>
        <v>956.40699999999993</v>
      </c>
      <c r="D130" s="230">
        <f>C121</f>
        <v>324.84699999999998</v>
      </c>
      <c r="E130" s="225">
        <f t="shared" si="8"/>
        <v>22.856540279708554</v>
      </c>
    </row>
    <row r="131" spans="1:7">
      <c r="B131" s="230"/>
      <c r="C131" s="230"/>
      <c r="D131" s="230"/>
    </row>
    <row r="132" spans="1:7">
      <c r="B132" s="230"/>
      <c r="C132" s="230"/>
      <c r="D132" s="230"/>
    </row>
    <row r="133" spans="1:7">
      <c r="A133" t="s">
        <v>194</v>
      </c>
      <c r="B133" s="230">
        <f>SUM(B128:B132)</f>
        <v>5605.6340300000002</v>
      </c>
      <c r="C133" s="230">
        <f t="shared" ref="C133:E133" si="9">SUM(C128:C132)</f>
        <v>2711.4790000000003</v>
      </c>
      <c r="D133" s="230">
        <f t="shared" si="9"/>
        <v>2894.1550299999999</v>
      </c>
      <c r="E133" s="230">
        <f t="shared" si="9"/>
        <v>100</v>
      </c>
    </row>
    <row r="134" spans="1:7">
      <c r="A134" s="213"/>
    </row>
    <row r="135" spans="1:7">
      <c r="A135" t="s">
        <v>42</v>
      </c>
      <c r="B135" t="s">
        <v>221</v>
      </c>
      <c r="C135" t="s">
        <v>221</v>
      </c>
    </row>
    <row r="136" spans="1:7">
      <c r="A136" t="s">
        <v>42</v>
      </c>
      <c r="B136" t="s">
        <v>190</v>
      </c>
      <c r="C136" t="s">
        <v>191</v>
      </c>
      <c r="D136" t="s">
        <v>192</v>
      </c>
      <c r="E136" t="s">
        <v>193</v>
      </c>
    </row>
    <row r="137" spans="1:7">
      <c r="A137" t="s">
        <v>4</v>
      </c>
      <c r="B137" s="225">
        <v>22370.59</v>
      </c>
      <c r="C137" s="225">
        <v>1020.15</v>
      </c>
      <c r="D137" s="225">
        <v>21350.44</v>
      </c>
      <c r="E137" s="225">
        <v>79.962999999999994</v>
      </c>
      <c r="F137" s="228">
        <f>(100-E137)*B$142/100</f>
        <v>5605.5952014000013</v>
      </c>
      <c r="G137" t="str">
        <f>CONCATENATE(A137," ",TEXT(B137,"0.0,0")," GWh")</f>
        <v>Solar fotovoltaica 22.370,6 GWh</v>
      </c>
    </row>
    <row r="138" spans="1:7">
      <c r="A138" t="s">
        <v>5</v>
      </c>
      <c r="B138" s="225">
        <v>4324.38</v>
      </c>
      <c r="C138" s="225">
        <v>1755.07</v>
      </c>
      <c r="D138" s="225">
        <v>2569.31</v>
      </c>
      <c r="E138" s="225">
        <v>15.457000000000001</v>
      </c>
      <c r="F138" s="228">
        <f t="shared" ref="F138:F139" si="10">(100-E138)*B$142/100</f>
        <v>23651.935674600001</v>
      </c>
      <c r="G138" t="str">
        <f>CONCATENATE(A138," ",TEXT(B138,"0.0,0")," GWh")</f>
        <v>Eólica 4.324,4 GWh</v>
      </c>
    </row>
    <row r="139" spans="1:7">
      <c r="A139" t="s">
        <v>22</v>
      </c>
      <c r="B139" s="225">
        <v>1281.25</v>
      </c>
      <c r="C139" s="225">
        <v>956.41</v>
      </c>
      <c r="D139" s="225">
        <v>324.85000000000002</v>
      </c>
      <c r="E139" s="225">
        <v>4.58</v>
      </c>
      <c r="F139" s="228">
        <f t="shared" si="10"/>
        <v>26694.909124000002</v>
      </c>
      <c r="G139" t="str">
        <f>CONCATENATE(A139," ",TEXT(B139,"0.0,0")," GWh")</f>
        <v>Otras renovables 1.281,3 GWh</v>
      </c>
    </row>
    <row r="140" spans="1:7">
      <c r="A140" t="s">
        <v>12</v>
      </c>
      <c r="B140" s="225">
        <v>0</v>
      </c>
      <c r="C140" s="225">
        <v>0</v>
      </c>
      <c r="D140" s="225">
        <v>0</v>
      </c>
      <c r="E140" s="225">
        <v>0</v>
      </c>
      <c r="F140" s="228"/>
    </row>
    <row r="141" spans="1:7">
      <c r="A141" t="s">
        <v>195</v>
      </c>
      <c r="B141" s="225">
        <v>0</v>
      </c>
      <c r="C141" s="225">
        <v>0</v>
      </c>
      <c r="D141" s="225">
        <v>0</v>
      </c>
      <c r="E141" s="225">
        <v>0</v>
      </c>
      <c r="F141" s="228"/>
    </row>
    <row r="142" spans="1:7">
      <c r="A142" t="s">
        <v>194</v>
      </c>
      <c r="B142" s="225">
        <v>27976.22</v>
      </c>
      <c r="C142" s="225">
        <v>956.41</v>
      </c>
      <c r="D142" s="225">
        <v>24244.6</v>
      </c>
      <c r="E142" s="225">
        <v>100</v>
      </c>
      <c r="F142" s="228"/>
      <c r="G142" t="str">
        <f>CONCATENATE(A142," ",TEXT(B142,"0.0,0")," GWh")</f>
        <v>Generación total autoconsumo 27.976,2 GWh</v>
      </c>
    </row>
    <row r="144" spans="1:7">
      <c r="A144" s="213" t="s">
        <v>200</v>
      </c>
    </row>
    <row r="145" spans="1:3">
      <c r="A145" t="s">
        <v>42</v>
      </c>
      <c r="B145" t="s">
        <v>221</v>
      </c>
      <c r="C145" t="s">
        <v>221</v>
      </c>
    </row>
    <row r="146" spans="1:3">
      <c r="A146" t="s">
        <v>42</v>
      </c>
      <c r="B146" t="s">
        <v>93</v>
      </c>
      <c r="C146" t="s">
        <v>26</v>
      </c>
    </row>
    <row r="147" spans="1:3">
      <c r="A147" t="s">
        <v>25</v>
      </c>
      <c r="B147" s="230">
        <v>307512.57299999997</v>
      </c>
      <c r="C147" s="230">
        <v>37.289000000000001</v>
      </c>
    </row>
    <row r="148" spans="1:3">
      <c r="A148" t="s">
        <v>10</v>
      </c>
      <c r="B148" s="230">
        <v>153751.10800000001</v>
      </c>
      <c r="C148" s="230">
        <v>18.643999999999998</v>
      </c>
    </row>
    <row r="149" spans="1:3">
      <c r="A149" t="s">
        <v>5</v>
      </c>
      <c r="B149" s="230">
        <v>152756.84</v>
      </c>
      <c r="C149" s="230">
        <v>18.523</v>
      </c>
    </row>
    <row r="150" spans="1:3">
      <c r="A150" t="s">
        <v>8</v>
      </c>
      <c r="B150" s="230">
        <v>116281.488</v>
      </c>
      <c r="C150" s="230">
        <v>14.1</v>
      </c>
    </row>
    <row r="151" spans="1:3">
      <c r="A151" t="s">
        <v>4</v>
      </c>
      <c r="B151" s="230">
        <v>65948.812999999995</v>
      </c>
      <c r="C151" s="230">
        <v>7.9969999999999999</v>
      </c>
    </row>
    <row r="152" spans="1:3">
      <c r="A152" t="s">
        <v>9</v>
      </c>
      <c r="B152" s="230">
        <v>24368.156999999999</v>
      </c>
      <c r="C152" s="230">
        <v>2.9550000000000001</v>
      </c>
    </row>
    <row r="153" spans="1:3">
      <c r="A153" t="s">
        <v>6</v>
      </c>
      <c r="B153" s="230">
        <v>2526.6869999999999</v>
      </c>
      <c r="C153" s="230">
        <v>0.30599999999999999</v>
      </c>
    </row>
    <row r="154" spans="1:3">
      <c r="A154" t="s">
        <v>22</v>
      </c>
      <c r="B154" s="230">
        <v>1305.5519999999999</v>
      </c>
      <c r="C154" s="230">
        <v>0.158</v>
      </c>
    </row>
    <row r="155" spans="1:3">
      <c r="A155" t="s">
        <v>12</v>
      </c>
      <c r="B155" s="230">
        <v>220.17699999999999</v>
      </c>
      <c r="C155" s="230">
        <v>2.7E-2</v>
      </c>
    </row>
    <row r="156" spans="1:3">
      <c r="A156" t="s">
        <v>195</v>
      </c>
      <c r="B156" s="230">
        <v>0</v>
      </c>
      <c r="C156" s="230">
        <v>0</v>
      </c>
    </row>
    <row r="157" spans="1:3">
      <c r="A157" t="s">
        <v>197</v>
      </c>
      <c r="B157" s="230">
        <v>824671.39500000002</v>
      </c>
      <c r="C157" s="230">
        <v>100</v>
      </c>
    </row>
    <row r="158" spans="1:3">
      <c r="B158" s="230"/>
      <c r="C158" s="230"/>
    </row>
    <row r="159" spans="1:3">
      <c r="A159" t="s">
        <v>198</v>
      </c>
      <c r="B159" s="230">
        <f>SUM(B149,B151,B153:B156)</f>
        <v>222758.06899999999</v>
      </c>
      <c r="C159" s="230">
        <f>SUM(C149,C151,C153:C156)</f>
        <v>27.011000000000003</v>
      </c>
    </row>
  </sheetData>
  <mergeCells count="6">
    <mergeCell ref="B118:C118"/>
    <mergeCell ref="B5:N5"/>
    <mergeCell ref="B16:N16"/>
    <mergeCell ref="B38:N38"/>
    <mergeCell ref="B49:N49"/>
    <mergeCell ref="B72:C7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B13"/>
  <sheetViews>
    <sheetView workbookViewId="0"/>
  </sheetViews>
  <sheetFormatPr baseColWidth="10" defaultRowHeight="15"/>
  <sheetData>
    <row r="1" spans="1:2">
      <c r="A1">
        <v>12</v>
      </c>
      <c r="B1" s="96" t="s">
        <v>222</v>
      </c>
    </row>
    <row r="2" spans="1:2">
      <c r="A2" t="s">
        <v>211</v>
      </c>
    </row>
    <row r="3" spans="1:2">
      <c r="A3" t="s">
        <v>212</v>
      </c>
    </row>
    <row r="4" spans="1:2">
      <c r="A4" t="s">
        <v>213</v>
      </c>
    </row>
    <row r="5" spans="1:2">
      <c r="A5" t="s">
        <v>208</v>
      </c>
    </row>
    <row r="6" spans="1:2">
      <c r="A6" t="s">
        <v>209</v>
      </c>
    </row>
    <row r="7" spans="1:2">
      <c r="A7" t="s">
        <v>214</v>
      </c>
    </row>
    <row r="8" spans="1:2">
      <c r="A8" t="s">
        <v>216</v>
      </c>
    </row>
    <row r="9" spans="1:2">
      <c r="A9" t="s">
        <v>217</v>
      </c>
    </row>
    <row r="10" spans="1:2">
      <c r="A10" t="s">
        <v>218</v>
      </c>
    </row>
    <row r="11" spans="1:2">
      <c r="A11" t="s">
        <v>219</v>
      </c>
    </row>
    <row r="12" spans="1:2">
      <c r="A12" t="s">
        <v>220</v>
      </c>
    </row>
    <row r="13" spans="1:2">
      <c r="A13" t="s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C1:L21"/>
  <sheetViews>
    <sheetView showGridLines="0" showRowColHeaders="0" topLeftCell="A2" workbookViewId="0">
      <selection activeCell="B2" sqref="B2"/>
    </sheetView>
  </sheetViews>
  <sheetFormatPr baseColWidth="10" defaultColWidth="11.42578125" defaultRowHeight="12.75"/>
  <cols>
    <col min="1" max="1" width="0.140625" style="54" customWidth="1"/>
    <col min="2" max="2" width="2.5703125" style="54" customWidth="1"/>
    <col min="3" max="3" width="23.5703125" style="54" customWidth="1"/>
    <col min="4" max="4" width="1.42578125" style="54" customWidth="1"/>
    <col min="5" max="5" width="16.42578125" style="54" bestFit="1" customWidth="1"/>
    <col min="6" max="16384" width="11.42578125" style="54"/>
  </cols>
  <sheetData>
    <row r="1" spans="3:12" ht="0.6" customHeight="1"/>
    <row r="2" spans="3:12" ht="21" customHeight="1">
      <c r="K2" s="27" t="s">
        <v>19</v>
      </c>
      <c r="L2" s="46"/>
    </row>
    <row r="3" spans="3:12" ht="15" customHeight="1">
      <c r="K3" s="43" t="str">
        <f>Indice!E3</f>
        <v>Julio 2026</v>
      </c>
      <c r="L3" s="65"/>
    </row>
    <row r="4" spans="3:12" ht="20.100000000000001" customHeight="1">
      <c r="C4" s="25" t="s">
        <v>39</v>
      </c>
    </row>
    <row r="5" spans="3:12" ht="12.6" customHeight="1"/>
    <row r="7" spans="3:12" ht="12.75" customHeight="1">
      <c r="C7" s="253" t="s">
        <v>41</v>
      </c>
      <c r="E7" s="66"/>
      <c r="F7" s="254" t="str">
        <f>K3</f>
        <v>Julio 2026</v>
      </c>
      <c r="G7" s="255"/>
      <c r="H7" s="255" t="s">
        <v>30</v>
      </c>
      <c r="I7" s="255"/>
      <c r="J7" s="255" t="s">
        <v>31</v>
      </c>
      <c r="K7" s="255"/>
    </row>
    <row r="8" spans="3:12">
      <c r="C8" s="253"/>
      <c r="E8" s="67"/>
      <c r="F8" s="68" t="s">
        <v>13</v>
      </c>
      <c r="G8" s="94" t="str">
        <f>CONCATENATE("% ",RIGHT(F7,2),"/",RIGHT(F7,2)-1)</f>
        <v>% 26/25</v>
      </c>
      <c r="H8" s="68" t="s">
        <v>13</v>
      </c>
      <c r="I8" s="95" t="str">
        <f>G8</f>
        <v>% 26/25</v>
      </c>
      <c r="J8" s="68" t="s">
        <v>13</v>
      </c>
      <c r="K8" s="95" t="str">
        <f>G8</f>
        <v>% 26/25</v>
      </c>
    </row>
    <row r="9" spans="3:12">
      <c r="C9" s="70"/>
      <c r="E9" s="71" t="s">
        <v>32</v>
      </c>
      <c r="F9" s="72">
        <f>Dat_01!Z26/1000</f>
        <v>808.04693099999997</v>
      </c>
      <c r="G9" s="140">
        <f>Dat_01!AB26*100</f>
        <v>2.74798008</v>
      </c>
      <c r="H9" s="72">
        <f>Dat_01!AC26/1000</f>
        <v>5144.8866749999997</v>
      </c>
      <c r="I9" s="140">
        <f>Dat_01!AE26*100</f>
        <v>1.39096091</v>
      </c>
      <c r="J9" s="72">
        <f>Dat_01!AF26/1000</f>
        <v>9053.9872349999987</v>
      </c>
      <c r="K9" s="140">
        <f>Dat_01!AG26*100</f>
        <v>1.7980867300000001</v>
      </c>
    </row>
    <row r="10" spans="3:12">
      <c r="E10" s="13"/>
      <c r="F10" s="73"/>
      <c r="G10" s="73"/>
      <c r="H10" s="73"/>
      <c r="I10" s="73"/>
      <c r="J10" s="73"/>
      <c r="K10" s="73"/>
    </row>
    <row r="11" spans="3:12">
      <c r="E11" s="13" t="s">
        <v>33</v>
      </c>
      <c r="F11" s="73"/>
      <c r="G11" s="73"/>
      <c r="H11" s="73"/>
      <c r="I11" s="73"/>
      <c r="J11" s="73"/>
      <c r="K11" s="73"/>
    </row>
    <row r="12" spans="3:12">
      <c r="E12" s="74" t="s">
        <v>34</v>
      </c>
      <c r="F12" s="73"/>
      <c r="G12" s="91">
        <f>Dat_01!D167*100</f>
        <v>2.9000000000000001E-2</v>
      </c>
      <c r="H12" s="91"/>
      <c r="I12" s="91">
        <f>Dat_01!H167*100</f>
        <v>6.5000000000000002E-2</v>
      </c>
      <c r="J12" s="91"/>
      <c r="K12" s="91">
        <f>Dat_01!L167*100</f>
        <v>2.9000000000000001E-2</v>
      </c>
    </row>
    <row r="13" spans="3:12">
      <c r="E13" s="74" t="s">
        <v>35</v>
      </c>
      <c r="F13" s="73"/>
      <c r="G13" s="91">
        <f>Dat_01!E167*100</f>
        <v>-0.246</v>
      </c>
      <c r="H13" s="91"/>
      <c r="I13" s="91">
        <f>Dat_01!I167*100</f>
        <v>6.5000000000000002E-2</v>
      </c>
      <c r="J13" s="91"/>
      <c r="K13" s="91">
        <f>Dat_01!M167*100</f>
        <v>0.152</v>
      </c>
    </row>
    <row r="14" spans="3:12">
      <c r="E14" s="75" t="s">
        <v>36</v>
      </c>
      <c r="F14" s="76"/>
      <c r="G14" s="92">
        <f>Dat_01!F167*100</f>
        <v>2.9780000000000002</v>
      </c>
      <c r="H14" s="92"/>
      <c r="I14" s="92">
        <f>Dat_01!J167*100</f>
        <v>1.2729999999999999</v>
      </c>
      <c r="J14" s="92"/>
      <c r="K14" s="92">
        <f>Dat_01!N167*100</f>
        <v>1.6240000000000001</v>
      </c>
    </row>
    <row r="15" spans="3:12">
      <c r="E15" s="256" t="s">
        <v>37</v>
      </c>
      <c r="F15" s="256"/>
      <c r="G15" s="256"/>
      <c r="H15" s="256"/>
      <c r="I15" s="256"/>
      <c r="J15" s="256"/>
      <c r="K15" s="256"/>
    </row>
    <row r="16" spans="3:12" ht="21.75" customHeight="1">
      <c r="E16" s="252" t="s">
        <v>38</v>
      </c>
      <c r="F16" s="252"/>
      <c r="G16" s="252"/>
      <c r="H16" s="252"/>
      <c r="I16" s="252"/>
      <c r="J16" s="252"/>
      <c r="K16" s="252"/>
    </row>
    <row r="17" spans="5:11">
      <c r="E17" s="174"/>
    </row>
    <row r="19" spans="5:11">
      <c r="G19" s="152"/>
      <c r="H19" s="152"/>
      <c r="I19" s="152"/>
      <c r="J19" s="152"/>
      <c r="K19" s="152"/>
    </row>
    <row r="20" spans="5:11">
      <c r="G20" s="152"/>
      <c r="H20" s="152"/>
      <c r="I20" s="152"/>
      <c r="J20" s="152"/>
      <c r="K20" s="152"/>
    </row>
    <row r="21" spans="5:11">
      <c r="G21" s="152"/>
      <c r="H21" s="152"/>
      <c r="I21" s="152"/>
      <c r="J21" s="152"/>
      <c r="K21" s="152"/>
    </row>
  </sheetData>
  <mergeCells count="6">
    <mergeCell ref="E16:K16"/>
    <mergeCell ref="C7:C8"/>
    <mergeCell ref="F7:G7"/>
    <mergeCell ref="H7:I7"/>
    <mergeCell ref="J7:K7"/>
    <mergeCell ref="E15:K1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9">
    <pageSetUpPr autoPageBreaks="0" fitToPage="1"/>
  </sheetPr>
  <dimension ref="C1:W60"/>
  <sheetViews>
    <sheetView showGridLines="0" showRowColHeaders="0" zoomScaleNormal="100" workbookViewId="0">
      <selection activeCell="U20" sqref="U20"/>
    </sheetView>
  </sheetViews>
  <sheetFormatPr baseColWidth="10" defaultRowHeight="11.25"/>
  <cols>
    <col min="1" max="1" width="0.140625" style="1" customWidth="1"/>
    <col min="2" max="2" width="2.5703125" style="1" customWidth="1"/>
    <col min="3" max="3" width="23.5703125" style="1" customWidth="1"/>
    <col min="4" max="4" width="1.42578125" style="1" customWidth="1"/>
    <col min="5" max="5" width="29.140625" style="1" customWidth="1"/>
    <col min="6" max="13" width="7.5703125" style="1" customWidth="1"/>
    <col min="14" max="254" width="11.42578125" style="1"/>
    <col min="255" max="255" width="0.140625" style="1" customWidth="1"/>
    <col min="256" max="256" width="2.5703125" style="1" customWidth="1"/>
    <col min="257" max="257" width="15.42578125" style="1" customWidth="1"/>
    <col min="258" max="258" width="1.42578125" style="1" customWidth="1"/>
    <col min="259" max="259" width="29.140625" style="1" customWidth="1"/>
    <col min="260" max="260" width="7.85546875" style="1" bestFit="1" customWidth="1"/>
    <col min="261" max="261" width="7" style="1" customWidth="1"/>
    <col min="262" max="262" width="7.85546875" style="1" bestFit="1" customWidth="1"/>
    <col min="263" max="263" width="8.42578125" style="1" customWidth="1"/>
    <col min="264" max="264" width="7" style="1" customWidth="1"/>
    <col min="265" max="265" width="6.42578125" style="1" customWidth="1"/>
    <col min="266" max="266" width="7" style="1" customWidth="1"/>
    <col min="267" max="267" width="6.5703125" style="1" customWidth="1"/>
    <col min="268" max="268" width="7" style="1" customWidth="1"/>
    <col min="269" max="269" width="6.42578125" style="1" customWidth="1"/>
    <col min="270" max="510" width="11.42578125" style="1"/>
    <col min="511" max="511" width="0.140625" style="1" customWidth="1"/>
    <col min="512" max="512" width="2.5703125" style="1" customWidth="1"/>
    <col min="513" max="513" width="15.42578125" style="1" customWidth="1"/>
    <col min="514" max="514" width="1.42578125" style="1" customWidth="1"/>
    <col min="515" max="515" width="29.140625" style="1" customWidth="1"/>
    <col min="516" max="516" width="7.85546875" style="1" bestFit="1" customWidth="1"/>
    <col min="517" max="517" width="7" style="1" customWidth="1"/>
    <col min="518" max="518" width="7.85546875" style="1" bestFit="1" customWidth="1"/>
    <col min="519" max="519" width="8.42578125" style="1" customWidth="1"/>
    <col min="520" max="520" width="7" style="1" customWidth="1"/>
    <col min="521" max="521" width="6.42578125" style="1" customWidth="1"/>
    <col min="522" max="522" width="7" style="1" customWidth="1"/>
    <col min="523" max="523" width="6.5703125" style="1" customWidth="1"/>
    <col min="524" max="524" width="7" style="1" customWidth="1"/>
    <col min="525" max="525" width="6.42578125" style="1" customWidth="1"/>
    <col min="526" max="766" width="11.42578125" style="1"/>
    <col min="767" max="767" width="0.140625" style="1" customWidth="1"/>
    <col min="768" max="768" width="2.5703125" style="1" customWidth="1"/>
    <col min="769" max="769" width="15.42578125" style="1" customWidth="1"/>
    <col min="770" max="770" width="1.42578125" style="1" customWidth="1"/>
    <col min="771" max="771" width="29.140625" style="1" customWidth="1"/>
    <col min="772" max="772" width="7.85546875" style="1" bestFit="1" customWidth="1"/>
    <col min="773" max="773" width="7" style="1" customWidth="1"/>
    <col min="774" max="774" width="7.85546875" style="1" bestFit="1" customWidth="1"/>
    <col min="775" max="775" width="8.42578125" style="1" customWidth="1"/>
    <col min="776" max="776" width="7" style="1" customWidth="1"/>
    <col min="777" max="777" width="6.42578125" style="1" customWidth="1"/>
    <col min="778" max="778" width="7" style="1" customWidth="1"/>
    <col min="779" max="779" width="6.5703125" style="1" customWidth="1"/>
    <col min="780" max="780" width="7" style="1" customWidth="1"/>
    <col min="781" max="781" width="6.42578125" style="1" customWidth="1"/>
    <col min="782" max="1022" width="11.42578125" style="1"/>
    <col min="1023" max="1023" width="0.140625" style="1" customWidth="1"/>
    <col min="1024" max="1024" width="2.5703125" style="1" customWidth="1"/>
    <col min="1025" max="1025" width="15.42578125" style="1" customWidth="1"/>
    <col min="1026" max="1026" width="1.42578125" style="1" customWidth="1"/>
    <col min="1027" max="1027" width="29.140625" style="1" customWidth="1"/>
    <col min="1028" max="1028" width="7.85546875" style="1" bestFit="1" customWidth="1"/>
    <col min="1029" max="1029" width="7" style="1" customWidth="1"/>
    <col min="1030" max="1030" width="7.85546875" style="1" bestFit="1" customWidth="1"/>
    <col min="1031" max="1031" width="8.42578125" style="1" customWidth="1"/>
    <col min="1032" max="1032" width="7" style="1" customWidth="1"/>
    <col min="1033" max="1033" width="6.42578125" style="1" customWidth="1"/>
    <col min="1034" max="1034" width="7" style="1" customWidth="1"/>
    <col min="1035" max="1035" width="6.5703125" style="1" customWidth="1"/>
    <col min="1036" max="1036" width="7" style="1" customWidth="1"/>
    <col min="1037" max="1037" width="6.42578125" style="1" customWidth="1"/>
    <col min="1038" max="1278" width="11.42578125" style="1"/>
    <col min="1279" max="1279" width="0.140625" style="1" customWidth="1"/>
    <col min="1280" max="1280" width="2.5703125" style="1" customWidth="1"/>
    <col min="1281" max="1281" width="15.42578125" style="1" customWidth="1"/>
    <col min="1282" max="1282" width="1.42578125" style="1" customWidth="1"/>
    <col min="1283" max="1283" width="29.140625" style="1" customWidth="1"/>
    <col min="1284" max="1284" width="7.85546875" style="1" bestFit="1" customWidth="1"/>
    <col min="1285" max="1285" width="7" style="1" customWidth="1"/>
    <col min="1286" max="1286" width="7.85546875" style="1" bestFit="1" customWidth="1"/>
    <col min="1287" max="1287" width="8.42578125" style="1" customWidth="1"/>
    <col min="1288" max="1288" width="7" style="1" customWidth="1"/>
    <col min="1289" max="1289" width="6.42578125" style="1" customWidth="1"/>
    <col min="1290" max="1290" width="7" style="1" customWidth="1"/>
    <col min="1291" max="1291" width="6.5703125" style="1" customWidth="1"/>
    <col min="1292" max="1292" width="7" style="1" customWidth="1"/>
    <col min="1293" max="1293" width="6.42578125" style="1" customWidth="1"/>
    <col min="1294" max="1534" width="11.42578125" style="1"/>
    <col min="1535" max="1535" width="0.140625" style="1" customWidth="1"/>
    <col min="1536" max="1536" width="2.5703125" style="1" customWidth="1"/>
    <col min="1537" max="1537" width="15.42578125" style="1" customWidth="1"/>
    <col min="1538" max="1538" width="1.42578125" style="1" customWidth="1"/>
    <col min="1539" max="1539" width="29.140625" style="1" customWidth="1"/>
    <col min="1540" max="1540" width="7.85546875" style="1" bestFit="1" customWidth="1"/>
    <col min="1541" max="1541" width="7" style="1" customWidth="1"/>
    <col min="1542" max="1542" width="7.85546875" style="1" bestFit="1" customWidth="1"/>
    <col min="1543" max="1543" width="8.42578125" style="1" customWidth="1"/>
    <col min="1544" max="1544" width="7" style="1" customWidth="1"/>
    <col min="1545" max="1545" width="6.42578125" style="1" customWidth="1"/>
    <col min="1546" max="1546" width="7" style="1" customWidth="1"/>
    <col min="1547" max="1547" width="6.5703125" style="1" customWidth="1"/>
    <col min="1548" max="1548" width="7" style="1" customWidth="1"/>
    <col min="1549" max="1549" width="6.42578125" style="1" customWidth="1"/>
    <col min="1550" max="1790" width="11.42578125" style="1"/>
    <col min="1791" max="1791" width="0.140625" style="1" customWidth="1"/>
    <col min="1792" max="1792" width="2.5703125" style="1" customWidth="1"/>
    <col min="1793" max="1793" width="15.42578125" style="1" customWidth="1"/>
    <col min="1794" max="1794" width="1.42578125" style="1" customWidth="1"/>
    <col min="1795" max="1795" width="29.140625" style="1" customWidth="1"/>
    <col min="1796" max="1796" width="7.85546875" style="1" bestFit="1" customWidth="1"/>
    <col min="1797" max="1797" width="7" style="1" customWidth="1"/>
    <col min="1798" max="1798" width="7.85546875" style="1" bestFit="1" customWidth="1"/>
    <col min="1799" max="1799" width="8.42578125" style="1" customWidth="1"/>
    <col min="1800" max="1800" width="7" style="1" customWidth="1"/>
    <col min="1801" max="1801" width="6.42578125" style="1" customWidth="1"/>
    <col min="1802" max="1802" width="7" style="1" customWidth="1"/>
    <col min="1803" max="1803" width="6.5703125" style="1" customWidth="1"/>
    <col min="1804" max="1804" width="7" style="1" customWidth="1"/>
    <col min="1805" max="1805" width="6.42578125" style="1" customWidth="1"/>
    <col min="1806" max="2046" width="11.42578125" style="1"/>
    <col min="2047" max="2047" width="0.140625" style="1" customWidth="1"/>
    <col min="2048" max="2048" width="2.5703125" style="1" customWidth="1"/>
    <col min="2049" max="2049" width="15.42578125" style="1" customWidth="1"/>
    <col min="2050" max="2050" width="1.42578125" style="1" customWidth="1"/>
    <col min="2051" max="2051" width="29.140625" style="1" customWidth="1"/>
    <col min="2052" max="2052" width="7.85546875" style="1" bestFit="1" customWidth="1"/>
    <col min="2053" max="2053" width="7" style="1" customWidth="1"/>
    <col min="2054" max="2054" width="7.85546875" style="1" bestFit="1" customWidth="1"/>
    <col min="2055" max="2055" width="8.42578125" style="1" customWidth="1"/>
    <col min="2056" max="2056" width="7" style="1" customWidth="1"/>
    <col min="2057" max="2057" width="6.42578125" style="1" customWidth="1"/>
    <col min="2058" max="2058" width="7" style="1" customWidth="1"/>
    <col min="2059" max="2059" width="6.5703125" style="1" customWidth="1"/>
    <col min="2060" max="2060" width="7" style="1" customWidth="1"/>
    <col min="2061" max="2061" width="6.42578125" style="1" customWidth="1"/>
    <col min="2062" max="2302" width="11.42578125" style="1"/>
    <col min="2303" max="2303" width="0.140625" style="1" customWidth="1"/>
    <col min="2304" max="2304" width="2.5703125" style="1" customWidth="1"/>
    <col min="2305" max="2305" width="15.42578125" style="1" customWidth="1"/>
    <col min="2306" max="2306" width="1.42578125" style="1" customWidth="1"/>
    <col min="2307" max="2307" width="29.140625" style="1" customWidth="1"/>
    <col min="2308" max="2308" width="7.85546875" style="1" bestFit="1" customWidth="1"/>
    <col min="2309" max="2309" width="7" style="1" customWidth="1"/>
    <col min="2310" max="2310" width="7.85546875" style="1" bestFit="1" customWidth="1"/>
    <col min="2311" max="2311" width="8.42578125" style="1" customWidth="1"/>
    <col min="2312" max="2312" width="7" style="1" customWidth="1"/>
    <col min="2313" max="2313" width="6.42578125" style="1" customWidth="1"/>
    <col min="2314" max="2314" width="7" style="1" customWidth="1"/>
    <col min="2315" max="2315" width="6.5703125" style="1" customWidth="1"/>
    <col min="2316" max="2316" width="7" style="1" customWidth="1"/>
    <col min="2317" max="2317" width="6.42578125" style="1" customWidth="1"/>
    <col min="2318" max="2558" width="11.42578125" style="1"/>
    <col min="2559" max="2559" width="0.140625" style="1" customWidth="1"/>
    <col min="2560" max="2560" width="2.5703125" style="1" customWidth="1"/>
    <col min="2561" max="2561" width="15.42578125" style="1" customWidth="1"/>
    <col min="2562" max="2562" width="1.42578125" style="1" customWidth="1"/>
    <col min="2563" max="2563" width="29.140625" style="1" customWidth="1"/>
    <col min="2564" max="2564" width="7.85546875" style="1" bestFit="1" customWidth="1"/>
    <col min="2565" max="2565" width="7" style="1" customWidth="1"/>
    <col min="2566" max="2566" width="7.85546875" style="1" bestFit="1" customWidth="1"/>
    <col min="2567" max="2567" width="8.42578125" style="1" customWidth="1"/>
    <col min="2568" max="2568" width="7" style="1" customWidth="1"/>
    <col min="2569" max="2569" width="6.42578125" style="1" customWidth="1"/>
    <col min="2570" max="2570" width="7" style="1" customWidth="1"/>
    <col min="2571" max="2571" width="6.5703125" style="1" customWidth="1"/>
    <col min="2572" max="2572" width="7" style="1" customWidth="1"/>
    <col min="2573" max="2573" width="6.42578125" style="1" customWidth="1"/>
    <col min="2574" max="2814" width="11.42578125" style="1"/>
    <col min="2815" max="2815" width="0.140625" style="1" customWidth="1"/>
    <col min="2816" max="2816" width="2.5703125" style="1" customWidth="1"/>
    <col min="2817" max="2817" width="15.42578125" style="1" customWidth="1"/>
    <col min="2818" max="2818" width="1.42578125" style="1" customWidth="1"/>
    <col min="2819" max="2819" width="29.140625" style="1" customWidth="1"/>
    <col min="2820" max="2820" width="7.85546875" style="1" bestFit="1" customWidth="1"/>
    <col min="2821" max="2821" width="7" style="1" customWidth="1"/>
    <col min="2822" max="2822" width="7.85546875" style="1" bestFit="1" customWidth="1"/>
    <col min="2823" max="2823" width="8.42578125" style="1" customWidth="1"/>
    <col min="2824" max="2824" width="7" style="1" customWidth="1"/>
    <col min="2825" max="2825" width="6.42578125" style="1" customWidth="1"/>
    <col min="2826" max="2826" width="7" style="1" customWidth="1"/>
    <col min="2827" max="2827" width="6.5703125" style="1" customWidth="1"/>
    <col min="2828" max="2828" width="7" style="1" customWidth="1"/>
    <col min="2829" max="2829" width="6.42578125" style="1" customWidth="1"/>
    <col min="2830" max="3070" width="11.42578125" style="1"/>
    <col min="3071" max="3071" width="0.140625" style="1" customWidth="1"/>
    <col min="3072" max="3072" width="2.5703125" style="1" customWidth="1"/>
    <col min="3073" max="3073" width="15.42578125" style="1" customWidth="1"/>
    <col min="3074" max="3074" width="1.42578125" style="1" customWidth="1"/>
    <col min="3075" max="3075" width="29.140625" style="1" customWidth="1"/>
    <col min="3076" max="3076" width="7.85546875" style="1" bestFit="1" customWidth="1"/>
    <col min="3077" max="3077" width="7" style="1" customWidth="1"/>
    <col min="3078" max="3078" width="7.85546875" style="1" bestFit="1" customWidth="1"/>
    <col min="3079" max="3079" width="8.42578125" style="1" customWidth="1"/>
    <col min="3080" max="3080" width="7" style="1" customWidth="1"/>
    <col min="3081" max="3081" width="6.42578125" style="1" customWidth="1"/>
    <col min="3082" max="3082" width="7" style="1" customWidth="1"/>
    <col min="3083" max="3083" width="6.5703125" style="1" customWidth="1"/>
    <col min="3084" max="3084" width="7" style="1" customWidth="1"/>
    <col min="3085" max="3085" width="6.42578125" style="1" customWidth="1"/>
    <col min="3086" max="3326" width="11.42578125" style="1"/>
    <col min="3327" max="3327" width="0.140625" style="1" customWidth="1"/>
    <col min="3328" max="3328" width="2.5703125" style="1" customWidth="1"/>
    <col min="3329" max="3329" width="15.42578125" style="1" customWidth="1"/>
    <col min="3330" max="3330" width="1.42578125" style="1" customWidth="1"/>
    <col min="3331" max="3331" width="29.140625" style="1" customWidth="1"/>
    <col min="3332" max="3332" width="7.85546875" style="1" bestFit="1" customWidth="1"/>
    <col min="3333" max="3333" width="7" style="1" customWidth="1"/>
    <col min="3334" max="3334" width="7.85546875" style="1" bestFit="1" customWidth="1"/>
    <col min="3335" max="3335" width="8.42578125" style="1" customWidth="1"/>
    <col min="3336" max="3336" width="7" style="1" customWidth="1"/>
    <col min="3337" max="3337" width="6.42578125" style="1" customWidth="1"/>
    <col min="3338" max="3338" width="7" style="1" customWidth="1"/>
    <col min="3339" max="3339" width="6.5703125" style="1" customWidth="1"/>
    <col min="3340" max="3340" width="7" style="1" customWidth="1"/>
    <col min="3341" max="3341" width="6.42578125" style="1" customWidth="1"/>
    <col min="3342" max="3582" width="11.42578125" style="1"/>
    <col min="3583" max="3583" width="0.140625" style="1" customWidth="1"/>
    <col min="3584" max="3584" width="2.5703125" style="1" customWidth="1"/>
    <col min="3585" max="3585" width="15.42578125" style="1" customWidth="1"/>
    <col min="3586" max="3586" width="1.42578125" style="1" customWidth="1"/>
    <col min="3587" max="3587" width="29.140625" style="1" customWidth="1"/>
    <col min="3588" max="3588" width="7.85546875" style="1" bestFit="1" customWidth="1"/>
    <col min="3589" max="3589" width="7" style="1" customWidth="1"/>
    <col min="3590" max="3590" width="7.85546875" style="1" bestFit="1" customWidth="1"/>
    <col min="3591" max="3591" width="8.42578125" style="1" customWidth="1"/>
    <col min="3592" max="3592" width="7" style="1" customWidth="1"/>
    <col min="3593" max="3593" width="6.42578125" style="1" customWidth="1"/>
    <col min="3594" max="3594" width="7" style="1" customWidth="1"/>
    <col min="3595" max="3595" width="6.5703125" style="1" customWidth="1"/>
    <col min="3596" max="3596" width="7" style="1" customWidth="1"/>
    <col min="3597" max="3597" width="6.42578125" style="1" customWidth="1"/>
    <col min="3598" max="3838" width="11.42578125" style="1"/>
    <col min="3839" max="3839" width="0.140625" style="1" customWidth="1"/>
    <col min="3840" max="3840" width="2.5703125" style="1" customWidth="1"/>
    <col min="3841" max="3841" width="15.42578125" style="1" customWidth="1"/>
    <col min="3842" max="3842" width="1.42578125" style="1" customWidth="1"/>
    <col min="3843" max="3843" width="29.140625" style="1" customWidth="1"/>
    <col min="3844" max="3844" width="7.85546875" style="1" bestFit="1" customWidth="1"/>
    <col min="3845" max="3845" width="7" style="1" customWidth="1"/>
    <col min="3846" max="3846" width="7.85546875" style="1" bestFit="1" customWidth="1"/>
    <col min="3847" max="3847" width="8.42578125" style="1" customWidth="1"/>
    <col min="3848" max="3848" width="7" style="1" customWidth="1"/>
    <col min="3849" max="3849" width="6.42578125" style="1" customWidth="1"/>
    <col min="3850" max="3850" width="7" style="1" customWidth="1"/>
    <col min="3851" max="3851" width="6.5703125" style="1" customWidth="1"/>
    <col min="3852" max="3852" width="7" style="1" customWidth="1"/>
    <col min="3853" max="3853" width="6.42578125" style="1" customWidth="1"/>
    <col min="3854" max="4094" width="11.42578125" style="1"/>
    <col min="4095" max="4095" width="0.140625" style="1" customWidth="1"/>
    <col min="4096" max="4096" width="2.5703125" style="1" customWidth="1"/>
    <col min="4097" max="4097" width="15.42578125" style="1" customWidth="1"/>
    <col min="4098" max="4098" width="1.42578125" style="1" customWidth="1"/>
    <col min="4099" max="4099" width="29.140625" style="1" customWidth="1"/>
    <col min="4100" max="4100" width="7.85546875" style="1" bestFit="1" customWidth="1"/>
    <col min="4101" max="4101" width="7" style="1" customWidth="1"/>
    <col min="4102" max="4102" width="7.85546875" style="1" bestFit="1" customWidth="1"/>
    <col min="4103" max="4103" width="8.42578125" style="1" customWidth="1"/>
    <col min="4104" max="4104" width="7" style="1" customWidth="1"/>
    <col min="4105" max="4105" width="6.42578125" style="1" customWidth="1"/>
    <col min="4106" max="4106" width="7" style="1" customWidth="1"/>
    <col min="4107" max="4107" width="6.5703125" style="1" customWidth="1"/>
    <col min="4108" max="4108" width="7" style="1" customWidth="1"/>
    <col min="4109" max="4109" width="6.42578125" style="1" customWidth="1"/>
    <col min="4110" max="4350" width="11.42578125" style="1"/>
    <col min="4351" max="4351" width="0.140625" style="1" customWidth="1"/>
    <col min="4352" max="4352" width="2.5703125" style="1" customWidth="1"/>
    <col min="4353" max="4353" width="15.42578125" style="1" customWidth="1"/>
    <col min="4354" max="4354" width="1.42578125" style="1" customWidth="1"/>
    <col min="4355" max="4355" width="29.140625" style="1" customWidth="1"/>
    <col min="4356" max="4356" width="7.85546875" style="1" bestFit="1" customWidth="1"/>
    <col min="4357" max="4357" width="7" style="1" customWidth="1"/>
    <col min="4358" max="4358" width="7.85546875" style="1" bestFit="1" customWidth="1"/>
    <col min="4359" max="4359" width="8.42578125" style="1" customWidth="1"/>
    <col min="4360" max="4360" width="7" style="1" customWidth="1"/>
    <col min="4361" max="4361" width="6.42578125" style="1" customWidth="1"/>
    <col min="4362" max="4362" width="7" style="1" customWidth="1"/>
    <col min="4363" max="4363" width="6.5703125" style="1" customWidth="1"/>
    <col min="4364" max="4364" width="7" style="1" customWidth="1"/>
    <col min="4365" max="4365" width="6.42578125" style="1" customWidth="1"/>
    <col min="4366" max="4606" width="11.42578125" style="1"/>
    <col min="4607" max="4607" width="0.140625" style="1" customWidth="1"/>
    <col min="4608" max="4608" width="2.5703125" style="1" customWidth="1"/>
    <col min="4609" max="4609" width="15.42578125" style="1" customWidth="1"/>
    <col min="4610" max="4610" width="1.42578125" style="1" customWidth="1"/>
    <col min="4611" max="4611" width="29.140625" style="1" customWidth="1"/>
    <col min="4612" max="4612" width="7.85546875" style="1" bestFit="1" customWidth="1"/>
    <col min="4613" max="4613" width="7" style="1" customWidth="1"/>
    <col min="4614" max="4614" width="7.85546875" style="1" bestFit="1" customWidth="1"/>
    <col min="4615" max="4615" width="8.42578125" style="1" customWidth="1"/>
    <col min="4616" max="4616" width="7" style="1" customWidth="1"/>
    <col min="4617" max="4617" width="6.42578125" style="1" customWidth="1"/>
    <col min="4618" max="4618" width="7" style="1" customWidth="1"/>
    <col min="4619" max="4619" width="6.5703125" style="1" customWidth="1"/>
    <col min="4620" max="4620" width="7" style="1" customWidth="1"/>
    <col min="4621" max="4621" width="6.42578125" style="1" customWidth="1"/>
    <col min="4622" max="4862" width="11.42578125" style="1"/>
    <col min="4863" max="4863" width="0.140625" style="1" customWidth="1"/>
    <col min="4864" max="4864" width="2.5703125" style="1" customWidth="1"/>
    <col min="4865" max="4865" width="15.42578125" style="1" customWidth="1"/>
    <col min="4866" max="4866" width="1.42578125" style="1" customWidth="1"/>
    <col min="4867" max="4867" width="29.140625" style="1" customWidth="1"/>
    <col min="4868" max="4868" width="7.85546875" style="1" bestFit="1" customWidth="1"/>
    <col min="4869" max="4869" width="7" style="1" customWidth="1"/>
    <col min="4870" max="4870" width="7.85546875" style="1" bestFit="1" customWidth="1"/>
    <col min="4871" max="4871" width="8.42578125" style="1" customWidth="1"/>
    <col min="4872" max="4872" width="7" style="1" customWidth="1"/>
    <col min="4873" max="4873" width="6.42578125" style="1" customWidth="1"/>
    <col min="4874" max="4874" width="7" style="1" customWidth="1"/>
    <col min="4875" max="4875" width="6.5703125" style="1" customWidth="1"/>
    <col min="4876" max="4876" width="7" style="1" customWidth="1"/>
    <col min="4877" max="4877" width="6.42578125" style="1" customWidth="1"/>
    <col min="4878" max="5118" width="11.42578125" style="1"/>
    <col min="5119" max="5119" width="0.140625" style="1" customWidth="1"/>
    <col min="5120" max="5120" width="2.5703125" style="1" customWidth="1"/>
    <col min="5121" max="5121" width="15.42578125" style="1" customWidth="1"/>
    <col min="5122" max="5122" width="1.42578125" style="1" customWidth="1"/>
    <col min="5123" max="5123" width="29.140625" style="1" customWidth="1"/>
    <col min="5124" max="5124" width="7.85546875" style="1" bestFit="1" customWidth="1"/>
    <col min="5125" max="5125" width="7" style="1" customWidth="1"/>
    <col min="5126" max="5126" width="7.85546875" style="1" bestFit="1" customWidth="1"/>
    <col min="5127" max="5127" width="8.42578125" style="1" customWidth="1"/>
    <col min="5128" max="5128" width="7" style="1" customWidth="1"/>
    <col min="5129" max="5129" width="6.42578125" style="1" customWidth="1"/>
    <col min="5130" max="5130" width="7" style="1" customWidth="1"/>
    <col min="5131" max="5131" width="6.5703125" style="1" customWidth="1"/>
    <col min="5132" max="5132" width="7" style="1" customWidth="1"/>
    <col min="5133" max="5133" width="6.42578125" style="1" customWidth="1"/>
    <col min="5134" max="5374" width="11.42578125" style="1"/>
    <col min="5375" max="5375" width="0.140625" style="1" customWidth="1"/>
    <col min="5376" max="5376" width="2.5703125" style="1" customWidth="1"/>
    <col min="5377" max="5377" width="15.42578125" style="1" customWidth="1"/>
    <col min="5378" max="5378" width="1.42578125" style="1" customWidth="1"/>
    <col min="5379" max="5379" width="29.140625" style="1" customWidth="1"/>
    <col min="5380" max="5380" width="7.85546875" style="1" bestFit="1" customWidth="1"/>
    <col min="5381" max="5381" width="7" style="1" customWidth="1"/>
    <col min="5382" max="5382" width="7.85546875" style="1" bestFit="1" customWidth="1"/>
    <col min="5383" max="5383" width="8.42578125" style="1" customWidth="1"/>
    <col min="5384" max="5384" width="7" style="1" customWidth="1"/>
    <col min="5385" max="5385" width="6.42578125" style="1" customWidth="1"/>
    <col min="5386" max="5386" width="7" style="1" customWidth="1"/>
    <col min="5387" max="5387" width="6.5703125" style="1" customWidth="1"/>
    <col min="5388" max="5388" width="7" style="1" customWidth="1"/>
    <col min="5389" max="5389" width="6.42578125" style="1" customWidth="1"/>
    <col min="5390" max="5630" width="11.42578125" style="1"/>
    <col min="5631" max="5631" width="0.140625" style="1" customWidth="1"/>
    <col min="5632" max="5632" width="2.5703125" style="1" customWidth="1"/>
    <col min="5633" max="5633" width="15.42578125" style="1" customWidth="1"/>
    <col min="5634" max="5634" width="1.42578125" style="1" customWidth="1"/>
    <col min="5635" max="5635" width="29.140625" style="1" customWidth="1"/>
    <col min="5636" max="5636" width="7.85546875" style="1" bestFit="1" customWidth="1"/>
    <col min="5637" max="5637" width="7" style="1" customWidth="1"/>
    <col min="5638" max="5638" width="7.85546875" style="1" bestFit="1" customWidth="1"/>
    <col min="5639" max="5639" width="8.42578125" style="1" customWidth="1"/>
    <col min="5640" max="5640" width="7" style="1" customWidth="1"/>
    <col min="5641" max="5641" width="6.42578125" style="1" customWidth="1"/>
    <col min="5642" max="5642" width="7" style="1" customWidth="1"/>
    <col min="5643" max="5643" width="6.5703125" style="1" customWidth="1"/>
    <col min="5644" max="5644" width="7" style="1" customWidth="1"/>
    <col min="5645" max="5645" width="6.42578125" style="1" customWidth="1"/>
    <col min="5646" max="5886" width="11.42578125" style="1"/>
    <col min="5887" max="5887" width="0.140625" style="1" customWidth="1"/>
    <col min="5888" max="5888" width="2.5703125" style="1" customWidth="1"/>
    <col min="5889" max="5889" width="15.42578125" style="1" customWidth="1"/>
    <col min="5890" max="5890" width="1.42578125" style="1" customWidth="1"/>
    <col min="5891" max="5891" width="29.140625" style="1" customWidth="1"/>
    <col min="5892" max="5892" width="7.85546875" style="1" bestFit="1" customWidth="1"/>
    <col min="5893" max="5893" width="7" style="1" customWidth="1"/>
    <col min="5894" max="5894" width="7.85546875" style="1" bestFit="1" customWidth="1"/>
    <col min="5895" max="5895" width="8.42578125" style="1" customWidth="1"/>
    <col min="5896" max="5896" width="7" style="1" customWidth="1"/>
    <col min="5897" max="5897" width="6.42578125" style="1" customWidth="1"/>
    <col min="5898" max="5898" width="7" style="1" customWidth="1"/>
    <col min="5899" max="5899" width="6.5703125" style="1" customWidth="1"/>
    <col min="5900" max="5900" width="7" style="1" customWidth="1"/>
    <col min="5901" max="5901" width="6.42578125" style="1" customWidth="1"/>
    <col min="5902" max="6142" width="11.42578125" style="1"/>
    <col min="6143" max="6143" width="0.140625" style="1" customWidth="1"/>
    <col min="6144" max="6144" width="2.5703125" style="1" customWidth="1"/>
    <col min="6145" max="6145" width="15.42578125" style="1" customWidth="1"/>
    <col min="6146" max="6146" width="1.42578125" style="1" customWidth="1"/>
    <col min="6147" max="6147" width="29.140625" style="1" customWidth="1"/>
    <col min="6148" max="6148" width="7.85546875" style="1" bestFit="1" customWidth="1"/>
    <col min="6149" max="6149" width="7" style="1" customWidth="1"/>
    <col min="6150" max="6150" width="7.85546875" style="1" bestFit="1" customWidth="1"/>
    <col min="6151" max="6151" width="8.42578125" style="1" customWidth="1"/>
    <col min="6152" max="6152" width="7" style="1" customWidth="1"/>
    <col min="6153" max="6153" width="6.42578125" style="1" customWidth="1"/>
    <col min="6154" max="6154" width="7" style="1" customWidth="1"/>
    <col min="6155" max="6155" width="6.5703125" style="1" customWidth="1"/>
    <col min="6156" max="6156" width="7" style="1" customWidth="1"/>
    <col min="6157" max="6157" width="6.42578125" style="1" customWidth="1"/>
    <col min="6158" max="6398" width="11.42578125" style="1"/>
    <col min="6399" max="6399" width="0.140625" style="1" customWidth="1"/>
    <col min="6400" max="6400" width="2.5703125" style="1" customWidth="1"/>
    <col min="6401" max="6401" width="15.42578125" style="1" customWidth="1"/>
    <col min="6402" max="6402" width="1.42578125" style="1" customWidth="1"/>
    <col min="6403" max="6403" width="29.140625" style="1" customWidth="1"/>
    <col min="6404" max="6404" width="7.85546875" style="1" bestFit="1" customWidth="1"/>
    <col min="6405" max="6405" width="7" style="1" customWidth="1"/>
    <col min="6406" max="6406" width="7.85546875" style="1" bestFit="1" customWidth="1"/>
    <col min="6407" max="6407" width="8.42578125" style="1" customWidth="1"/>
    <col min="6408" max="6408" width="7" style="1" customWidth="1"/>
    <col min="6409" max="6409" width="6.42578125" style="1" customWidth="1"/>
    <col min="6410" max="6410" width="7" style="1" customWidth="1"/>
    <col min="6411" max="6411" width="6.5703125" style="1" customWidth="1"/>
    <col min="6412" max="6412" width="7" style="1" customWidth="1"/>
    <col min="6413" max="6413" width="6.42578125" style="1" customWidth="1"/>
    <col min="6414" max="6654" width="11.42578125" style="1"/>
    <col min="6655" max="6655" width="0.140625" style="1" customWidth="1"/>
    <col min="6656" max="6656" width="2.5703125" style="1" customWidth="1"/>
    <col min="6657" max="6657" width="15.42578125" style="1" customWidth="1"/>
    <col min="6658" max="6658" width="1.42578125" style="1" customWidth="1"/>
    <col min="6659" max="6659" width="29.140625" style="1" customWidth="1"/>
    <col min="6660" max="6660" width="7.85546875" style="1" bestFit="1" customWidth="1"/>
    <col min="6661" max="6661" width="7" style="1" customWidth="1"/>
    <col min="6662" max="6662" width="7.85546875" style="1" bestFit="1" customWidth="1"/>
    <col min="6663" max="6663" width="8.42578125" style="1" customWidth="1"/>
    <col min="6664" max="6664" width="7" style="1" customWidth="1"/>
    <col min="6665" max="6665" width="6.42578125" style="1" customWidth="1"/>
    <col min="6666" max="6666" width="7" style="1" customWidth="1"/>
    <col min="6667" max="6667" width="6.5703125" style="1" customWidth="1"/>
    <col min="6668" max="6668" width="7" style="1" customWidth="1"/>
    <col min="6669" max="6669" width="6.42578125" style="1" customWidth="1"/>
    <col min="6670" max="6910" width="11.42578125" style="1"/>
    <col min="6911" max="6911" width="0.140625" style="1" customWidth="1"/>
    <col min="6912" max="6912" width="2.5703125" style="1" customWidth="1"/>
    <col min="6913" max="6913" width="15.42578125" style="1" customWidth="1"/>
    <col min="6914" max="6914" width="1.42578125" style="1" customWidth="1"/>
    <col min="6915" max="6915" width="29.140625" style="1" customWidth="1"/>
    <col min="6916" max="6916" width="7.85546875" style="1" bestFit="1" customWidth="1"/>
    <col min="6917" max="6917" width="7" style="1" customWidth="1"/>
    <col min="6918" max="6918" width="7.85546875" style="1" bestFit="1" customWidth="1"/>
    <col min="6919" max="6919" width="8.42578125" style="1" customWidth="1"/>
    <col min="6920" max="6920" width="7" style="1" customWidth="1"/>
    <col min="6921" max="6921" width="6.42578125" style="1" customWidth="1"/>
    <col min="6922" max="6922" width="7" style="1" customWidth="1"/>
    <col min="6923" max="6923" width="6.5703125" style="1" customWidth="1"/>
    <col min="6924" max="6924" width="7" style="1" customWidth="1"/>
    <col min="6925" max="6925" width="6.42578125" style="1" customWidth="1"/>
    <col min="6926" max="7166" width="11.42578125" style="1"/>
    <col min="7167" max="7167" width="0.140625" style="1" customWidth="1"/>
    <col min="7168" max="7168" width="2.5703125" style="1" customWidth="1"/>
    <col min="7169" max="7169" width="15.42578125" style="1" customWidth="1"/>
    <col min="7170" max="7170" width="1.42578125" style="1" customWidth="1"/>
    <col min="7171" max="7171" width="29.140625" style="1" customWidth="1"/>
    <col min="7172" max="7172" width="7.85546875" style="1" bestFit="1" customWidth="1"/>
    <col min="7173" max="7173" width="7" style="1" customWidth="1"/>
    <col min="7174" max="7174" width="7.85546875" style="1" bestFit="1" customWidth="1"/>
    <col min="7175" max="7175" width="8.42578125" style="1" customWidth="1"/>
    <col min="7176" max="7176" width="7" style="1" customWidth="1"/>
    <col min="7177" max="7177" width="6.42578125" style="1" customWidth="1"/>
    <col min="7178" max="7178" width="7" style="1" customWidth="1"/>
    <col min="7179" max="7179" width="6.5703125" style="1" customWidth="1"/>
    <col min="7180" max="7180" width="7" style="1" customWidth="1"/>
    <col min="7181" max="7181" width="6.42578125" style="1" customWidth="1"/>
    <col min="7182" max="7422" width="11.42578125" style="1"/>
    <col min="7423" max="7423" width="0.140625" style="1" customWidth="1"/>
    <col min="7424" max="7424" width="2.5703125" style="1" customWidth="1"/>
    <col min="7425" max="7425" width="15.42578125" style="1" customWidth="1"/>
    <col min="7426" max="7426" width="1.42578125" style="1" customWidth="1"/>
    <col min="7427" max="7427" width="29.140625" style="1" customWidth="1"/>
    <col min="7428" max="7428" width="7.85546875" style="1" bestFit="1" customWidth="1"/>
    <col min="7429" max="7429" width="7" style="1" customWidth="1"/>
    <col min="7430" max="7430" width="7.85546875" style="1" bestFit="1" customWidth="1"/>
    <col min="7431" max="7431" width="8.42578125" style="1" customWidth="1"/>
    <col min="7432" max="7432" width="7" style="1" customWidth="1"/>
    <col min="7433" max="7433" width="6.42578125" style="1" customWidth="1"/>
    <col min="7434" max="7434" width="7" style="1" customWidth="1"/>
    <col min="7435" max="7435" width="6.5703125" style="1" customWidth="1"/>
    <col min="7436" max="7436" width="7" style="1" customWidth="1"/>
    <col min="7437" max="7437" width="6.42578125" style="1" customWidth="1"/>
    <col min="7438" max="7678" width="11.42578125" style="1"/>
    <col min="7679" max="7679" width="0.140625" style="1" customWidth="1"/>
    <col min="7680" max="7680" width="2.5703125" style="1" customWidth="1"/>
    <col min="7681" max="7681" width="15.42578125" style="1" customWidth="1"/>
    <col min="7682" max="7682" width="1.42578125" style="1" customWidth="1"/>
    <col min="7683" max="7683" width="29.140625" style="1" customWidth="1"/>
    <col min="7684" max="7684" width="7.85546875" style="1" bestFit="1" customWidth="1"/>
    <col min="7685" max="7685" width="7" style="1" customWidth="1"/>
    <col min="7686" max="7686" width="7.85546875" style="1" bestFit="1" customWidth="1"/>
    <col min="7687" max="7687" width="8.42578125" style="1" customWidth="1"/>
    <col min="7688" max="7688" width="7" style="1" customWidth="1"/>
    <col min="7689" max="7689" width="6.42578125" style="1" customWidth="1"/>
    <col min="7690" max="7690" width="7" style="1" customWidth="1"/>
    <col min="7691" max="7691" width="6.5703125" style="1" customWidth="1"/>
    <col min="7692" max="7692" width="7" style="1" customWidth="1"/>
    <col min="7693" max="7693" width="6.42578125" style="1" customWidth="1"/>
    <col min="7694" max="7934" width="11.42578125" style="1"/>
    <col min="7935" max="7935" width="0.140625" style="1" customWidth="1"/>
    <col min="7936" max="7936" width="2.5703125" style="1" customWidth="1"/>
    <col min="7937" max="7937" width="15.42578125" style="1" customWidth="1"/>
    <col min="7938" max="7938" width="1.42578125" style="1" customWidth="1"/>
    <col min="7939" max="7939" width="29.140625" style="1" customWidth="1"/>
    <col min="7940" max="7940" width="7.85546875" style="1" bestFit="1" customWidth="1"/>
    <col min="7941" max="7941" width="7" style="1" customWidth="1"/>
    <col min="7942" max="7942" width="7.85546875" style="1" bestFit="1" customWidth="1"/>
    <col min="7943" max="7943" width="8.42578125" style="1" customWidth="1"/>
    <col min="7944" max="7944" width="7" style="1" customWidth="1"/>
    <col min="7945" max="7945" width="6.42578125" style="1" customWidth="1"/>
    <col min="7946" max="7946" width="7" style="1" customWidth="1"/>
    <col min="7947" max="7947" width="6.5703125" style="1" customWidth="1"/>
    <col min="7948" max="7948" width="7" style="1" customWidth="1"/>
    <col min="7949" max="7949" width="6.42578125" style="1" customWidth="1"/>
    <col min="7950" max="8190" width="11.42578125" style="1"/>
    <col min="8191" max="8191" width="0.140625" style="1" customWidth="1"/>
    <col min="8192" max="8192" width="2.5703125" style="1" customWidth="1"/>
    <col min="8193" max="8193" width="15.42578125" style="1" customWidth="1"/>
    <col min="8194" max="8194" width="1.42578125" style="1" customWidth="1"/>
    <col min="8195" max="8195" width="29.140625" style="1" customWidth="1"/>
    <col min="8196" max="8196" width="7.85546875" style="1" bestFit="1" customWidth="1"/>
    <col min="8197" max="8197" width="7" style="1" customWidth="1"/>
    <col min="8198" max="8198" width="7.85546875" style="1" bestFit="1" customWidth="1"/>
    <col min="8199" max="8199" width="8.42578125" style="1" customWidth="1"/>
    <col min="8200" max="8200" width="7" style="1" customWidth="1"/>
    <col min="8201" max="8201" width="6.42578125" style="1" customWidth="1"/>
    <col min="8202" max="8202" width="7" style="1" customWidth="1"/>
    <col min="8203" max="8203" width="6.5703125" style="1" customWidth="1"/>
    <col min="8204" max="8204" width="7" style="1" customWidth="1"/>
    <col min="8205" max="8205" width="6.42578125" style="1" customWidth="1"/>
    <col min="8206" max="8446" width="11.42578125" style="1"/>
    <col min="8447" max="8447" width="0.140625" style="1" customWidth="1"/>
    <col min="8448" max="8448" width="2.5703125" style="1" customWidth="1"/>
    <col min="8449" max="8449" width="15.42578125" style="1" customWidth="1"/>
    <col min="8450" max="8450" width="1.42578125" style="1" customWidth="1"/>
    <col min="8451" max="8451" width="29.140625" style="1" customWidth="1"/>
    <col min="8452" max="8452" width="7.85546875" style="1" bestFit="1" customWidth="1"/>
    <col min="8453" max="8453" width="7" style="1" customWidth="1"/>
    <col min="8454" max="8454" width="7.85546875" style="1" bestFit="1" customWidth="1"/>
    <col min="8455" max="8455" width="8.42578125" style="1" customWidth="1"/>
    <col min="8456" max="8456" width="7" style="1" customWidth="1"/>
    <col min="8457" max="8457" width="6.42578125" style="1" customWidth="1"/>
    <col min="8458" max="8458" width="7" style="1" customWidth="1"/>
    <col min="8459" max="8459" width="6.5703125" style="1" customWidth="1"/>
    <col min="8460" max="8460" width="7" style="1" customWidth="1"/>
    <col min="8461" max="8461" width="6.42578125" style="1" customWidth="1"/>
    <col min="8462" max="8702" width="11.42578125" style="1"/>
    <col min="8703" max="8703" width="0.140625" style="1" customWidth="1"/>
    <col min="8704" max="8704" width="2.5703125" style="1" customWidth="1"/>
    <col min="8705" max="8705" width="15.42578125" style="1" customWidth="1"/>
    <col min="8706" max="8706" width="1.42578125" style="1" customWidth="1"/>
    <col min="8707" max="8707" width="29.140625" style="1" customWidth="1"/>
    <col min="8708" max="8708" width="7.85546875" style="1" bestFit="1" customWidth="1"/>
    <col min="8709" max="8709" width="7" style="1" customWidth="1"/>
    <col min="8710" max="8710" width="7.85546875" style="1" bestFit="1" customWidth="1"/>
    <col min="8711" max="8711" width="8.42578125" style="1" customWidth="1"/>
    <col min="8712" max="8712" width="7" style="1" customWidth="1"/>
    <col min="8713" max="8713" width="6.42578125" style="1" customWidth="1"/>
    <col min="8714" max="8714" width="7" style="1" customWidth="1"/>
    <col min="8715" max="8715" width="6.5703125" style="1" customWidth="1"/>
    <col min="8716" max="8716" width="7" style="1" customWidth="1"/>
    <col min="8717" max="8717" width="6.42578125" style="1" customWidth="1"/>
    <col min="8718" max="8958" width="11.42578125" style="1"/>
    <col min="8959" max="8959" width="0.140625" style="1" customWidth="1"/>
    <col min="8960" max="8960" width="2.5703125" style="1" customWidth="1"/>
    <col min="8961" max="8961" width="15.42578125" style="1" customWidth="1"/>
    <col min="8962" max="8962" width="1.42578125" style="1" customWidth="1"/>
    <col min="8963" max="8963" width="29.140625" style="1" customWidth="1"/>
    <col min="8964" max="8964" width="7.85546875" style="1" bestFit="1" customWidth="1"/>
    <col min="8965" max="8965" width="7" style="1" customWidth="1"/>
    <col min="8966" max="8966" width="7.85546875" style="1" bestFit="1" customWidth="1"/>
    <col min="8967" max="8967" width="8.42578125" style="1" customWidth="1"/>
    <col min="8968" max="8968" width="7" style="1" customWidth="1"/>
    <col min="8969" max="8969" width="6.42578125" style="1" customWidth="1"/>
    <col min="8970" max="8970" width="7" style="1" customWidth="1"/>
    <col min="8971" max="8971" width="6.5703125" style="1" customWidth="1"/>
    <col min="8972" max="8972" width="7" style="1" customWidth="1"/>
    <col min="8973" max="8973" width="6.42578125" style="1" customWidth="1"/>
    <col min="8974" max="9214" width="11.42578125" style="1"/>
    <col min="9215" max="9215" width="0.140625" style="1" customWidth="1"/>
    <col min="9216" max="9216" width="2.5703125" style="1" customWidth="1"/>
    <col min="9217" max="9217" width="15.42578125" style="1" customWidth="1"/>
    <col min="9218" max="9218" width="1.42578125" style="1" customWidth="1"/>
    <col min="9219" max="9219" width="29.140625" style="1" customWidth="1"/>
    <col min="9220" max="9220" width="7.85546875" style="1" bestFit="1" customWidth="1"/>
    <col min="9221" max="9221" width="7" style="1" customWidth="1"/>
    <col min="9222" max="9222" width="7.85546875" style="1" bestFit="1" customWidth="1"/>
    <col min="9223" max="9223" width="8.42578125" style="1" customWidth="1"/>
    <col min="9224" max="9224" width="7" style="1" customWidth="1"/>
    <col min="9225" max="9225" width="6.42578125" style="1" customWidth="1"/>
    <col min="9226" max="9226" width="7" style="1" customWidth="1"/>
    <col min="9227" max="9227" width="6.5703125" style="1" customWidth="1"/>
    <col min="9228" max="9228" width="7" style="1" customWidth="1"/>
    <col min="9229" max="9229" width="6.42578125" style="1" customWidth="1"/>
    <col min="9230" max="9470" width="11.42578125" style="1"/>
    <col min="9471" max="9471" width="0.140625" style="1" customWidth="1"/>
    <col min="9472" max="9472" width="2.5703125" style="1" customWidth="1"/>
    <col min="9473" max="9473" width="15.42578125" style="1" customWidth="1"/>
    <col min="9474" max="9474" width="1.42578125" style="1" customWidth="1"/>
    <col min="9475" max="9475" width="29.140625" style="1" customWidth="1"/>
    <col min="9476" max="9476" width="7.85546875" style="1" bestFit="1" customWidth="1"/>
    <col min="9477" max="9477" width="7" style="1" customWidth="1"/>
    <col min="9478" max="9478" width="7.85546875" style="1" bestFit="1" customWidth="1"/>
    <col min="9479" max="9479" width="8.42578125" style="1" customWidth="1"/>
    <col min="9480" max="9480" width="7" style="1" customWidth="1"/>
    <col min="9481" max="9481" width="6.42578125" style="1" customWidth="1"/>
    <col min="9482" max="9482" width="7" style="1" customWidth="1"/>
    <col min="9483" max="9483" width="6.5703125" style="1" customWidth="1"/>
    <col min="9484" max="9484" width="7" style="1" customWidth="1"/>
    <col min="9485" max="9485" width="6.42578125" style="1" customWidth="1"/>
    <col min="9486" max="9726" width="11.42578125" style="1"/>
    <col min="9727" max="9727" width="0.140625" style="1" customWidth="1"/>
    <col min="9728" max="9728" width="2.5703125" style="1" customWidth="1"/>
    <col min="9729" max="9729" width="15.42578125" style="1" customWidth="1"/>
    <col min="9730" max="9730" width="1.42578125" style="1" customWidth="1"/>
    <col min="9731" max="9731" width="29.140625" style="1" customWidth="1"/>
    <col min="9732" max="9732" width="7.85546875" style="1" bestFit="1" customWidth="1"/>
    <col min="9733" max="9733" width="7" style="1" customWidth="1"/>
    <col min="9734" max="9734" width="7.85546875" style="1" bestFit="1" customWidth="1"/>
    <col min="9735" max="9735" width="8.42578125" style="1" customWidth="1"/>
    <col min="9736" max="9736" width="7" style="1" customWidth="1"/>
    <col min="9737" max="9737" width="6.42578125" style="1" customWidth="1"/>
    <col min="9738" max="9738" width="7" style="1" customWidth="1"/>
    <col min="9739" max="9739" width="6.5703125" style="1" customWidth="1"/>
    <col min="9740" max="9740" width="7" style="1" customWidth="1"/>
    <col min="9741" max="9741" width="6.42578125" style="1" customWidth="1"/>
    <col min="9742" max="9982" width="11.42578125" style="1"/>
    <col min="9983" max="9983" width="0.140625" style="1" customWidth="1"/>
    <col min="9984" max="9984" width="2.5703125" style="1" customWidth="1"/>
    <col min="9985" max="9985" width="15.42578125" style="1" customWidth="1"/>
    <col min="9986" max="9986" width="1.42578125" style="1" customWidth="1"/>
    <col min="9987" max="9987" width="29.140625" style="1" customWidth="1"/>
    <col min="9988" max="9988" width="7.85546875" style="1" bestFit="1" customWidth="1"/>
    <col min="9989" max="9989" width="7" style="1" customWidth="1"/>
    <col min="9990" max="9990" width="7.85546875" style="1" bestFit="1" customWidth="1"/>
    <col min="9991" max="9991" width="8.42578125" style="1" customWidth="1"/>
    <col min="9992" max="9992" width="7" style="1" customWidth="1"/>
    <col min="9993" max="9993" width="6.42578125" style="1" customWidth="1"/>
    <col min="9994" max="9994" width="7" style="1" customWidth="1"/>
    <col min="9995" max="9995" width="6.5703125" style="1" customWidth="1"/>
    <col min="9996" max="9996" width="7" style="1" customWidth="1"/>
    <col min="9997" max="9997" width="6.42578125" style="1" customWidth="1"/>
    <col min="9998" max="10238" width="11.42578125" style="1"/>
    <col min="10239" max="10239" width="0.140625" style="1" customWidth="1"/>
    <col min="10240" max="10240" width="2.5703125" style="1" customWidth="1"/>
    <col min="10241" max="10241" width="15.42578125" style="1" customWidth="1"/>
    <col min="10242" max="10242" width="1.42578125" style="1" customWidth="1"/>
    <col min="10243" max="10243" width="29.140625" style="1" customWidth="1"/>
    <col min="10244" max="10244" width="7.85546875" style="1" bestFit="1" customWidth="1"/>
    <col min="10245" max="10245" width="7" style="1" customWidth="1"/>
    <col min="10246" max="10246" width="7.85546875" style="1" bestFit="1" customWidth="1"/>
    <col min="10247" max="10247" width="8.42578125" style="1" customWidth="1"/>
    <col min="10248" max="10248" width="7" style="1" customWidth="1"/>
    <col min="10249" max="10249" width="6.42578125" style="1" customWidth="1"/>
    <col min="10250" max="10250" width="7" style="1" customWidth="1"/>
    <col min="10251" max="10251" width="6.5703125" style="1" customWidth="1"/>
    <col min="10252" max="10252" width="7" style="1" customWidth="1"/>
    <col min="10253" max="10253" width="6.42578125" style="1" customWidth="1"/>
    <col min="10254" max="10494" width="11.42578125" style="1"/>
    <col min="10495" max="10495" width="0.140625" style="1" customWidth="1"/>
    <col min="10496" max="10496" width="2.5703125" style="1" customWidth="1"/>
    <col min="10497" max="10497" width="15.42578125" style="1" customWidth="1"/>
    <col min="10498" max="10498" width="1.42578125" style="1" customWidth="1"/>
    <col min="10499" max="10499" width="29.140625" style="1" customWidth="1"/>
    <col min="10500" max="10500" width="7.85546875" style="1" bestFit="1" customWidth="1"/>
    <col min="10501" max="10501" width="7" style="1" customWidth="1"/>
    <col min="10502" max="10502" width="7.85546875" style="1" bestFit="1" customWidth="1"/>
    <col min="10503" max="10503" width="8.42578125" style="1" customWidth="1"/>
    <col min="10504" max="10504" width="7" style="1" customWidth="1"/>
    <col min="10505" max="10505" width="6.42578125" style="1" customWidth="1"/>
    <col min="10506" max="10506" width="7" style="1" customWidth="1"/>
    <col min="10507" max="10507" width="6.5703125" style="1" customWidth="1"/>
    <col min="10508" max="10508" width="7" style="1" customWidth="1"/>
    <col min="10509" max="10509" width="6.42578125" style="1" customWidth="1"/>
    <col min="10510" max="10750" width="11.42578125" style="1"/>
    <col min="10751" max="10751" width="0.140625" style="1" customWidth="1"/>
    <col min="10752" max="10752" width="2.5703125" style="1" customWidth="1"/>
    <col min="10753" max="10753" width="15.42578125" style="1" customWidth="1"/>
    <col min="10754" max="10754" width="1.42578125" style="1" customWidth="1"/>
    <col min="10755" max="10755" width="29.140625" style="1" customWidth="1"/>
    <col min="10756" max="10756" width="7.85546875" style="1" bestFit="1" customWidth="1"/>
    <col min="10757" max="10757" width="7" style="1" customWidth="1"/>
    <col min="10758" max="10758" width="7.85546875" style="1" bestFit="1" customWidth="1"/>
    <col min="10759" max="10759" width="8.42578125" style="1" customWidth="1"/>
    <col min="10760" max="10760" width="7" style="1" customWidth="1"/>
    <col min="10761" max="10761" width="6.42578125" style="1" customWidth="1"/>
    <col min="10762" max="10762" width="7" style="1" customWidth="1"/>
    <col min="10763" max="10763" width="6.5703125" style="1" customWidth="1"/>
    <col min="10764" max="10764" width="7" style="1" customWidth="1"/>
    <col min="10765" max="10765" width="6.42578125" style="1" customWidth="1"/>
    <col min="10766" max="11006" width="11.42578125" style="1"/>
    <col min="11007" max="11007" width="0.140625" style="1" customWidth="1"/>
    <col min="11008" max="11008" width="2.5703125" style="1" customWidth="1"/>
    <col min="11009" max="11009" width="15.42578125" style="1" customWidth="1"/>
    <col min="11010" max="11010" width="1.42578125" style="1" customWidth="1"/>
    <col min="11011" max="11011" width="29.140625" style="1" customWidth="1"/>
    <col min="11012" max="11012" width="7.85546875" style="1" bestFit="1" customWidth="1"/>
    <col min="11013" max="11013" width="7" style="1" customWidth="1"/>
    <col min="11014" max="11014" width="7.85546875" style="1" bestFit="1" customWidth="1"/>
    <col min="11015" max="11015" width="8.42578125" style="1" customWidth="1"/>
    <col min="11016" max="11016" width="7" style="1" customWidth="1"/>
    <col min="11017" max="11017" width="6.42578125" style="1" customWidth="1"/>
    <col min="11018" max="11018" width="7" style="1" customWidth="1"/>
    <col min="11019" max="11019" width="6.5703125" style="1" customWidth="1"/>
    <col min="11020" max="11020" width="7" style="1" customWidth="1"/>
    <col min="11021" max="11021" width="6.42578125" style="1" customWidth="1"/>
    <col min="11022" max="11262" width="11.42578125" style="1"/>
    <col min="11263" max="11263" width="0.140625" style="1" customWidth="1"/>
    <col min="11264" max="11264" width="2.5703125" style="1" customWidth="1"/>
    <col min="11265" max="11265" width="15.42578125" style="1" customWidth="1"/>
    <col min="11266" max="11266" width="1.42578125" style="1" customWidth="1"/>
    <col min="11267" max="11267" width="29.140625" style="1" customWidth="1"/>
    <col min="11268" max="11268" width="7.85546875" style="1" bestFit="1" customWidth="1"/>
    <col min="11269" max="11269" width="7" style="1" customWidth="1"/>
    <col min="11270" max="11270" width="7.85546875" style="1" bestFit="1" customWidth="1"/>
    <col min="11271" max="11271" width="8.42578125" style="1" customWidth="1"/>
    <col min="11272" max="11272" width="7" style="1" customWidth="1"/>
    <col min="11273" max="11273" width="6.42578125" style="1" customWidth="1"/>
    <col min="11274" max="11274" width="7" style="1" customWidth="1"/>
    <col min="11275" max="11275" width="6.5703125" style="1" customWidth="1"/>
    <col min="11276" max="11276" width="7" style="1" customWidth="1"/>
    <col min="11277" max="11277" width="6.42578125" style="1" customWidth="1"/>
    <col min="11278" max="11518" width="11.42578125" style="1"/>
    <col min="11519" max="11519" width="0.140625" style="1" customWidth="1"/>
    <col min="11520" max="11520" width="2.5703125" style="1" customWidth="1"/>
    <col min="11521" max="11521" width="15.42578125" style="1" customWidth="1"/>
    <col min="11522" max="11522" width="1.42578125" style="1" customWidth="1"/>
    <col min="11523" max="11523" width="29.140625" style="1" customWidth="1"/>
    <col min="11524" max="11524" width="7.85546875" style="1" bestFit="1" customWidth="1"/>
    <col min="11525" max="11525" width="7" style="1" customWidth="1"/>
    <col min="11526" max="11526" width="7.85546875" style="1" bestFit="1" customWidth="1"/>
    <col min="11527" max="11527" width="8.42578125" style="1" customWidth="1"/>
    <col min="11528" max="11528" width="7" style="1" customWidth="1"/>
    <col min="11529" max="11529" width="6.42578125" style="1" customWidth="1"/>
    <col min="11530" max="11530" width="7" style="1" customWidth="1"/>
    <col min="11531" max="11531" width="6.5703125" style="1" customWidth="1"/>
    <col min="11532" max="11532" width="7" style="1" customWidth="1"/>
    <col min="11533" max="11533" width="6.42578125" style="1" customWidth="1"/>
    <col min="11534" max="11774" width="11.42578125" style="1"/>
    <col min="11775" max="11775" width="0.140625" style="1" customWidth="1"/>
    <col min="11776" max="11776" width="2.5703125" style="1" customWidth="1"/>
    <col min="11777" max="11777" width="15.42578125" style="1" customWidth="1"/>
    <col min="11778" max="11778" width="1.42578125" style="1" customWidth="1"/>
    <col min="11779" max="11779" width="29.140625" style="1" customWidth="1"/>
    <col min="11780" max="11780" width="7.85546875" style="1" bestFit="1" customWidth="1"/>
    <col min="11781" max="11781" width="7" style="1" customWidth="1"/>
    <col min="11782" max="11782" width="7.85546875" style="1" bestFit="1" customWidth="1"/>
    <col min="11783" max="11783" width="8.42578125" style="1" customWidth="1"/>
    <col min="11784" max="11784" width="7" style="1" customWidth="1"/>
    <col min="11785" max="11785" width="6.42578125" style="1" customWidth="1"/>
    <col min="11786" max="11786" width="7" style="1" customWidth="1"/>
    <col min="11787" max="11787" width="6.5703125" style="1" customWidth="1"/>
    <col min="11788" max="11788" width="7" style="1" customWidth="1"/>
    <col min="11789" max="11789" width="6.42578125" style="1" customWidth="1"/>
    <col min="11790" max="12030" width="11.42578125" style="1"/>
    <col min="12031" max="12031" width="0.140625" style="1" customWidth="1"/>
    <col min="12032" max="12032" width="2.5703125" style="1" customWidth="1"/>
    <col min="12033" max="12033" width="15.42578125" style="1" customWidth="1"/>
    <col min="12034" max="12034" width="1.42578125" style="1" customWidth="1"/>
    <col min="12035" max="12035" width="29.140625" style="1" customWidth="1"/>
    <col min="12036" max="12036" width="7.85546875" style="1" bestFit="1" customWidth="1"/>
    <col min="12037" max="12037" width="7" style="1" customWidth="1"/>
    <col min="12038" max="12038" width="7.85546875" style="1" bestFit="1" customWidth="1"/>
    <col min="12039" max="12039" width="8.42578125" style="1" customWidth="1"/>
    <col min="12040" max="12040" width="7" style="1" customWidth="1"/>
    <col min="12041" max="12041" width="6.42578125" style="1" customWidth="1"/>
    <col min="12042" max="12042" width="7" style="1" customWidth="1"/>
    <col min="12043" max="12043" width="6.5703125" style="1" customWidth="1"/>
    <col min="12044" max="12044" width="7" style="1" customWidth="1"/>
    <col min="12045" max="12045" width="6.42578125" style="1" customWidth="1"/>
    <col min="12046" max="12286" width="11.42578125" style="1"/>
    <col min="12287" max="12287" width="0.140625" style="1" customWidth="1"/>
    <col min="12288" max="12288" width="2.5703125" style="1" customWidth="1"/>
    <col min="12289" max="12289" width="15.42578125" style="1" customWidth="1"/>
    <col min="12290" max="12290" width="1.42578125" style="1" customWidth="1"/>
    <col min="12291" max="12291" width="29.140625" style="1" customWidth="1"/>
    <col min="12292" max="12292" width="7.85546875" style="1" bestFit="1" customWidth="1"/>
    <col min="12293" max="12293" width="7" style="1" customWidth="1"/>
    <col min="12294" max="12294" width="7.85546875" style="1" bestFit="1" customWidth="1"/>
    <col min="12295" max="12295" width="8.42578125" style="1" customWidth="1"/>
    <col min="12296" max="12296" width="7" style="1" customWidth="1"/>
    <col min="12297" max="12297" width="6.42578125" style="1" customWidth="1"/>
    <col min="12298" max="12298" width="7" style="1" customWidth="1"/>
    <col min="12299" max="12299" width="6.5703125" style="1" customWidth="1"/>
    <col min="12300" max="12300" width="7" style="1" customWidth="1"/>
    <col min="12301" max="12301" width="6.42578125" style="1" customWidth="1"/>
    <col min="12302" max="12542" width="11.42578125" style="1"/>
    <col min="12543" max="12543" width="0.140625" style="1" customWidth="1"/>
    <col min="12544" max="12544" width="2.5703125" style="1" customWidth="1"/>
    <col min="12545" max="12545" width="15.42578125" style="1" customWidth="1"/>
    <col min="12546" max="12546" width="1.42578125" style="1" customWidth="1"/>
    <col min="12547" max="12547" width="29.140625" style="1" customWidth="1"/>
    <col min="12548" max="12548" width="7.85546875" style="1" bestFit="1" customWidth="1"/>
    <col min="12549" max="12549" width="7" style="1" customWidth="1"/>
    <col min="12550" max="12550" width="7.85546875" style="1" bestFit="1" customWidth="1"/>
    <col min="12551" max="12551" width="8.42578125" style="1" customWidth="1"/>
    <col min="12552" max="12552" width="7" style="1" customWidth="1"/>
    <col min="12553" max="12553" width="6.42578125" style="1" customWidth="1"/>
    <col min="12554" max="12554" width="7" style="1" customWidth="1"/>
    <col min="12555" max="12555" width="6.5703125" style="1" customWidth="1"/>
    <col min="12556" max="12556" width="7" style="1" customWidth="1"/>
    <col min="12557" max="12557" width="6.42578125" style="1" customWidth="1"/>
    <col min="12558" max="12798" width="11.42578125" style="1"/>
    <col min="12799" max="12799" width="0.140625" style="1" customWidth="1"/>
    <col min="12800" max="12800" width="2.5703125" style="1" customWidth="1"/>
    <col min="12801" max="12801" width="15.42578125" style="1" customWidth="1"/>
    <col min="12802" max="12802" width="1.42578125" style="1" customWidth="1"/>
    <col min="12803" max="12803" width="29.140625" style="1" customWidth="1"/>
    <col min="12804" max="12804" width="7.85546875" style="1" bestFit="1" customWidth="1"/>
    <col min="12805" max="12805" width="7" style="1" customWidth="1"/>
    <col min="12806" max="12806" width="7.85546875" style="1" bestFit="1" customWidth="1"/>
    <col min="12807" max="12807" width="8.42578125" style="1" customWidth="1"/>
    <col min="12808" max="12808" width="7" style="1" customWidth="1"/>
    <col min="12809" max="12809" width="6.42578125" style="1" customWidth="1"/>
    <col min="12810" max="12810" width="7" style="1" customWidth="1"/>
    <col min="12811" max="12811" width="6.5703125" style="1" customWidth="1"/>
    <col min="12812" max="12812" width="7" style="1" customWidth="1"/>
    <col min="12813" max="12813" width="6.42578125" style="1" customWidth="1"/>
    <col min="12814" max="13054" width="11.42578125" style="1"/>
    <col min="13055" max="13055" width="0.140625" style="1" customWidth="1"/>
    <col min="13056" max="13056" width="2.5703125" style="1" customWidth="1"/>
    <col min="13057" max="13057" width="15.42578125" style="1" customWidth="1"/>
    <col min="13058" max="13058" width="1.42578125" style="1" customWidth="1"/>
    <col min="13059" max="13059" width="29.140625" style="1" customWidth="1"/>
    <col min="13060" max="13060" width="7.85546875" style="1" bestFit="1" customWidth="1"/>
    <col min="13061" max="13061" width="7" style="1" customWidth="1"/>
    <col min="13062" max="13062" width="7.85546875" style="1" bestFit="1" customWidth="1"/>
    <col min="13063" max="13063" width="8.42578125" style="1" customWidth="1"/>
    <col min="13064" max="13064" width="7" style="1" customWidth="1"/>
    <col min="13065" max="13065" width="6.42578125" style="1" customWidth="1"/>
    <col min="13066" max="13066" width="7" style="1" customWidth="1"/>
    <col min="13067" max="13067" width="6.5703125" style="1" customWidth="1"/>
    <col min="13068" max="13068" width="7" style="1" customWidth="1"/>
    <col min="13069" max="13069" width="6.42578125" style="1" customWidth="1"/>
    <col min="13070" max="13310" width="11.42578125" style="1"/>
    <col min="13311" max="13311" width="0.140625" style="1" customWidth="1"/>
    <col min="13312" max="13312" width="2.5703125" style="1" customWidth="1"/>
    <col min="13313" max="13313" width="15.42578125" style="1" customWidth="1"/>
    <col min="13314" max="13314" width="1.42578125" style="1" customWidth="1"/>
    <col min="13315" max="13315" width="29.140625" style="1" customWidth="1"/>
    <col min="13316" max="13316" width="7.85546875" style="1" bestFit="1" customWidth="1"/>
    <col min="13317" max="13317" width="7" style="1" customWidth="1"/>
    <col min="13318" max="13318" width="7.85546875" style="1" bestFit="1" customWidth="1"/>
    <col min="13319" max="13319" width="8.42578125" style="1" customWidth="1"/>
    <col min="13320" max="13320" width="7" style="1" customWidth="1"/>
    <col min="13321" max="13321" width="6.42578125" style="1" customWidth="1"/>
    <col min="13322" max="13322" width="7" style="1" customWidth="1"/>
    <col min="13323" max="13323" width="6.5703125" style="1" customWidth="1"/>
    <col min="13324" max="13324" width="7" style="1" customWidth="1"/>
    <col min="13325" max="13325" width="6.42578125" style="1" customWidth="1"/>
    <col min="13326" max="13566" width="11.42578125" style="1"/>
    <col min="13567" max="13567" width="0.140625" style="1" customWidth="1"/>
    <col min="13568" max="13568" width="2.5703125" style="1" customWidth="1"/>
    <col min="13569" max="13569" width="15.42578125" style="1" customWidth="1"/>
    <col min="13570" max="13570" width="1.42578125" style="1" customWidth="1"/>
    <col min="13571" max="13571" width="29.140625" style="1" customWidth="1"/>
    <col min="13572" max="13572" width="7.85546875" style="1" bestFit="1" customWidth="1"/>
    <col min="13573" max="13573" width="7" style="1" customWidth="1"/>
    <col min="13574" max="13574" width="7.85546875" style="1" bestFit="1" customWidth="1"/>
    <col min="13575" max="13575" width="8.42578125" style="1" customWidth="1"/>
    <col min="13576" max="13576" width="7" style="1" customWidth="1"/>
    <col min="13577" max="13577" width="6.42578125" style="1" customWidth="1"/>
    <col min="13578" max="13578" width="7" style="1" customWidth="1"/>
    <col min="13579" max="13579" width="6.5703125" style="1" customWidth="1"/>
    <col min="13580" max="13580" width="7" style="1" customWidth="1"/>
    <col min="13581" max="13581" width="6.42578125" style="1" customWidth="1"/>
    <col min="13582" max="13822" width="11.42578125" style="1"/>
    <col min="13823" max="13823" width="0.140625" style="1" customWidth="1"/>
    <col min="13824" max="13824" width="2.5703125" style="1" customWidth="1"/>
    <col min="13825" max="13825" width="15.42578125" style="1" customWidth="1"/>
    <col min="13826" max="13826" width="1.42578125" style="1" customWidth="1"/>
    <col min="13827" max="13827" width="29.140625" style="1" customWidth="1"/>
    <col min="13828" max="13828" width="7.85546875" style="1" bestFit="1" customWidth="1"/>
    <col min="13829" max="13829" width="7" style="1" customWidth="1"/>
    <col min="13830" max="13830" width="7.85546875" style="1" bestFit="1" customWidth="1"/>
    <col min="13831" max="13831" width="8.42578125" style="1" customWidth="1"/>
    <col min="13832" max="13832" width="7" style="1" customWidth="1"/>
    <col min="13833" max="13833" width="6.42578125" style="1" customWidth="1"/>
    <col min="13834" max="13834" width="7" style="1" customWidth="1"/>
    <col min="13835" max="13835" width="6.5703125" style="1" customWidth="1"/>
    <col min="13836" max="13836" width="7" style="1" customWidth="1"/>
    <col min="13837" max="13837" width="6.42578125" style="1" customWidth="1"/>
    <col min="13838" max="14078" width="11.42578125" style="1"/>
    <col min="14079" max="14079" width="0.140625" style="1" customWidth="1"/>
    <col min="14080" max="14080" width="2.5703125" style="1" customWidth="1"/>
    <col min="14081" max="14081" width="15.42578125" style="1" customWidth="1"/>
    <col min="14082" max="14082" width="1.42578125" style="1" customWidth="1"/>
    <col min="14083" max="14083" width="29.140625" style="1" customWidth="1"/>
    <col min="14084" max="14084" width="7.85546875" style="1" bestFit="1" customWidth="1"/>
    <col min="14085" max="14085" width="7" style="1" customWidth="1"/>
    <col min="14086" max="14086" width="7.85546875" style="1" bestFit="1" customWidth="1"/>
    <col min="14087" max="14087" width="8.42578125" style="1" customWidth="1"/>
    <col min="14088" max="14088" width="7" style="1" customWidth="1"/>
    <col min="14089" max="14089" width="6.42578125" style="1" customWidth="1"/>
    <col min="14090" max="14090" width="7" style="1" customWidth="1"/>
    <col min="14091" max="14091" width="6.5703125" style="1" customWidth="1"/>
    <col min="14092" max="14092" width="7" style="1" customWidth="1"/>
    <col min="14093" max="14093" width="6.42578125" style="1" customWidth="1"/>
    <col min="14094" max="14334" width="11.42578125" style="1"/>
    <col min="14335" max="14335" width="0.140625" style="1" customWidth="1"/>
    <col min="14336" max="14336" width="2.5703125" style="1" customWidth="1"/>
    <col min="14337" max="14337" width="15.42578125" style="1" customWidth="1"/>
    <col min="14338" max="14338" width="1.42578125" style="1" customWidth="1"/>
    <col min="14339" max="14339" width="29.140625" style="1" customWidth="1"/>
    <col min="14340" max="14340" width="7.85546875" style="1" bestFit="1" customWidth="1"/>
    <col min="14341" max="14341" width="7" style="1" customWidth="1"/>
    <col min="14342" max="14342" width="7.85546875" style="1" bestFit="1" customWidth="1"/>
    <col min="14343" max="14343" width="8.42578125" style="1" customWidth="1"/>
    <col min="14344" max="14344" width="7" style="1" customWidth="1"/>
    <col min="14345" max="14345" width="6.42578125" style="1" customWidth="1"/>
    <col min="14346" max="14346" width="7" style="1" customWidth="1"/>
    <col min="14347" max="14347" width="6.5703125" style="1" customWidth="1"/>
    <col min="14348" max="14348" width="7" style="1" customWidth="1"/>
    <col min="14349" max="14349" width="6.42578125" style="1" customWidth="1"/>
    <col min="14350" max="14590" width="11.42578125" style="1"/>
    <col min="14591" max="14591" width="0.140625" style="1" customWidth="1"/>
    <col min="14592" max="14592" width="2.5703125" style="1" customWidth="1"/>
    <col min="14593" max="14593" width="15.42578125" style="1" customWidth="1"/>
    <col min="14594" max="14594" width="1.42578125" style="1" customWidth="1"/>
    <col min="14595" max="14595" width="29.140625" style="1" customWidth="1"/>
    <col min="14596" max="14596" width="7.85546875" style="1" bestFit="1" customWidth="1"/>
    <col min="14597" max="14597" width="7" style="1" customWidth="1"/>
    <col min="14598" max="14598" width="7.85546875" style="1" bestFit="1" customWidth="1"/>
    <col min="14599" max="14599" width="8.42578125" style="1" customWidth="1"/>
    <col min="14600" max="14600" width="7" style="1" customWidth="1"/>
    <col min="14601" max="14601" width="6.42578125" style="1" customWidth="1"/>
    <col min="14602" max="14602" width="7" style="1" customWidth="1"/>
    <col min="14603" max="14603" width="6.5703125" style="1" customWidth="1"/>
    <col min="14604" max="14604" width="7" style="1" customWidth="1"/>
    <col min="14605" max="14605" width="6.42578125" style="1" customWidth="1"/>
    <col min="14606" max="14846" width="11.42578125" style="1"/>
    <col min="14847" max="14847" width="0.140625" style="1" customWidth="1"/>
    <col min="14848" max="14848" width="2.5703125" style="1" customWidth="1"/>
    <col min="14849" max="14849" width="15.42578125" style="1" customWidth="1"/>
    <col min="14850" max="14850" width="1.42578125" style="1" customWidth="1"/>
    <col min="14851" max="14851" width="29.140625" style="1" customWidth="1"/>
    <col min="14852" max="14852" width="7.85546875" style="1" bestFit="1" customWidth="1"/>
    <col min="14853" max="14853" width="7" style="1" customWidth="1"/>
    <col min="14854" max="14854" width="7.85546875" style="1" bestFit="1" customWidth="1"/>
    <col min="14855" max="14855" width="8.42578125" style="1" customWidth="1"/>
    <col min="14856" max="14856" width="7" style="1" customWidth="1"/>
    <col min="14857" max="14857" width="6.42578125" style="1" customWidth="1"/>
    <col min="14858" max="14858" width="7" style="1" customWidth="1"/>
    <col min="14859" max="14859" width="6.5703125" style="1" customWidth="1"/>
    <col min="14860" max="14860" width="7" style="1" customWidth="1"/>
    <col min="14861" max="14861" width="6.42578125" style="1" customWidth="1"/>
    <col min="14862" max="15102" width="11.42578125" style="1"/>
    <col min="15103" max="15103" width="0.140625" style="1" customWidth="1"/>
    <col min="15104" max="15104" width="2.5703125" style="1" customWidth="1"/>
    <col min="15105" max="15105" width="15.42578125" style="1" customWidth="1"/>
    <col min="15106" max="15106" width="1.42578125" style="1" customWidth="1"/>
    <col min="15107" max="15107" width="29.140625" style="1" customWidth="1"/>
    <col min="15108" max="15108" width="7.85546875" style="1" bestFit="1" customWidth="1"/>
    <col min="15109" max="15109" width="7" style="1" customWidth="1"/>
    <col min="15110" max="15110" width="7.85546875" style="1" bestFit="1" customWidth="1"/>
    <col min="15111" max="15111" width="8.42578125" style="1" customWidth="1"/>
    <col min="15112" max="15112" width="7" style="1" customWidth="1"/>
    <col min="15113" max="15113" width="6.42578125" style="1" customWidth="1"/>
    <col min="15114" max="15114" width="7" style="1" customWidth="1"/>
    <col min="15115" max="15115" width="6.5703125" style="1" customWidth="1"/>
    <col min="15116" max="15116" width="7" style="1" customWidth="1"/>
    <col min="15117" max="15117" width="6.42578125" style="1" customWidth="1"/>
    <col min="15118" max="15358" width="11.42578125" style="1"/>
    <col min="15359" max="15359" width="0.140625" style="1" customWidth="1"/>
    <col min="15360" max="15360" width="2.5703125" style="1" customWidth="1"/>
    <col min="15361" max="15361" width="15.42578125" style="1" customWidth="1"/>
    <col min="15362" max="15362" width="1.42578125" style="1" customWidth="1"/>
    <col min="15363" max="15363" width="29.140625" style="1" customWidth="1"/>
    <col min="15364" max="15364" width="7.85546875" style="1" bestFit="1" customWidth="1"/>
    <col min="15365" max="15365" width="7" style="1" customWidth="1"/>
    <col min="15366" max="15366" width="7.85546875" style="1" bestFit="1" customWidth="1"/>
    <col min="15367" max="15367" width="8.42578125" style="1" customWidth="1"/>
    <col min="15368" max="15368" width="7" style="1" customWidth="1"/>
    <col min="15369" max="15369" width="6.42578125" style="1" customWidth="1"/>
    <col min="15370" max="15370" width="7" style="1" customWidth="1"/>
    <col min="15371" max="15371" width="6.5703125" style="1" customWidth="1"/>
    <col min="15372" max="15372" width="7" style="1" customWidth="1"/>
    <col min="15373" max="15373" width="6.42578125" style="1" customWidth="1"/>
    <col min="15374" max="15614" width="11.42578125" style="1"/>
    <col min="15615" max="15615" width="0.140625" style="1" customWidth="1"/>
    <col min="15616" max="15616" width="2.5703125" style="1" customWidth="1"/>
    <col min="15617" max="15617" width="15.42578125" style="1" customWidth="1"/>
    <col min="15618" max="15618" width="1.42578125" style="1" customWidth="1"/>
    <col min="15619" max="15619" width="29.140625" style="1" customWidth="1"/>
    <col min="15620" max="15620" width="7.85546875" style="1" bestFit="1" customWidth="1"/>
    <col min="15621" max="15621" width="7" style="1" customWidth="1"/>
    <col min="15622" max="15622" width="7.85546875" style="1" bestFit="1" customWidth="1"/>
    <col min="15623" max="15623" width="8.42578125" style="1" customWidth="1"/>
    <col min="15624" max="15624" width="7" style="1" customWidth="1"/>
    <col min="15625" max="15625" width="6.42578125" style="1" customWidth="1"/>
    <col min="15626" max="15626" width="7" style="1" customWidth="1"/>
    <col min="15627" max="15627" width="6.5703125" style="1" customWidth="1"/>
    <col min="15628" max="15628" width="7" style="1" customWidth="1"/>
    <col min="15629" max="15629" width="6.42578125" style="1" customWidth="1"/>
    <col min="15630" max="15870" width="11.42578125" style="1"/>
    <col min="15871" max="15871" width="0.140625" style="1" customWidth="1"/>
    <col min="15872" max="15872" width="2.5703125" style="1" customWidth="1"/>
    <col min="15873" max="15873" width="15.42578125" style="1" customWidth="1"/>
    <col min="15874" max="15874" width="1.42578125" style="1" customWidth="1"/>
    <col min="15875" max="15875" width="29.140625" style="1" customWidth="1"/>
    <col min="15876" max="15876" width="7.85546875" style="1" bestFit="1" customWidth="1"/>
    <col min="15877" max="15877" width="7" style="1" customWidth="1"/>
    <col min="15878" max="15878" width="7.85546875" style="1" bestFit="1" customWidth="1"/>
    <col min="15879" max="15879" width="8.42578125" style="1" customWidth="1"/>
    <col min="15880" max="15880" width="7" style="1" customWidth="1"/>
    <col min="15881" max="15881" width="6.42578125" style="1" customWidth="1"/>
    <col min="15882" max="15882" width="7" style="1" customWidth="1"/>
    <col min="15883" max="15883" width="6.5703125" style="1" customWidth="1"/>
    <col min="15884" max="15884" width="7" style="1" customWidth="1"/>
    <col min="15885" max="15885" width="6.42578125" style="1" customWidth="1"/>
    <col min="15886" max="16126" width="11.42578125" style="1"/>
    <col min="16127" max="16127" width="0.140625" style="1" customWidth="1"/>
    <col min="16128" max="16128" width="2.5703125" style="1" customWidth="1"/>
    <col min="16129" max="16129" width="15.42578125" style="1" customWidth="1"/>
    <col min="16130" max="16130" width="1.42578125" style="1" customWidth="1"/>
    <col min="16131" max="16131" width="29.140625" style="1" customWidth="1"/>
    <col min="16132" max="16132" width="7.85546875" style="1" bestFit="1" customWidth="1"/>
    <col min="16133" max="16133" width="7" style="1" customWidth="1"/>
    <col min="16134" max="16134" width="7.85546875" style="1" bestFit="1" customWidth="1"/>
    <col min="16135" max="16135" width="8.42578125" style="1" customWidth="1"/>
    <col min="16136" max="16136" width="7" style="1" customWidth="1"/>
    <col min="16137" max="16137" width="6.42578125" style="1" customWidth="1"/>
    <col min="16138" max="16138" width="7" style="1" customWidth="1"/>
    <col min="16139" max="16139" width="6.5703125" style="1" customWidth="1"/>
    <col min="16140" max="16140" width="7" style="1" customWidth="1"/>
    <col min="16141" max="16141" width="6.42578125" style="1" customWidth="1"/>
    <col min="16142" max="16384" width="11.42578125" style="1"/>
  </cols>
  <sheetData>
    <row r="1" spans="3:23" ht="0.75" customHeight="1"/>
    <row r="2" spans="3:23" ht="21" customHeight="1">
      <c r="M2" s="27" t="s">
        <v>19</v>
      </c>
    </row>
    <row r="3" spans="3:23" ht="15" customHeight="1">
      <c r="M3" s="26" t="str">
        <f>Indice!E3</f>
        <v>Julio 2026</v>
      </c>
    </row>
    <row r="4" spans="3:23" ht="20.25" customHeight="1">
      <c r="C4" s="25" t="s">
        <v>39</v>
      </c>
    </row>
    <row r="5" spans="3:23" ht="12.75" customHeight="1"/>
    <row r="6" spans="3:23" ht="13.5" customHeight="1"/>
    <row r="7" spans="3:23" s="21" customFormat="1" ht="12.75" customHeight="1">
      <c r="C7" s="257" t="s">
        <v>18</v>
      </c>
      <c r="E7" s="24"/>
      <c r="F7" s="258" t="s">
        <v>17</v>
      </c>
      <c r="G7" s="259"/>
      <c r="H7" s="258" t="s">
        <v>16</v>
      </c>
      <c r="I7" s="259"/>
      <c r="J7" s="258" t="s">
        <v>15</v>
      </c>
      <c r="K7" s="259"/>
      <c r="L7" s="258" t="s">
        <v>14</v>
      </c>
      <c r="M7" s="259"/>
    </row>
    <row r="8" spans="3:23" s="21" customFormat="1" ht="12.75" customHeight="1">
      <c r="C8" s="257"/>
      <c r="E8" s="23"/>
      <c r="F8" s="22" t="s">
        <v>13</v>
      </c>
      <c r="G8" s="93" t="str">
        <f>CONCATENATE("% ",RIGHT(M3,2),"/",RIGHT(M3,2)-1)</f>
        <v>% 26/25</v>
      </c>
      <c r="H8" s="22" t="s">
        <v>13</v>
      </c>
      <c r="I8" s="93" t="str">
        <f>G8</f>
        <v>% 26/25</v>
      </c>
      <c r="J8" s="22" t="s">
        <v>13</v>
      </c>
      <c r="K8" s="93" t="str">
        <f>I8</f>
        <v>% 26/25</v>
      </c>
      <c r="L8" s="22" t="s">
        <v>13</v>
      </c>
      <c r="M8" s="93" t="str">
        <f>K8</f>
        <v>% 26/25</v>
      </c>
    </row>
    <row r="9" spans="3:23" s="20" customFormat="1" ht="12.75" customHeight="1">
      <c r="C9" s="17"/>
      <c r="E9" s="15" t="s">
        <v>12</v>
      </c>
      <c r="F9" s="132" t="s">
        <v>3</v>
      </c>
      <c r="G9" s="12" t="s">
        <v>3</v>
      </c>
      <c r="H9" s="132">
        <f>Dat_01!Z8/1000</f>
        <v>0.22017699999999998</v>
      </c>
      <c r="I9" s="12">
        <f>IF(Dat_01!AB8*100=-100,"-",Dat_01!AB8*100)</f>
        <v>0</v>
      </c>
      <c r="J9" s="132" t="s">
        <v>3</v>
      </c>
      <c r="K9" s="12" t="s">
        <v>3</v>
      </c>
      <c r="L9" s="132" t="s">
        <v>3</v>
      </c>
      <c r="M9" s="12" t="s">
        <v>3</v>
      </c>
      <c r="N9" s="7"/>
      <c r="O9" s="7"/>
    </row>
    <row r="10" spans="3:23" ht="12.75" customHeight="1">
      <c r="E10" s="15" t="s">
        <v>6</v>
      </c>
      <c r="F10" s="132" t="s">
        <v>3</v>
      </c>
      <c r="G10" s="12" t="s">
        <v>3</v>
      </c>
      <c r="H10" s="132">
        <f>Dat_01!Z15/1000</f>
        <v>2.5266869999999999</v>
      </c>
      <c r="I10" s="12">
        <f>Dat_01!AB15*100</f>
        <v>-23.235931860000001</v>
      </c>
      <c r="J10" s="132" t="s">
        <v>3</v>
      </c>
      <c r="K10" s="12" t="s">
        <v>3</v>
      </c>
      <c r="L10" s="132" t="s">
        <v>3</v>
      </c>
      <c r="M10" s="12" t="s">
        <v>3</v>
      </c>
      <c r="N10" s="7"/>
      <c r="O10" s="7"/>
    </row>
    <row r="11" spans="3:23" ht="12.75" customHeight="1">
      <c r="E11" s="15" t="s">
        <v>5</v>
      </c>
      <c r="F11" s="132">
        <f>Dat_01!R16/1000</f>
        <v>0</v>
      </c>
      <c r="G11" s="12" t="str">
        <f>IF(Dat_01!R16=0,"-",Dat_01!T16*100)</f>
        <v>-</v>
      </c>
      <c r="H11" s="132">
        <f>Dat_01!Z16/1000</f>
        <v>150.18750199999999</v>
      </c>
      <c r="I11" s="12">
        <f>Dat_01!AB16*100</f>
        <v>-10.048275449999998</v>
      </c>
      <c r="J11" s="132" t="s">
        <v>3</v>
      </c>
      <c r="K11" s="12" t="s">
        <v>3</v>
      </c>
      <c r="L11" s="132" t="s">
        <v>3</v>
      </c>
      <c r="M11" s="12" t="s">
        <v>3</v>
      </c>
      <c r="N11" s="7"/>
      <c r="O11" s="7"/>
    </row>
    <row r="12" spans="3:23" ht="12.75" customHeight="1">
      <c r="C12" s="10"/>
      <c r="E12" s="15" t="s">
        <v>4</v>
      </c>
      <c r="F12" s="132">
        <f>Dat_01!R17/1000</f>
        <v>70.657354999999995</v>
      </c>
      <c r="G12" s="12">
        <f>Dat_01!T17*100</f>
        <v>21.19354242</v>
      </c>
      <c r="H12" s="132">
        <f>Dat_01!Z17/1000</f>
        <v>52.236552000000003</v>
      </c>
      <c r="I12" s="12">
        <f>Dat_01!AB17*100</f>
        <v>16.903117930000001</v>
      </c>
      <c r="J12" s="132">
        <f>Dat_01!B17</f>
        <v>0</v>
      </c>
      <c r="K12" s="12" t="str">
        <f>IF(Dat_01!D17=-100%,"-",Dat_01!D17*100)</f>
        <v>-</v>
      </c>
      <c r="L12" s="132">
        <f>Dat_01!J17/1000</f>
        <v>6.9379999999999997E-3</v>
      </c>
      <c r="M12" s="12">
        <f>IF(Dat_01!L17*100=-100,"-",Dat_01!L17*100)</f>
        <v>-7.6534007700000002</v>
      </c>
      <c r="N12" s="7"/>
      <c r="O12" s="7"/>
      <c r="P12" s="14"/>
    </row>
    <row r="13" spans="3:23" ht="12.75" customHeight="1">
      <c r="C13" s="10"/>
      <c r="E13" s="13" t="s">
        <v>73</v>
      </c>
      <c r="F13" s="12">
        <f>Dat_01!R18/1000</f>
        <v>1.868196</v>
      </c>
      <c r="G13" s="12">
        <f>IF(Dat_01!T18=-100%,"-",Dat_01!T18*100)</f>
        <v>1280.4233938</v>
      </c>
      <c r="H13" s="132">
        <f>Dat_01!Z18/1000</f>
        <v>0.98070500000000005</v>
      </c>
      <c r="I13" s="12">
        <f>IF(Dat_01!AB18*100=-100,"-",Dat_01!AB18*100)</f>
        <v>-15.74395296</v>
      </c>
      <c r="J13" s="132" t="s">
        <v>3</v>
      </c>
      <c r="K13" s="12" t="s">
        <v>3</v>
      </c>
      <c r="L13" s="132" t="s">
        <v>3</v>
      </c>
      <c r="M13" s="12" t="s">
        <v>3</v>
      </c>
      <c r="N13" s="7"/>
      <c r="O13" s="7"/>
    </row>
    <row r="14" spans="3:23" ht="12.75" customHeight="1">
      <c r="C14" s="10"/>
      <c r="E14" s="13" t="s">
        <v>46</v>
      </c>
      <c r="F14" s="132">
        <f>Dat_01!R21/1000</f>
        <v>11.7376795</v>
      </c>
      <c r="G14" s="12">
        <f>Dat_01!T21*100</f>
        <v>-16.04079479</v>
      </c>
      <c r="H14" s="132" t="s">
        <v>3</v>
      </c>
      <c r="I14" s="12" t="s">
        <v>3</v>
      </c>
      <c r="J14" s="132" t="s">
        <v>3</v>
      </c>
      <c r="K14" s="12" t="s">
        <v>3</v>
      </c>
      <c r="L14" s="132">
        <f>Dat_01!J21/1000</f>
        <v>6.9193500000000005E-2</v>
      </c>
      <c r="M14" s="12">
        <f>Dat_01!L21*100</f>
        <v>-83.931339500000007</v>
      </c>
      <c r="N14" s="7"/>
      <c r="O14" s="7"/>
    </row>
    <row r="15" spans="3:23" ht="12.75" customHeight="1">
      <c r="C15" s="10"/>
      <c r="E15" s="144" t="s">
        <v>71</v>
      </c>
      <c r="F15" s="147">
        <f>SUM(F9:F14)</f>
        <v>84.263230499999992</v>
      </c>
      <c r="G15" s="148">
        <f>((SUM(Dat_01!R8,Dat_01!R15:R18,Dat_01!R20)/SUM(Dat_01!S8,Dat_01!S15:S18,Dat_01!S20))-1)*100</f>
        <v>16.35866668602679</v>
      </c>
      <c r="H15" s="147">
        <f>SUM(H9:H14)</f>
        <v>206.15162299999997</v>
      </c>
      <c r="I15" s="148">
        <f>((SUM(Dat_01!Z8,Dat_01!Z15:Z18,Dat_01!Z20)/SUM(Dat_01!AA8,Dat_01!AA15:AA18,Dat_01!AA20))-1)*100</f>
        <v>-4.6052065147518473</v>
      </c>
      <c r="J15" s="147">
        <f>SUM(J9:J14)</f>
        <v>0</v>
      </c>
      <c r="K15" s="148" t="str">
        <f>IF(Dat_01!D17=-100%,"-",Dat_01!D17*100)</f>
        <v>-</v>
      </c>
      <c r="L15" s="147">
        <f>SUM(L9:L14)</f>
        <v>7.6131500000000005E-2</v>
      </c>
      <c r="M15" s="148">
        <f>((SUM(Dat_01!J8,Dat_01!J15:J18,Dat_01!J20)/SUM(Dat_01!K8,Dat_01!K15:K18,Dat_01!K20))-1)*100</f>
        <v>-82.623318257709855</v>
      </c>
      <c r="N15" s="7"/>
      <c r="O15" s="7"/>
    </row>
    <row r="16" spans="3:23" ht="12.75" customHeight="1">
      <c r="C16" s="17"/>
      <c r="E16" s="15" t="s">
        <v>11</v>
      </c>
      <c r="F16" s="132">
        <f>Dat_01!R9/1000</f>
        <v>23.056228000000001</v>
      </c>
      <c r="G16" s="12" t="s">
        <v>3</v>
      </c>
      <c r="H16" s="132" t="s">
        <v>3</v>
      </c>
      <c r="I16" s="12" t="s">
        <v>3</v>
      </c>
      <c r="J16" s="132" t="s">
        <v>3</v>
      </c>
      <c r="K16" s="12" t="s">
        <v>3</v>
      </c>
      <c r="L16" s="132" t="s">
        <v>3</v>
      </c>
      <c r="M16" s="12" t="s">
        <v>3</v>
      </c>
      <c r="N16" s="7"/>
      <c r="O16" s="7"/>
      <c r="P16" s="6"/>
      <c r="Q16" s="6"/>
      <c r="R16" s="6"/>
      <c r="S16" s="6"/>
      <c r="T16" s="6"/>
      <c r="U16" s="6"/>
      <c r="V16" s="6"/>
      <c r="W16" s="6"/>
    </row>
    <row r="17" spans="3:23" ht="12.75" customHeight="1">
      <c r="C17" s="17"/>
      <c r="E17" s="19" t="s">
        <v>10</v>
      </c>
      <c r="F17" s="133">
        <f>SUM(Dat_01!R10,Dat_01!R14)/1000</f>
        <v>58.340908000000006</v>
      </c>
      <c r="G17" s="18">
        <f>((SUM(Dat_01!R10,Dat_01!R14)/SUM(Dat_01!S10,Dat_01!S14))-1)*100</f>
        <v>-6.4506575306802265</v>
      </c>
      <c r="H17" s="133">
        <f>SUM(Dat_01!Z10,Dat_01!Z14)/1000</f>
        <v>153.75110800000002</v>
      </c>
      <c r="I17" s="18">
        <f>((SUM(Dat_01!Z10,Dat_01!Z14)/SUM(Dat_01!AA10,Dat_01!AA14))-1)*100</f>
        <v>10.64918991559114</v>
      </c>
      <c r="J17" s="133">
        <f>Dat_01!B10/1000</f>
        <v>19.901629</v>
      </c>
      <c r="K17" s="18">
        <f>Dat_01!D10*100</f>
        <v>3.65763259</v>
      </c>
      <c r="L17" s="133">
        <f>Dat_01!J10/1000</f>
        <v>24.871029999999998</v>
      </c>
      <c r="M17" s="18">
        <f>Dat_01!L10*100</f>
        <v>9.4729148099999989</v>
      </c>
      <c r="N17" s="139"/>
      <c r="O17" s="138"/>
      <c r="Q17" s="6"/>
      <c r="R17" s="6"/>
      <c r="S17" s="6"/>
      <c r="T17" s="6"/>
      <c r="U17" s="6"/>
      <c r="V17" s="6"/>
      <c r="W17" s="6"/>
    </row>
    <row r="18" spans="3:23" ht="12.75" customHeight="1">
      <c r="C18" s="17"/>
      <c r="E18" s="19" t="s">
        <v>9</v>
      </c>
      <c r="F18" s="133">
        <f>Dat_01!R11/1000</f>
        <v>86.712389999999999</v>
      </c>
      <c r="G18" s="18">
        <f>Dat_01!T11*100</f>
        <v>48.942911500000001</v>
      </c>
      <c r="H18" s="133">
        <f>Dat_01!Z11/1000</f>
        <v>24.368157</v>
      </c>
      <c r="I18" s="18">
        <f>Dat_01!AB11*100</f>
        <v>41.040240310000002</v>
      </c>
      <c r="J18" s="133">
        <f>Dat_01!B11/1000</f>
        <v>6.3138E-2</v>
      </c>
      <c r="K18" s="18">
        <f>IF(Dat_01!D11=-100%,"-",Dat_01!D11*100)</f>
        <v>-40.135964119999997</v>
      </c>
      <c r="L18" s="133">
        <f>Dat_01!J11/1000</f>
        <v>3.3813000000000003E-2</v>
      </c>
      <c r="M18" s="18">
        <f>IF(Dat_01!L11*100=-100,"-",Dat_01!L11*100)</f>
        <v>332.05980066000001</v>
      </c>
      <c r="N18" s="139"/>
      <c r="O18" s="16"/>
      <c r="P18" s="6"/>
      <c r="Q18" s="6"/>
      <c r="R18" s="6"/>
      <c r="S18" s="6"/>
      <c r="T18" s="6"/>
      <c r="U18" s="6"/>
      <c r="V18" s="6"/>
      <c r="W18" s="6"/>
    </row>
    <row r="19" spans="3:23" ht="12.75" customHeight="1">
      <c r="C19" s="17"/>
      <c r="E19" s="19" t="s">
        <v>8</v>
      </c>
      <c r="F19" s="133" t="s">
        <v>3</v>
      </c>
      <c r="G19" s="18" t="s">
        <v>3</v>
      </c>
      <c r="H19" s="133">
        <f>Dat_01!Z12/1000</f>
        <v>116.281488</v>
      </c>
      <c r="I19" s="18">
        <f>Dat_01!AB12*100</f>
        <v>19.387352359999998</v>
      </c>
      <c r="J19" s="133" t="s">
        <v>3</v>
      </c>
      <c r="K19" s="133" t="s">
        <v>3</v>
      </c>
      <c r="L19" s="133" t="s">
        <v>3</v>
      </c>
      <c r="M19" s="133" t="s">
        <v>3</v>
      </c>
      <c r="N19" s="139"/>
      <c r="O19" s="16"/>
      <c r="P19" s="6"/>
      <c r="Q19" s="6"/>
      <c r="R19" s="6"/>
      <c r="S19" s="6"/>
      <c r="T19" s="6"/>
      <c r="U19" s="6"/>
      <c r="V19" s="6"/>
      <c r="W19" s="6"/>
    </row>
    <row r="20" spans="3:23" ht="12.75" customHeight="1">
      <c r="C20" s="17"/>
      <c r="E20" s="15" t="s">
        <v>7</v>
      </c>
      <c r="F20" s="132">
        <f>SUM(F17:F19)</f>
        <v>145.05329800000001</v>
      </c>
      <c r="G20" s="12">
        <f>((SUM(Dat_01!R10:R12,Dat_01!R14)/SUM(Dat_01!S10:S12,Dat_01!S14))-1)*100</f>
        <v>20.293998648541557</v>
      </c>
      <c r="H20" s="132">
        <f>SUM(H17:H19)</f>
        <v>294.40075300000001</v>
      </c>
      <c r="I20" s="12">
        <f>(H20/(H17/(I17/100+1)+H18/(I18/100+1)+H19/(I19/100+1))-1)*100</f>
        <v>16.075069482473168</v>
      </c>
      <c r="J20" s="132">
        <f>SUM(J17:J19)</f>
        <v>19.964766999999998</v>
      </c>
      <c r="K20" s="12">
        <f>((SUM(Dat_01!B10:B12)/SUM(Dat_01!C10:C12))-1)*100</f>
        <v>3.4183732537747646</v>
      </c>
      <c r="L20" s="132">
        <f>SUM(L17:L19)</f>
        <v>24.904842999999996</v>
      </c>
      <c r="M20" s="12">
        <f>((SUM(Dat_01!J10:J12)/SUM(Dat_01!K10:K12))-1)*100</f>
        <v>9.5839983913205131</v>
      </c>
      <c r="N20" s="7"/>
      <c r="O20" s="7"/>
      <c r="P20" s="6"/>
      <c r="Q20" s="6"/>
      <c r="R20" s="6"/>
      <c r="S20" s="6"/>
      <c r="T20" s="6"/>
      <c r="U20" s="6"/>
      <c r="V20" s="6"/>
      <c r="W20" s="6"/>
    </row>
    <row r="21" spans="3:23" ht="12.75" customHeight="1">
      <c r="C21" s="17"/>
      <c r="E21" s="15" t="s">
        <v>74</v>
      </c>
      <c r="F21" s="132">
        <f>Dat_01!R13/1000</f>
        <v>357.22067700000002</v>
      </c>
      <c r="G21" s="12">
        <f>Dat_01!T13*100</f>
        <v>6.8666893300000007</v>
      </c>
      <c r="H21" s="132">
        <f>Dat_01!Z13/1000</f>
        <v>307.51257299999997</v>
      </c>
      <c r="I21" s="12">
        <f>Dat_01!AB13*100</f>
        <v>-2.9022256999999998</v>
      </c>
      <c r="J21" s="132" t="s">
        <v>3</v>
      </c>
      <c r="K21" s="12" t="s">
        <v>3</v>
      </c>
      <c r="L21" s="132" t="s">
        <v>3</v>
      </c>
      <c r="M21" s="12" t="s">
        <v>3</v>
      </c>
      <c r="N21" s="7"/>
      <c r="O21" s="7"/>
      <c r="P21" s="6"/>
      <c r="Q21" s="6"/>
      <c r="R21" s="6"/>
      <c r="S21" s="6"/>
      <c r="T21" s="6"/>
      <c r="U21" s="6"/>
      <c r="V21" s="6"/>
      <c r="W21" s="6"/>
    </row>
    <row r="22" spans="3:23" ht="12.75" customHeight="1">
      <c r="C22" s="10"/>
      <c r="E22" s="13" t="s">
        <v>23</v>
      </c>
      <c r="F22" s="132">
        <f>Dat_01!R19/1000</f>
        <v>3.0813539999999997</v>
      </c>
      <c r="G22" s="12">
        <f>Dat_01!T19*100</f>
        <v>-13.762881609999999</v>
      </c>
      <c r="H22" s="132">
        <f>Dat_01!Z19/1000</f>
        <v>0</v>
      </c>
      <c r="I22" s="12" t="s">
        <v>3</v>
      </c>
      <c r="J22" s="132" t="s">
        <v>3</v>
      </c>
      <c r="K22" s="12" t="s">
        <v>3</v>
      </c>
      <c r="L22" s="132" t="s">
        <v>3</v>
      </c>
      <c r="M22" s="12" t="s">
        <v>3</v>
      </c>
      <c r="N22" s="7"/>
      <c r="O22" s="7"/>
    </row>
    <row r="23" spans="3:23" ht="12.75" customHeight="1">
      <c r="C23" s="10"/>
      <c r="E23" s="13" t="s">
        <v>47</v>
      </c>
      <c r="F23" s="132">
        <f>Dat_01!R20/1000</f>
        <v>11.7376795</v>
      </c>
      <c r="G23" s="12">
        <f>Dat_01!T20*100</f>
        <v>-16.04079479</v>
      </c>
      <c r="H23" s="132" t="s">
        <v>3</v>
      </c>
      <c r="I23" s="12" t="s">
        <v>3</v>
      </c>
      <c r="J23" s="132" t="s">
        <v>3</v>
      </c>
      <c r="K23" s="12" t="s">
        <v>3</v>
      </c>
      <c r="L23" s="132">
        <f>Dat_01!J20/1000</f>
        <v>6.9193500000000005E-2</v>
      </c>
      <c r="M23" s="12">
        <f>Dat_01!L20*100</f>
        <v>-83.931339500000007</v>
      </c>
      <c r="N23" s="7"/>
      <c r="O23" s="7"/>
    </row>
    <row r="24" spans="3:23" ht="12.75" customHeight="1">
      <c r="C24" s="10"/>
      <c r="E24" s="144" t="s">
        <v>72</v>
      </c>
      <c r="F24" s="134">
        <f>SUM(F16,F20:F23)</f>
        <v>540.14923650000003</v>
      </c>
      <c r="G24" s="148">
        <f>((SUM(Dat_01!R9:R14,Dat_01!R19,Dat_01!R21)/SUM(Dat_01!S9:S14,Dat_01!S19,Dat_01!S21))-1)*100</f>
        <v>14.340718492201709</v>
      </c>
      <c r="H24" s="134">
        <f>SUM(H16,H20:H23)</f>
        <v>601.91332599999998</v>
      </c>
      <c r="I24" s="148">
        <f>((SUM(Dat_01!Z9:Z14,Dat_01!Z19,Dat_01!Z21)/SUM(Dat_01!AA9:AA14,Dat_01!AA19,Dat_01!AA21))-1)*100</f>
        <v>5.5370519910840521</v>
      </c>
      <c r="J24" s="134">
        <f>SUM(J16,J20:J23)</f>
        <v>19.964766999999998</v>
      </c>
      <c r="K24" s="148">
        <f>((SUM(Dat_01!B9:B14,Dat_01!B19,Dat_01!B21)/SUM(Dat_01!C9:C14,Dat_01!C19,Dat_01!C21))-1)*100</f>
        <v>3.4183732537747646</v>
      </c>
      <c r="L24" s="134">
        <f>SUM(L16,L20:L23)</f>
        <v>24.974036499999997</v>
      </c>
      <c r="M24" s="148">
        <f>((SUM(Dat_01!J9:J14,Dat_01!J19,Dat_01!J21)/SUM(Dat_01!K9:K14,Dat_01!K19,Dat_01!K21))-1)*100</f>
        <v>7.8450765894759078</v>
      </c>
      <c r="N24" s="7"/>
      <c r="O24" s="7"/>
    </row>
    <row r="25" spans="3:23" ht="12.75" customHeight="1">
      <c r="C25" s="10"/>
      <c r="E25" s="170" t="s">
        <v>95</v>
      </c>
      <c r="F25" s="132">
        <f>Dat_01!R23/1000</f>
        <v>0</v>
      </c>
      <c r="G25" s="12" t="str" cm="1">
        <f t="array" ref="G25">_xlfn.IFS(Dat_01!T23=0%,"-",Dat_01!T23=-100%,"-",TRUE,Dat_01!T23*100)</f>
        <v>-</v>
      </c>
      <c r="H25" s="12">
        <f>Dat_01!Z23/1000</f>
        <v>0</v>
      </c>
      <c r="I25" s="12" t="str" cm="1">
        <f t="array" ref="I25">_xlfn.IFS(Dat_01!AB23=0%,"-",Dat_01!AB23=-100%,"-",TRUE,Dat_01!AB23*100)</f>
        <v>-</v>
      </c>
      <c r="J25" s="171" t="s">
        <v>3</v>
      </c>
      <c r="K25" s="171" t="s">
        <v>3</v>
      </c>
      <c r="L25" s="171" t="s">
        <v>3</v>
      </c>
      <c r="M25" s="171" t="s">
        <v>3</v>
      </c>
      <c r="N25" s="7"/>
      <c r="O25" s="7"/>
    </row>
    <row r="26" spans="3:23" ht="12.75" customHeight="1">
      <c r="C26" s="10"/>
      <c r="E26" s="170" t="s">
        <v>96</v>
      </c>
      <c r="F26" s="132">
        <f>Dat_01!R24/1000</f>
        <v>0</v>
      </c>
      <c r="G26" s="12" t="str">
        <f>IF(Dat_01!T24=-100%,"-",Dat_01!T24*100)</f>
        <v>-</v>
      </c>
      <c r="H26" s="12">
        <f>Dat_01!Z24/1000</f>
        <v>-1.8017999999999999E-2</v>
      </c>
      <c r="I26" s="12" cm="1">
        <f t="array" ref="I26">_xlfn.IFS(Dat_01!AB24=0%,"-",Dat_01!AB24=-100%,"-",TRUE,Dat_01!AB24*100)</f>
        <v>1129.0586630299999</v>
      </c>
      <c r="J26" s="132" t="s">
        <v>3</v>
      </c>
      <c r="K26" s="132" t="s">
        <v>3</v>
      </c>
      <c r="L26" s="132" t="s">
        <v>3</v>
      </c>
      <c r="M26" s="132" t="s">
        <v>3</v>
      </c>
      <c r="N26" s="7"/>
      <c r="O26" s="7"/>
    </row>
    <row r="27" spans="3:23" ht="12.75" customHeight="1">
      <c r="C27" s="10"/>
      <c r="E27" s="144" t="s">
        <v>98</v>
      </c>
      <c r="F27" s="134">
        <f>SUM(F25:F26)</f>
        <v>0</v>
      </c>
      <c r="G27" s="148" t="str">
        <f>IF(SUM(Dat_01!R23:R24)=0,"-",((SUM(Dat_01!R23:R24)/SUM(Dat_01!S23:S24))-1)*100)</f>
        <v>-</v>
      </c>
      <c r="H27" s="251">
        <f>SUM(H25:H26)</f>
        <v>-1.8017999999999999E-2</v>
      </c>
      <c r="I27" s="148">
        <f>IF(SUM(Dat_01!Z23:Z24)=0,"-",IF(SUM(Dat_01!AA23:AA24)=0,"-",((SUM(Dat_01!Z23:Z24)/SUM(Dat_01!AA23:AA24))-1)*100))</f>
        <v>1129.0586630286493</v>
      </c>
      <c r="J27" s="134" t="s">
        <v>3</v>
      </c>
      <c r="K27" s="134" t="s">
        <v>3</v>
      </c>
      <c r="L27" s="134" t="s">
        <v>3</v>
      </c>
      <c r="M27" s="134" t="s">
        <v>3</v>
      </c>
      <c r="N27" s="7"/>
      <c r="O27" s="7"/>
    </row>
    <row r="28" spans="3:23" ht="12.75" customHeight="1">
      <c r="C28" s="11"/>
      <c r="E28" s="167" t="s">
        <v>77</v>
      </c>
      <c r="F28" s="168">
        <f>Dat_01!R25/1000</f>
        <v>211.24666200000001</v>
      </c>
      <c r="G28" s="169">
        <f>Dat_01!T25*100</f>
        <v>12.11012663</v>
      </c>
      <c r="H28" s="168" t="s">
        <v>3</v>
      </c>
      <c r="I28" s="168" t="s">
        <v>3</v>
      </c>
      <c r="J28" s="168" t="s">
        <v>3</v>
      </c>
      <c r="K28" s="168" t="s">
        <v>3</v>
      </c>
      <c r="L28" s="168" t="s">
        <v>3</v>
      </c>
      <c r="M28" s="168" t="s">
        <v>3</v>
      </c>
      <c r="N28" s="7"/>
      <c r="O28" s="7"/>
    </row>
    <row r="29" spans="3:23" ht="16.350000000000001" customHeight="1">
      <c r="C29" s="10"/>
      <c r="E29" s="9" t="s">
        <v>1</v>
      </c>
      <c r="F29" s="135">
        <f>Dat_01!R26/1000</f>
        <v>835.65912900000001</v>
      </c>
      <c r="G29" s="8">
        <f>Dat_01!T26*100</f>
        <v>13.975912200000002</v>
      </c>
      <c r="H29" s="135">
        <f>Dat_01!Z26/1000</f>
        <v>808.04693099999997</v>
      </c>
      <c r="I29" s="8">
        <f>Dat_01!AB26*100</f>
        <v>2.74798008</v>
      </c>
      <c r="J29" s="135">
        <f>Dat_01!B26/1000</f>
        <v>19.964766999999998</v>
      </c>
      <c r="K29" s="8">
        <f>Dat_01!D26*100</f>
        <v>3.4182661099999998</v>
      </c>
      <c r="L29" s="135">
        <f>Dat_01!J26/1000</f>
        <v>25.050168000000003</v>
      </c>
      <c r="M29" s="8">
        <f>Dat_01!L26*100</f>
        <v>6.1652434600000001</v>
      </c>
      <c r="N29" s="7"/>
      <c r="O29" s="7"/>
    </row>
    <row r="30" spans="3:23" ht="16.350000000000001" customHeight="1">
      <c r="C30" s="10"/>
      <c r="E30" s="262" t="s">
        <v>48</v>
      </c>
      <c r="F30" s="262"/>
      <c r="G30" s="262"/>
      <c r="H30" s="262"/>
      <c r="I30" s="262"/>
      <c r="J30" s="262"/>
      <c r="K30" s="262"/>
      <c r="L30" s="145"/>
      <c r="M30" s="146"/>
      <c r="N30" s="7"/>
      <c r="O30" s="7"/>
    </row>
    <row r="31" spans="3:23" ht="12.75" customHeight="1">
      <c r="C31" s="3"/>
      <c r="D31" s="3"/>
      <c r="E31" s="261" t="s">
        <v>0</v>
      </c>
      <c r="F31" s="261"/>
      <c r="G31" s="261"/>
      <c r="H31" s="261"/>
      <c r="I31" s="261"/>
      <c r="J31" s="261"/>
      <c r="K31" s="261"/>
      <c r="L31" s="261"/>
      <c r="M31" s="261"/>
      <c r="O31" s="6"/>
    </row>
    <row r="32" spans="3:23" ht="12.75" customHeight="1">
      <c r="E32" s="260" t="s">
        <v>109</v>
      </c>
      <c r="F32" s="260"/>
      <c r="G32" s="260"/>
      <c r="H32" s="260"/>
      <c r="I32" s="260"/>
      <c r="J32" s="260"/>
      <c r="K32" s="260"/>
      <c r="L32" s="260"/>
      <c r="M32" s="260"/>
    </row>
    <row r="33" spans="3:13" ht="12.75" customHeight="1">
      <c r="C33" s="3"/>
      <c r="D33" s="3"/>
      <c r="E33" s="260" t="s">
        <v>75</v>
      </c>
      <c r="F33" s="260"/>
      <c r="G33" s="260"/>
      <c r="H33" s="260"/>
      <c r="I33" s="260"/>
      <c r="J33" s="260"/>
      <c r="K33" s="260"/>
      <c r="L33" s="260"/>
      <c r="M33" s="260"/>
    </row>
    <row r="34" spans="3:13" ht="12.75" customHeight="1">
      <c r="E34" s="260" t="s">
        <v>76</v>
      </c>
      <c r="F34" s="260"/>
      <c r="G34" s="260"/>
      <c r="H34" s="260"/>
      <c r="I34" s="260"/>
      <c r="J34" s="260"/>
      <c r="K34" s="260"/>
      <c r="L34" s="260"/>
      <c r="M34" s="260"/>
    </row>
    <row r="35" spans="3:13" ht="12.75" customHeight="1">
      <c r="E35" s="260"/>
      <c r="F35" s="260"/>
      <c r="G35" s="260"/>
      <c r="H35" s="260"/>
      <c r="I35" s="260"/>
      <c r="J35" s="260"/>
      <c r="K35" s="260"/>
      <c r="L35" s="260"/>
      <c r="M35" s="260"/>
    </row>
    <row r="36" spans="3:13" ht="12.75" customHeight="1">
      <c r="E36" s="5"/>
      <c r="F36" s="5"/>
      <c r="G36" s="180"/>
      <c r="H36" s="5"/>
      <c r="I36" s="5"/>
      <c r="J36" s="5"/>
      <c r="K36" s="5"/>
      <c r="L36" s="5"/>
      <c r="M36" s="5"/>
    </row>
    <row r="37" spans="3:13" ht="12.75" customHeight="1">
      <c r="E37" s="4"/>
      <c r="G37" s="3"/>
      <c r="I37" s="3"/>
      <c r="K37" s="3"/>
      <c r="L37" s="3"/>
      <c r="M37" s="3"/>
    </row>
    <row r="38" spans="3:13">
      <c r="E38" s="2"/>
      <c r="F38" s="2"/>
      <c r="G38" s="2"/>
      <c r="H38" s="2"/>
      <c r="I38" s="2"/>
      <c r="J38" s="2"/>
      <c r="K38" s="2"/>
    </row>
    <row r="39" spans="3:13">
      <c r="E39" s="2"/>
      <c r="F39" s="2"/>
      <c r="G39" s="2"/>
      <c r="H39" s="2"/>
      <c r="I39" s="2"/>
      <c r="J39" s="2"/>
      <c r="K39" s="2"/>
    </row>
    <row r="40" spans="3:13">
      <c r="E40" s="2"/>
      <c r="F40" s="2"/>
      <c r="G40" s="2"/>
      <c r="H40" s="2"/>
      <c r="I40" s="2"/>
      <c r="J40" s="2"/>
      <c r="K40" s="2"/>
    </row>
    <row r="41" spans="3:13">
      <c r="E41" s="2"/>
      <c r="F41" s="2"/>
      <c r="G41" s="2"/>
      <c r="H41" s="2"/>
      <c r="I41" s="2"/>
      <c r="J41" s="2"/>
      <c r="K41" s="2"/>
    </row>
    <row r="42" spans="3:13">
      <c r="E42" s="2"/>
      <c r="F42" s="2"/>
      <c r="G42" s="2"/>
      <c r="H42" s="2"/>
      <c r="I42" s="2"/>
      <c r="J42" s="2"/>
      <c r="K42" s="2"/>
    </row>
    <row r="43" spans="3:13">
      <c r="E43" s="2"/>
      <c r="F43" s="2"/>
      <c r="G43" s="2"/>
      <c r="H43" s="2"/>
      <c r="I43" s="2"/>
      <c r="J43" s="2"/>
      <c r="K43" s="2"/>
    </row>
    <row r="44" spans="3:13">
      <c r="E44" s="2"/>
      <c r="F44" s="2"/>
      <c r="G44" s="2"/>
      <c r="H44" s="2"/>
      <c r="I44" s="2"/>
      <c r="J44" s="2"/>
      <c r="K44" s="2"/>
    </row>
    <row r="45" spans="3:13">
      <c r="C45" s="2"/>
      <c r="D45" s="2"/>
      <c r="E45" s="2"/>
      <c r="F45" s="2"/>
      <c r="G45" s="2"/>
      <c r="H45" s="2"/>
      <c r="I45" s="2"/>
      <c r="J45" s="2"/>
      <c r="K45" s="2"/>
    </row>
    <row r="46" spans="3:13">
      <c r="C46" s="2"/>
      <c r="D46" s="2"/>
      <c r="E46" s="2"/>
      <c r="F46" s="2"/>
      <c r="G46" s="2"/>
      <c r="H46" s="2"/>
      <c r="I46" s="2"/>
      <c r="J46" s="2"/>
      <c r="K46" s="2"/>
    </row>
    <row r="47" spans="3:13">
      <c r="C47" s="2"/>
      <c r="D47" s="2"/>
      <c r="E47" s="2"/>
      <c r="F47" s="2"/>
      <c r="G47" s="2"/>
      <c r="H47" s="2"/>
      <c r="I47" s="2"/>
      <c r="J47" s="2"/>
      <c r="K47" s="2"/>
    </row>
    <row r="48" spans="3:13">
      <c r="C48" s="2"/>
      <c r="D48" s="2"/>
      <c r="E48" s="2"/>
      <c r="F48" s="2"/>
      <c r="G48" s="2"/>
      <c r="H48" s="2"/>
      <c r="I48" s="2"/>
      <c r="J48" s="2"/>
      <c r="K48" s="2"/>
    </row>
    <row r="49" spans="3:11">
      <c r="C49" s="2"/>
      <c r="D49" s="2"/>
      <c r="E49" s="2"/>
      <c r="F49" s="2"/>
      <c r="G49" s="2"/>
      <c r="H49" s="2"/>
      <c r="I49" s="2"/>
      <c r="J49" s="2"/>
      <c r="K49" s="2"/>
    </row>
    <row r="50" spans="3:11">
      <c r="C50" s="2"/>
      <c r="D50" s="2"/>
      <c r="E50" s="2"/>
      <c r="F50" s="2"/>
      <c r="G50" s="2"/>
      <c r="H50" s="2"/>
      <c r="I50" s="2"/>
      <c r="J50" s="2"/>
      <c r="K50" s="2"/>
    </row>
    <row r="51" spans="3:11">
      <c r="C51" s="2"/>
      <c r="D51" s="2"/>
      <c r="E51" s="2"/>
      <c r="F51" s="2"/>
      <c r="G51" s="2"/>
      <c r="H51" s="2"/>
      <c r="I51" s="2"/>
      <c r="J51" s="2"/>
      <c r="K51" s="2"/>
    </row>
    <row r="52" spans="3:11">
      <c r="C52" s="2"/>
      <c r="D52" s="2"/>
      <c r="E52" s="2"/>
      <c r="F52" s="2"/>
      <c r="G52" s="2"/>
      <c r="H52" s="2"/>
      <c r="I52" s="2"/>
      <c r="J52" s="2"/>
      <c r="K52" s="2"/>
    </row>
    <row r="53" spans="3:11">
      <c r="C53" s="2"/>
      <c r="D53" s="2"/>
      <c r="E53" s="2"/>
      <c r="F53" s="2"/>
      <c r="G53" s="2"/>
      <c r="H53" s="2"/>
      <c r="I53" s="2"/>
      <c r="J53" s="2"/>
      <c r="K53" s="2"/>
    </row>
    <row r="54" spans="3:11">
      <c r="C54" s="2"/>
      <c r="D54" s="2"/>
      <c r="E54" s="2"/>
      <c r="F54" s="2"/>
      <c r="G54" s="2"/>
      <c r="H54" s="2"/>
      <c r="I54" s="2"/>
      <c r="J54" s="2"/>
      <c r="K54" s="2"/>
    </row>
    <row r="55" spans="3:11">
      <c r="C55" s="2"/>
      <c r="D55" s="2"/>
      <c r="E55" s="2"/>
      <c r="F55" s="2"/>
      <c r="G55" s="2"/>
      <c r="H55" s="2"/>
      <c r="I55" s="2"/>
      <c r="J55" s="2"/>
      <c r="K55" s="2"/>
    </row>
    <row r="56" spans="3:11">
      <c r="C56" s="2"/>
      <c r="D56" s="2"/>
      <c r="E56" s="2"/>
      <c r="F56" s="2"/>
      <c r="G56" s="2"/>
      <c r="H56" s="2"/>
      <c r="I56" s="2"/>
      <c r="J56" s="2"/>
      <c r="K56" s="2"/>
    </row>
    <row r="57" spans="3:11">
      <c r="C57" s="2"/>
      <c r="D57" s="2"/>
      <c r="E57" s="2"/>
      <c r="F57" s="2"/>
      <c r="G57" s="2"/>
      <c r="H57" s="2"/>
      <c r="I57" s="2"/>
      <c r="J57" s="2"/>
      <c r="K57" s="2"/>
    </row>
    <row r="58" spans="3:11">
      <c r="C58" s="2"/>
      <c r="D58" s="2"/>
      <c r="E58" s="2"/>
      <c r="F58" s="2"/>
      <c r="G58" s="2"/>
      <c r="H58" s="2"/>
      <c r="I58" s="2"/>
      <c r="J58" s="2"/>
      <c r="K58" s="2"/>
    </row>
    <row r="59" spans="3:11">
      <c r="C59" s="2"/>
      <c r="D59" s="2"/>
      <c r="E59" s="2"/>
      <c r="F59" s="2"/>
      <c r="G59" s="2"/>
      <c r="H59" s="2"/>
      <c r="I59" s="2"/>
      <c r="J59" s="2"/>
      <c r="K59" s="2"/>
    </row>
    <row r="60" spans="3:11">
      <c r="C60" s="2"/>
      <c r="D60" s="2"/>
    </row>
  </sheetData>
  <mergeCells count="11">
    <mergeCell ref="C7:C8"/>
    <mergeCell ref="F7:G7"/>
    <mergeCell ref="H7:I7"/>
    <mergeCell ref="J7:K7"/>
    <mergeCell ref="E35:M35"/>
    <mergeCell ref="L7:M7"/>
    <mergeCell ref="E31:M31"/>
    <mergeCell ref="E32:M32"/>
    <mergeCell ref="E33:M33"/>
    <mergeCell ref="E34:M34"/>
    <mergeCell ref="E30:K30"/>
  </mergeCells>
  <printOptions horizontalCentered="1" verticalCentered="1"/>
  <pageMargins left="0.39370078740157483" right="0.75" top="0.39370078740157483" bottom="0.39370078740157483" header="0" footer="0"/>
  <pageSetup paperSize="9" scale="99" orientation="landscape" r:id="rId1"/>
  <headerFooter alignWithMargins="0"/>
  <ignoredErrors>
    <ignoredError sqref="G15 I15 G20 I24 K24 I20 G24 K15" formula="1"/>
    <ignoredError sqref="M20 I27" formulaRange="1"/>
    <ignoredError sqref="K20 G27" formula="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5">
    <pageSetUpPr fitToPage="1"/>
  </sheetPr>
  <dimension ref="A1:L37"/>
  <sheetViews>
    <sheetView showGridLines="0" showRowColHeaders="0" zoomScaleNormal="100" workbookViewId="0">
      <selection activeCell="I24" sqref="I24"/>
    </sheetView>
  </sheetViews>
  <sheetFormatPr baseColWidth="10" defaultRowHeight="12.75"/>
  <cols>
    <col min="1" max="1" width="0.140625" style="29" customWidth="1"/>
    <col min="2" max="2" width="2.5703125" style="29" customWidth="1"/>
    <col min="3" max="3" width="23.5703125" style="29" customWidth="1"/>
    <col min="4" max="4" width="1.42578125" style="29" customWidth="1"/>
    <col min="5" max="5" width="58.85546875" style="29" customWidth="1"/>
    <col min="6" max="6" width="11.42578125" style="28"/>
    <col min="7" max="7" width="19.85546875" style="28" customWidth="1"/>
    <col min="8" max="9" width="11.42578125" style="28"/>
    <col min="10" max="10" width="11" style="28" bestFit="1" customWidth="1"/>
    <col min="11" max="253" width="11.42578125" style="28"/>
    <col min="254" max="254" width="0.140625" style="28" customWidth="1"/>
    <col min="255" max="255" width="2.5703125" style="28" customWidth="1"/>
    <col min="256" max="256" width="18.5703125" style="28" customWidth="1"/>
    <col min="257" max="257" width="1.42578125" style="28" customWidth="1"/>
    <col min="258" max="258" width="58.85546875" style="28" customWidth="1"/>
    <col min="259" max="260" width="11.42578125" style="28"/>
    <col min="261" max="261" width="2.140625" style="28" customWidth="1"/>
    <col min="262" max="262" width="11.42578125" style="28"/>
    <col min="263" max="263" width="9.5703125" style="28" customWidth="1"/>
    <col min="264" max="509" width="11.42578125" style="28"/>
    <col min="510" max="510" width="0.140625" style="28" customWidth="1"/>
    <col min="511" max="511" width="2.5703125" style="28" customWidth="1"/>
    <col min="512" max="512" width="18.5703125" style="28" customWidth="1"/>
    <col min="513" max="513" width="1.42578125" style="28" customWidth="1"/>
    <col min="514" max="514" width="58.85546875" style="28" customWidth="1"/>
    <col min="515" max="516" width="11.42578125" style="28"/>
    <col min="517" max="517" width="2.140625" style="28" customWidth="1"/>
    <col min="518" max="518" width="11.42578125" style="28"/>
    <col min="519" max="519" width="9.5703125" style="28" customWidth="1"/>
    <col min="520" max="765" width="11.42578125" style="28"/>
    <col min="766" max="766" width="0.140625" style="28" customWidth="1"/>
    <col min="767" max="767" width="2.5703125" style="28" customWidth="1"/>
    <col min="768" max="768" width="18.5703125" style="28" customWidth="1"/>
    <col min="769" max="769" width="1.42578125" style="28" customWidth="1"/>
    <col min="770" max="770" width="58.85546875" style="28" customWidth="1"/>
    <col min="771" max="772" width="11.42578125" style="28"/>
    <col min="773" max="773" width="2.140625" style="28" customWidth="1"/>
    <col min="774" max="774" width="11.42578125" style="28"/>
    <col min="775" max="775" width="9.5703125" style="28" customWidth="1"/>
    <col min="776" max="1021" width="11.42578125" style="28"/>
    <col min="1022" max="1022" width="0.140625" style="28" customWidth="1"/>
    <col min="1023" max="1023" width="2.5703125" style="28" customWidth="1"/>
    <col min="1024" max="1024" width="18.5703125" style="28" customWidth="1"/>
    <col min="1025" max="1025" width="1.42578125" style="28" customWidth="1"/>
    <col min="1026" max="1026" width="58.85546875" style="28" customWidth="1"/>
    <col min="1027" max="1028" width="11.42578125" style="28"/>
    <col min="1029" max="1029" width="2.140625" style="28" customWidth="1"/>
    <col min="1030" max="1030" width="11.42578125" style="28"/>
    <col min="1031" max="1031" width="9.5703125" style="28" customWidth="1"/>
    <col min="1032" max="1277" width="11.42578125" style="28"/>
    <col min="1278" max="1278" width="0.140625" style="28" customWidth="1"/>
    <col min="1279" max="1279" width="2.5703125" style="28" customWidth="1"/>
    <col min="1280" max="1280" width="18.5703125" style="28" customWidth="1"/>
    <col min="1281" max="1281" width="1.42578125" style="28" customWidth="1"/>
    <col min="1282" max="1282" width="58.85546875" style="28" customWidth="1"/>
    <col min="1283" max="1284" width="11.42578125" style="28"/>
    <col min="1285" max="1285" width="2.140625" style="28" customWidth="1"/>
    <col min="1286" max="1286" width="11.42578125" style="28"/>
    <col min="1287" max="1287" width="9.5703125" style="28" customWidth="1"/>
    <col min="1288" max="1533" width="11.42578125" style="28"/>
    <col min="1534" max="1534" width="0.140625" style="28" customWidth="1"/>
    <col min="1535" max="1535" width="2.5703125" style="28" customWidth="1"/>
    <col min="1536" max="1536" width="18.5703125" style="28" customWidth="1"/>
    <col min="1537" max="1537" width="1.42578125" style="28" customWidth="1"/>
    <col min="1538" max="1538" width="58.85546875" style="28" customWidth="1"/>
    <col min="1539" max="1540" width="11.42578125" style="28"/>
    <col min="1541" max="1541" width="2.140625" style="28" customWidth="1"/>
    <col min="1542" max="1542" width="11.42578125" style="28"/>
    <col min="1543" max="1543" width="9.5703125" style="28" customWidth="1"/>
    <col min="1544" max="1789" width="11.42578125" style="28"/>
    <col min="1790" max="1790" width="0.140625" style="28" customWidth="1"/>
    <col min="1791" max="1791" width="2.5703125" style="28" customWidth="1"/>
    <col min="1792" max="1792" width="18.5703125" style="28" customWidth="1"/>
    <col min="1793" max="1793" width="1.42578125" style="28" customWidth="1"/>
    <col min="1794" max="1794" width="58.85546875" style="28" customWidth="1"/>
    <col min="1795" max="1796" width="11.42578125" style="28"/>
    <col min="1797" max="1797" width="2.140625" style="28" customWidth="1"/>
    <col min="1798" max="1798" width="11.42578125" style="28"/>
    <col min="1799" max="1799" width="9.5703125" style="28" customWidth="1"/>
    <col min="1800" max="2045" width="11.42578125" style="28"/>
    <col min="2046" max="2046" width="0.140625" style="28" customWidth="1"/>
    <col min="2047" max="2047" width="2.5703125" style="28" customWidth="1"/>
    <col min="2048" max="2048" width="18.5703125" style="28" customWidth="1"/>
    <col min="2049" max="2049" width="1.42578125" style="28" customWidth="1"/>
    <col min="2050" max="2050" width="58.85546875" style="28" customWidth="1"/>
    <col min="2051" max="2052" width="11.42578125" style="28"/>
    <col min="2053" max="2053" width="2.140625" style="28" customWidth="1"/>
    <col min="2054" max="2054" width="11.42578125" style="28"/>
    <col min="2055" max="2055" width="9.5703125" style="28" customWidth="1"/>
    <col min="2056" max="2301" width="11.42578125" style="28"/>
    <col min="2302" max="2302" width="0.140625" style="28" customWidth="1"/>
    <col min="2303" max="2303" width="2.5703125" style="28" customWidth="1"/>
    <col min="2304" max="2304" width="18.5703125" style="28" customWidth="1"/>
    <col min="2305" max="2305" width="1.42578125" style="28" customWidth="1"/>
    <col min="2306" max="2306" width="58.85546875" style="28" customWidth="1"/>
    <col min="2307" max="2308" width="11.42578125" style="28"/>
    <col min="2309" max="2309" width="2.140625" style="28" customWidth="1"/>
    <col min="2310" max="2310" width="11.42578125" style="28"/>
    <col min="2311" max="2311" width="9.5703125" style="28" customWidth="1"/>
    <col min="2312" max="2557" width="11.42578125" style="28"/>
    <col min="2558" max="2558" width="0.140625" style="28" customWidth="1"/>
    <col min="2559" max="2559" width="2.5703125" style="28" customWidth="1"/>
    <col min="2560" max="2560" width="18.5703125" style="28" customWidth="1"/>
    <col min="2561" max="2561" width="1.42578125" style="28" customWidth="1"/>
    <col min="2562" max="2562" width="58.85546875" style="28" customWidth="1"/>
    <col min="2563" max="2564" width="11.42578125" style="28"/>
    <col min="2565" max="2565" width="2.140625" style="28" customWidth="1"/>
    <col min="2566" max="2566" width="11.42578125" style="28"/>
    <col min="2567" max="2567" width="9.5703125" style="28" customWidth="1"/>
    <col min="2568" max="2813" width="11.42578125" style="28"/>
    <col min="2814" max="2814" width="0.140625" style="28" customWidth="1"/>
    <col min="2815" max="2815" width="2.5703125" style="28" customWidth="1"/>
    <col min="2816" max="2816" width="18.5703125" style="28" customWidth="1"/>
    <col min="2817" max="2817" width="1.42578125" style="28" customWidth="1"/>
    <col min="2818" max="2818" width="58.85546875" style="28" customWidth="1"/>
    <col min="2819" max="2820" width="11.42578125" style="28"/>
    <col min="2821" max="2821" width="2.140625" style="28" customWidth="1"/>
    <col min="2822" max="2822" width="11.42578125" style="28"/>
    <col min="2823" max="2823" width="9.5703125" style="28" customWidth="1"/>
    <col min="2824" max="3069" width="11.42578125" style="28"/>
    <col min="3070" max="3070" width="0.140625" style="28" customWidth="1"/>
    <col min="3071" max="3071" width="2.5703125" style="28" customWidth="1"/>
    <col min="3072" max="3072" width="18.5703125" style="28" customWidth="1"/>
    <col min="3073" max="3073" width="1.42578125" style="28" customWidth="1"/>
    <col min="3074" max="3074" width="58.85546875" style="28" customWidth="1"/>
    <col min="3075" max="3076" width="11.42578125" style="28"/>
    <col min="3077" max="3077" width="2.140625" style="28" customWidth="1"/>
    <col min="3078" max="3078" width="11.42578125" style="28"/>
    <col min="3079" max="3079" width="9.5703125" style="28" customWidth="1"/>
    <col min="3080" max="3325" width="11.42578125" style="28"/>
    <col min="3326" max="3326" width="0.140625" style="28" customWidth="1"/>
    <col min="3327" max="3327" width="2.5703125" style="28" customWidth="1"/>
    <col min="3328" max="3328" width="18.5703125" style="28" customWidth="1"/>
    <col min="3329" max="3329" width="1.42578125" style="28" customWidth="1"/>
    <col min="3330" max="3330" width="58.85546875" style="28" customWidth="1"/>
    <col min="3331" max="3332" width="11.42578125" style="28"/>
    <col min="3333" max="3333" width="2.140625" style="28" customWidth="1"/>
    <col min="3334" max="3334" width="11.42578125" style="28"/>
    <col min="3335" max="3335" width="9.5703125" style="28" customWidth="1"/>
    <col min="3336" max="3581" width="11.42578125" style="28"/>
    <col min="3582" max="3582" width="0.140625" style="28" customWidth="1"/>
    <col min="3583" max="3583" width="2.5703125" style="28" customWidth="1"/>
    <col min="3584" max="3584" width="18.5703125" style="28" customWidth="1"/>
    <col min="3585" max="3585" width="1.42578125" style="28" customWidth="1"/>
    <col min="3586" max="3586" width="58.85546875" style="28" customWidth="1"/>
    <col min="3587" max="3588" width="11.42578125" style="28"/>
    <col min="3589" max="3589" width="2.140625" style="28" customWidth="1"/>
    <col min="3590" max="3590" width="11.42578125" style="28"/>
    <col min="3591" max="3591" width="9.5703125" style="28" customWidth="1"/>
    <col min="3592" max="3837" width="11.42578125" style="28"/>
    <col min="3838" max="3838" width="0.140625" style="28" customWidth="1"/>
    <col min="3839" max="3839" width="2.5703125" style="28" customWidth="1"/>
    <col min="3840" max="3840" width="18.5703125" style="28" customWidth="1"/>
    <col min="3841" max="3841" width="1.42578125" style="28" customWidth="1"/>
    <col min="3842" max="3842" width="58.85546875" style="28" customWidth="1"/>
    <col min="3843" max="3844" width="11.42578125" style="28"/>
    <col min="3845" max="3845" width="2.140625" style="28" customWidth="1"/>
    <col min="3846" max="3846" width="11.42578125" style="28"/>
    <col min="3847" max="3847" width="9.5703125" style="28" customWidth="1"/>
    <col min="3848" max="4093" width="11.42578125" style="28"/>
    <col min="4094" max="4094" width="0.140625" style="28" customWidth="1"/>
    <col min="4095" max="4095" width="2.5703125" style="28" customWidth="1"/>
    <col min="4096" max="4096" width="18.5703125" style="28" customWidth="1"/>
    <col min="4097" max="4097" width="1.42578125" style="28" customWidth="1"/>
    <col min="4098" max="4098" width="58.85546875" style="28" customWidth="1"/>
    <col min="4099" max="4100" width="11.42578125" style="28"/>
    <col min="4101" max="4101" width="2.140625" style="28" customWidth="1"/>
    <col min="4102" max="4102" width="11.42578125" style="28"/>
    <col min="4103" max="4103" width="9.5703125" style="28" customWidth="1"/>
    <col min="4104" max="4349" width="11.42578125" style="28"/>
    <col min="4350" max="4350" width="0.140625" style="28" customWidth="1"/>
    <col min="4351" max="4351" width="2.5703125" style="28" customWidth="1"/>
    <col min="4352" max="4352" width="18.5703125" style="28" customWidth="1"/>
    <col min="4353" max="4353" width="1.42578125" style="28" customWidth="1"/>
    <col min="4354" max="4354" width="58.85546875" style="28" customWidth="1"/>
    <col min="4355" max="4356" width="11.42578125" style="28"/>
    <col min="4357" max="4357" width="2.140625" style="28" customWidth="1"/>
    <col min="4358" max="4358" width="11.42578125" style="28"/>
    <col min="4359" max="4359" width="9.5703125" style="28" customWidth="1"/>
    <col min="4360" max="4605" width="11.42578125" style="28"/>
    <col min="4606" max="4606" width="0.140625" style="28" customWidth="1"/>
    <col min="4607" max="4607" width="2.5703125" style="28" customWidth="1"/>
    <col min="4608" max="4608" width="18.5703125" style="28" customWidth="1"/>
    <col min="4609" max="4609" width="1.42578125" style="28" customWidth="1"/>
    <col min="4610" max="4610" width="58.85546875" style="28" customWidth="1"/>
    <col min="4611" max="4612" width="11.42578125" style="28"/>
    <col min="4613" max="4613" width="2.140625" style="28" customWidth="1"/>
    <col min="4614" max="4614" width="11.42578125" style="28"/>
    <col min="4615" max="4615" width="9.5703125" style="28" customWidth="1"/>
    <col min="4616" max="4861" width="11.42578125" style="28"/>
    <col min="4862" max="4862" width="0.140625" style="28" customWidth="1"/>
    <col min="4863" max="4863" width="2.5703125" style="28" customWidth="1"/>
    <col min="4864" max="4864" width="18.5703125" style="28" customWidth="1"/>
    <col min="4865" max="4865" width="1.42578125" style="28" customWidth="1"/>
    <col min="4866" max="4866" width="58.85546875" style="28" customWidth="1"/>
    <col min="4867" max="4868" width="11.42578125" style="28"/>
    <col min="4869" max="4869" width="2.140625" style="28" customWidth="1"/>
    <col min="4870" max="4870" width="11.42578125" style="28"/>
    <col min="4871" max="4871" width="9.5703125" style="28" customWidth="1"/>
    <col min="4872" max="5117" width="11.42578125" style="28"/>
    <col min="5118" max="5118" width="0.140625" style="28" customWidth="1"/>
    <col min="5119" max="5119" width="2.5703125" style="28" customWidth="1"/>
    <col min="5120" max="5120" width="18.5703125" style="28" customWidth="1"/>
    <col min="5121" max="5121" width="1.42578125" style="28" customWidth="1"/>
    <col min="5122" max="5122" width="58.85546875" style="28" customWidth="1"/>
    <col min="5123" max="5124" width="11.42578125" style="28"/>
    <col min="5125" max="5125" width="2.140625" style="28" customWidth="1"/>
    <col min="5126" max="5126" width="11.42578125" style="28"/>
    <col min="5127" max="5127" width="9.5703125" style="28" customWidth="1"/>
    <col min="5128" max="5373" width="11.42578125" style="28"/>
    <col min="5374" max="5374" width="0.140625" style="28" customWidth="1"/>
    <col min="5375" max="5375" width="2.5703125" style="28" customWidth="1"/>
    <col min="5376" max="5376" width="18.5703125" style="28" customWidth="1"/>
    <col min="5377" max="5377" width="1.42578125" style="28" customWidth="1"/>
    <col min="5378" max="5378" width="58.85546875" style="28" customWidth="1"/>
    <col min="5379" max="5380" width="11.42578125" style="28"/>
    <col min="5381" max="5381" width="2.140625" style="28" customWidth="1"/>
    <col min="5382" max="5382" width="11.42578125" style="28"/>
    <col min="5383" max="5383" width="9.5703125" style="28" customWidth="1"/>
    <col min="5384" max="5629" width="11.42578125" style="28"/>
    <col min="5630" max="5630" width="0.140625" style="28" customWidth="1"/>
    <col min="5631" max="5631" width="2.5703125" style="28" customWidth="1"/>
    <col min="5632" max="5632" width="18.5703125" style="28" customWidth="1"/>
    <col min="5633" max="5633" width="1.42578125" style="28" customWidth="1"/>
    <col min="5634" max="5634" width="58.85546875" style="28" customWidth="1"/>
    <col min="5635" max="5636" width="11.42578125" style="28"/>
    <col min="5637" max="5637" width="2.140625" style="28" customWidth="1"/>
    <col min="5638" max="5638" width="11.42578125" style="28"/>
    <col min="5639" max="5639" width="9.5703125" style="28" customWidth="1"/>
    <col min="5640" max="5885" width="11.42578125" style="28"/>
    <col min="5886" max="5886" width="0.140625" style="28" customWidth="1"/>
    <col min="5887" max="5887" width="2.5703125" style="28" customWidth="1"/>
    <col min="5888" max="5888" width="18.5703125" style="28" customWidth="1"/>
    <col min="5889" max="5889" width="1.42578125" style="28" customWidth="1"/>
    <col min="5890" max="5890" width="58.85546875" style="28" customWidth="1"/>
    <col min="5891" max="5892" width="11.42578125" style="28"/>
    <col min="5893" max="5893" width="2.140625" style="28" customWidth="1"/>
    <col min="5894" max="5894" width="11.42578125" style="28"/>
    <col min="5895" max="5895" width="9.5703125" style="28" customWidth="1"/>
    <col min="5896" max="6141" width="11.42578125" style="28"/>
    <col min="6142" max="6142" width="0.140625" style="28" customWidth="1"/>
    <col min="6143" max="6143" width="2.5703125" style="28" customWidth="1"/>
    <col min="6144" max="6144" width="18.5703125" style="28" customWidth="1"/>
    <col min="6145" max="6145" width="1.42578125" style="28" customWidth="1"/>
    <col min="6146" max="6146" width="58.85546875" style="28" customWidth="1"/>
    <col min="6147" max="6148" width="11.42578125" style="28"/>
    <col min="6149" max="6149" width="2.140625" style="28" customWidth="1"/>
    <col min="6150" max="6150" width="11.42578125" style="28"/>
    <col min="6151" max="6151" width="9.5703125" style="28" customWidth="1"/>
    <col min="6152" max="6397" width="11.42578125" style="28"/>
    <col min="6398" max="6398" width="0.140625" style="28" customWidth="1"/>
    <col min="6399" max="6399" width="2.5703125" style="28" customWidth="1"/>
    <col min="6400" max="6400" width="18.5703125" style="28" customWidth="1"/>
    <col min="6401" max="6401" width="1.42578125" style="28" customWidth="1"/>
    <col min="6402" max="6402" width="58.85546875" style="28" customWidth="1"/>
    <col min="6403" max="6404" width="11.42578125" style="28"/>
    <col min="6405" max="6405" width="2.140625" style="28" customWidth="1"/>
    <col min="6406" max="6406" width="11.42578125" style="28"/>
    <col min="6407" max="6407" width="9.5703125" style="28" customWidth="1"/>
    <col min="6408" max="6653" width="11.42578125" style="28"/>
    <col min="6654" max="6654" width="0.140625" style="28" customWidth="1"/>
    <col min="6655" max="6655" width="2.5703125" style="28" customWidth="1"/>
    <col min="6656" max="6656" width="18.5703125" style="28" customWidth="1"/>
    <col min="6657" max="6657" width="1.42578125" style="28" customWidth="1"/>
    <col min="6658" max="6658" width="58.85546875" style="28" customWidth="1"/>
    <col min="6659" max="6660" width="11.42578125" style="28"/>
    <col min="6661" max="6661" width="2.140625" style="28" customWidth="1"/>
    <col min="6662" max="6662" width="11.42578125" style="28"/>
    <col min="6663" max="6663" width="9.5703125" style="28" customWidth="1"/>
    <col min="6664" max="6909" width="11.42578125" style="28"/>
    <col min="6910" max="6910" width="0.140625" style="28" customWidth="1"/>
    <col min="6911" max="6911" width="2.5703125" style="28" customWidth="1"/>
    <col min="6912" max="6912" width="18.5703125" style="28" customWidth="1"/>
    <col min="6913" max="6913" width="1.42578125" style="28" customWidth="1"/>
    <col min="6914" max="6914" width="58.85546875" style="28" customWidth="1"/>
    <col min="6915" max="6916" width="11.42578125" style="28"/>
    <col min="6917" max="6917" width="2.140625" style="28" customWidth="1"/>
    <col min="6918" max="6918" width="11.42578125" style="28"/>
    <col min="6919" max="6919" width="9.5703125" style="28" customWidth="1"/>
    <col min="6920" max="7165" width="11.42578125" style="28"/>
    <col min="7166" max="7166" width="0.140625" style="28" customWidth="1"/>
    <col min="7167" max="7167" width="2.5703125" style="28" customWidth="1"/>
    <col min="7168" max="7168" width="18.5703125" style="28" customWidth="1"/>
    <col min="7169" max="7169" width="1.42578125" style="28" customWidth="1"/>
    <col min="7170" max="7170" width="58.85546875" style="28" customWidth="1"/>
    <col min="7171" max="7172" width="11.42578125" style="28"/>
    <col min="7173" max="7173" width="2.140625" style="28" customWidth="1"/>
    <col min="7174" max="7174" width="11.42578125" style="28"/>
    <col min="7175" max="7175" width="9.5703125" style="28" customWidth="1"/>
    <col min="7176" max="7421" width="11.42578125" style="28"/>
    <col min="7422" max="7422" width="0.140625" style="28" customWidth="1"/>
    <col min="7423" max="7423" width="2.5703125" style="28" customWidth="1"/>
    <col min="7424" max="7424" width="18.5703125" style="28" customWidth="1"/>
    <col min="7425" max="7425" width="1.42578125" style="28" customWidth="1"/>
    <col min="7426" max="7426" width="58.85546875" style="28" customWidth="1"/>
    <col min="7427" max="7428" width="11.42578125" style="28"/>
    <col min="7429" max="7429" width="2.140625" style="28" customWidth="1"/>
    <col min="7430" max="7430" width="11.42578125" style="28"/>
    <col min="7431" max="7431" width="9.5703125" style="28" customWidth="1"/>
    <col min="7432" max="7677" width="11.42578125" style="28"/>
    <col min="7678" max="7678" width="0.140625" style="28" customWidth="1"/>
    <col min="7679" max="7679" width="2.5703125" style="28" customWidth="1"/>
    <col min="7680" max="7680" width="18.5703125" style="28" customWidth="1"/>
    <col min="7681" max="7681" width="1.42578125" style="28" customWidth="1"/>
    <col min="7682" max="7682" width="58.85546875" style="28" customWidth="1"/>
    <col min="7683" max="7684" width="11.42578125" style="28"/>
    <col min="7685" max="7685" width="2.140625" style="28" customWidth="1"/>
    <col min="7686" max="7686" width="11.42578125" style="28"/>
    <col min="7687" max="7687" width="9.5703125" style="28" customWidth="1"/>
    <col min="7688" max="7933" width="11.42578125" style="28"/>
    <col min="7934" max="7934" width="0.140625" style="28" customWidth="1"/>
    <col min="7935" max="7935" width="2.5703125" style="28" customWidth="1"/>
    <col min="7936" max="7936" width="18.5703125" style="28" customWidth="1"/>
    <col min="7937" max="7937" width="1.42578125" style="28" customWidth="1"/>
    <col min="7938" max="7938" width="58.85546875" style="28" customWidth="1"/>
    <col min="7939" max="7940" width="11.42578125" style="28"/>
    <col min="7941" max="7941" width="2.140625" style="28" customWidth="1"/>
    <col min="7942" max="7942" width="11.42578125" style="28"/>
    <col min="7943" max="7943" width="9.5703125" style="28" customWidth="1"/>
    <col min="7944" max="8189" width="11.42578125" style="28"/>
    <col min="8190" max="8190" width="0.140625" style="28" customWidth="1"/>
    <col min="8191" max="8191" width="2.5703125" style="28" customWidth="1"/>
    <col min="8192" max="8192" width="18.5703125" style="28" customWidth="1"/>
    <col min="8193" max="8193" width="1.42578125" style="28" customWidth="1"/>
    <col min="8194" max="8194" width="58.85546875" style="28" customWidth="1"/>
    <col min="8195" max="8196" width="11.42578125" style="28"/>
    <col min="8197" max="8197" width="2.140625" style="28" customWidth="1"/>
    <col min="8198" max="8198" width="11.42578125" style="28"/>
    <col min="8199" max="8199" width="9.5703125" style="28" customWidth="1"/>
    <col min="8200" max="8445" width="11.42578125" style="28"/>
    <col min="8446" max="8446" width="0.140625" style="28" customWidth="1"/>
    <col min="8447" max="8447" width="2.5703125" style="28" customWidth="1"/>
    <col min="8448" max="8448" width="18.5703125" style="28" customWidth="1"/>
    <col min="8449" max="8449" width="1.42578125" style="28" customWidth="1"/>
    <col min="8450" max="8450" width="58.85546875" style="28" customWidth="1"/>
    <col min="8451" max="8452" width="11.42578125" style="28"/>
    <col min="8453" max="8453" width="2.140625" style="28" customWidth="1"/>
    <col min="8454" max="8454" width="11.42578125" style="28"/>
    <col min="8455" max="8455" width="9.5703125" style="28" customWidth="1"/>
    <col min="8456" max="8701" width="11.42578125" style="28"/>
    <col min="8702" max="8702" width="0.140625" style="28" customWidth="1"/>
    <col min="8703" max="8703" width="2.5703125" style="28" customWidth="1"/>
    <col min="8704" max="8704" width="18.5703125" style="28" customWidth="1"/>
    <col min="8705" max="8705" width="1.42578125" style="28" customWidth="1"/>
    <col min="8706" max="8706" width="58.85546875" style="28" customWidth="1"/>
    <col min="8707" max="8708" width="11.42578125" style="28"/>
    <col min="8709" max="8709" width="2.140625" style="28" customWidth="1"/>
    <col min="8710" max="8710" width="11.42578125" style="28"/>
    <col min="8711" max="8711" width="9.5703125" style="28" customWidth="1"/>
    <col min="8712" max="8957" width="11.42578125" style="28"/>
    <col min="8958" max="8958" width="0.140625" style="28" customWidth="1"/>
    <col min="8959" max="8959" width="2.5703125" style="28" customWidth="1"/>
    <col min="8960" max="8960" width="18.5703125" style="28" customWidth="1"/>
    <col min="8961" max="8961" width="1.42578125" style="28" customWidth="1"/>
    <col min="8962" max="8962" width="58.85546875" style="28" customWidth="1"/>
    <col min="8963" max="8964" width="11.42578125" style="28"/>
    <col min="8965" max="8965" width="2.140625" style="28" customWidth="1"/>
    <col min="8966" max="8966" width="11.42578125" style="28"/>
    <col min="8967" max="8967" width="9.5703125" style="28" customWidth="1"/>
    <col min="8968" max="9213" width="11.42578125" style="28"/>
    <col min="9214" max="9214" width="0.140625" style="28" customWidth="1"/>
    <col min="9215" max="9215" width="2.5703125" style="28" customWidth="1"/>
    <col min="9216" max="9216" width="18.5703125" style="28" customWidth="1"/>
    <col min="9217" max="9217" width="1.42578125" style="28" customWidth="1"/>
    <col min="9218" max="9218" width="58.85546875" style="28" customWidth="1"/>
    <col min="9219" max="9220" width="11.42578125" style="28"/>
    <col min="9221" max="9221" width="2.140625" style="28" customWidth="1"/>
    <col min="9222" max="9222" width="11.42578125" style="28"/>
    <col min="9223" max="9223" width="9.5703125" style="28" customWidth="1"/>
    <col min="9224" max="9469" width="11.42578125" style="28"/>
    <col min="9470" max="9470" width="0.140625" style="28" customWidth="1"/>
    <col min="9471" max="9471" width="2.5703125" style="28" customWidth="1"/>
    <col min="9472" max="9472" width="18.5703125" style="28" customWidth="1"/>
    <col min="9473" max="9473" width="1.42578125" style="28" customWidth="1"/>
    <col min="9474" max="9474" width="58.85546875" style="28" customWidth="1"/>
    <col min="9475" max="9476" width="11.42578125" style="28"/>
    <col min="9477" max="9477" width="2.140625" style="28" customWidth="1"/>
    <col min="9478" max="9478" width="11.42578125" style="28"/>
    <col min="9479" max="9479" width="9.5703125" style="28" customWidth="1"/>
    <col min="9480" max="9725" width="11.42578125" style="28"/>
    <col min="9726" max="9726" width="0.140625" style="28" customWidth="1"/>
    <col min="9727" max="9727" width="2.5703125" style="28" customWidth="1"/>
    <col min="9728" max="9728" width="18.5703125" style="28" customWidth="1"/>
    <col min="9729" max="9729" width="1.42578125" style="28" customWidth="1"/>
    <col min="9730" max="9730" width="58.85546875" style="28" customWidth="1"/>
    <col min="9731" max="9732" width="11.42578125" style="28"/>
    <col min="9733" max="9733" width="2.140625" style="28" customWidth="1"/>
    <col min="9734" max="9734" width="11.42578125" style="28"/>
    <col min="9735" max="9735" width="9.5703125" style="28" customWidth="1"/>
    <col min="9736" max="9981" width="11.42578125" style="28"/>
    <col min="9982" max="9982" width="0.140625" style="28" customWidth="1"/>
    <col min="9983" max="9983" width="2.5703125" style="28" customWidth="1"/>
    <col min="9984" max="9984" width="18.5703125" style="28" customWidth="1"/>
    <col min="9985" max="9985" width="1.42578125" style="28" customWidth="1"/>
    <col min="9986" max="9986" width="58.85546875" style="28" customWidth="1"/>
    <col min="9987" max="9988" width="11.42578125" style="28"/>
    <col min="9989" max="9989" width="2.140625" style="28" customWidth="1"/>
    <col min="9990" max="9990" width="11.42578125" style="28"/>
    <col min="9991" max="9991" width="9.5703125" style="28" customWidth="1"/>
    <col min="9992" max="10237" width="11.42578125" style="28"/>
    <col min="10238" max="10238" width="0.140625" style="28" customWidth="1"/>
    <col min="10239" max="10239" width="2.5703125" style="28" customWidth="1"/>
    <col min="10240" max="10240" width="18.5703125" style="28" customWidth="1"/>
    <col min="10241" max="10241" width="1.42578125" style="28" customWidth="1"/>
    <col min="10242" max="10242" width="58.85546875" style="28" customWidth="1"/>
    <col min="10243" max="10244" width="11.42578125" style="28"/>
    <col min="10245" max="10245" width="2.140625" style="28" customWidth="1"/>
    <col min="10246" max="10246" width="11.42578125" style="28"/>
    <col min="10247" max="10247" width="9.5703125" style="28" customWidth="1"/>
    <col min="10248" max="10493" width="11.42578125" style="28"/>
    <col min="10494" max="10494" width="0.140625" style="28" customWidth="1"/>
    <col min="10495" max="10495" width="2.5703125" style="28" customWidth="1"/>
    <col min="10496" max="10496" width="18.5703125" style="28" customWidth="1"/>
    <col min="10497" max="10497" width="1.42578125" style="28" customWidth="1"/>
    <col min="10498" max="10498" width="58.85546875" style="28" customWidth="1"/>
    <col min="10499" max="10500" width="11.42578125" style="28"/>
    <col min="10501" max="10501" width="2.140625" style="28" customWidth="1"/>
    <col min="10502" max="10502" width="11.42578125" style="28"/>
    <col min="10503" max="10503" width="9.5703125" style="28" customWidth="1"/>
    <col min="10504" max="10749" width="11.42578125" style="28"/>
    <col min="10750" max="10750" width="0.140625" style="28" customWidth="1"/>
    <col min="10751" max="10751" width="2.5703125" style="28" customWidth="1"/>
    <col min="10752" max="10752" width="18.5703125" style="28" customWidth="1"/>
    <col min="10753" max="10753" width="1.42578125" style="28" customWidth="1"/>
    <col min="10754" max="10754" width="58.85546875" style="28" customWidth="1"/>
    <col min="10755" max="10756" width="11.42578125" style="28"/>
    <col min="10757" max="10757" width="2.140625" style="28" customWidth="1"/>
    <col min="10758" max="10758" width="11.42578125" style="28"/>
    <col min="10759" max="10759" width="9.5703125" style="28" customWidth="1"/>
    <col min="10760" max="11005" width="11.42578125" style="28"/>
    <col min="11006" max="11006" width="0.140625" style="28" customWidth="1"/>
    <col min="11007" max="11007" width="2.5703125" style="28" customWidth="1"/>
    <col min="11008" max="11008" width="18.5703125" style="28" customWidth="1"/>
    <col min="11009" max="11009" width="1.42578125" style="28" customWidth="1"/>
    <col min="11010" max="11010" width="58.85546875" style="28" customWidth="1"/>
    <col min="11011" max="11012" width="11.42578125" style="28"/>
    <col min="11013" max="11013" width="2.140625" style="28" customWidth="1"/>
    <col min="11014" max="11014" width="11.42578125" style="28"/>
    <col min="11015" max="11015" width="9.5703125" style="28" customWidth="1"/>
    <col min="11016" max="11261" width="11.42578125" style="28"/>
    <col min="11262" max="11262" width="0.140625" style="28" customWidth="1"/>
    <col min="11263" max="11263" width="2.5703125" style="28" customWidth="1"/>
    <col min="11264" max="11264" width="18.5703125" style="28" customWidth="1"/>
    <col min="11265" max="11265" width="1.42578125" style="28" customWidth="1"/>
    <col min="11266" max="11266" width="58.85546875" style="28" customWidth="1"/>
    <col min="11267" max="11268" width="11.42578125" style="28"/>
    <col min="11269" max="11269" width="2.140625" style="28" customWidth="1"/>
    <col min="11270" max="11270" width="11.42578125" style="28"/>
    <col min="11271" max="11271" width="9.5703125" style="28" customWidth="1"/>
    <col min="11272" max="11517" width="11.42578125" style="28"/>
    <col min="11518" max="11518" width="0.140625" style="28" customWidth="1"/>
    <col min="11519" max="11519" width="2.5703125" style="28" customWidth="1"/>
    <col min="11520" max="11520" width="18.5703125" style="28" customWidth="1"/>
    <col min="11521" max="11521" width="1.42578125" style="28" customWidth="1"/>
    <col min="11522" max="11522" width="58.85546875" style="28" customWidth="1"/>
    <col min="11523" max="11524" width="11.42578125" style="28"/>
    <col min="11525" max="11525" width="2.140625" style="28" customWidth="1"/>
    <col min="11526" max="11526" width="11.42578125" style="28"/>
    <col min="11527" max="11527" width="9.5703125" style="28" customWidth="1"/>
    <col min="11528" max="11773" width="11.42578125" style="28"/>
    <col min="11774" max="11774" width="0.140625" style="28" customWidth="1"/>
    <col min="11775" max="11775" width="2.5703125" style="28" customWidth="1"/>
    <col min="11776" max="11776" width="18.5703125" style="28" customWidth="1"/>
    <col min="11777" max="11777" width="1.42578125" style="28" customWidth="1"/>
    <col min="11778" max="11778" width="58.85546875" style="28" customWidth="1"/>
    <col min="11779" max="11780" width="11.42578125" style="28"/>
    <col min="11781" max="11781" width="2.140625" style="28" customWidth="1"/>
    <col min="11782" max="11782" width="11.42578125" style="28"/>
    <col min="11783" max="11783" width="9.5703125" style="28" customWidth="1"/>
    <col min="11784" max="12029" width="11.42578125" style="28"/>
    <col min="12030" max="12030" width="0.140625" style="28" customWidth="1"/>
    <col min="12031" max="12031" width="2.5703125" style="28" customWidth="1"/>
    <col min="12032" max="12032" width="18.5703125" style="28" customWidth="1"/>
    <col min="12033" max="12033" width="1.42578125" style="28" customWidth="1"/>
    <col min="12034" max="12034" width="58.85546875" style="28" customWidth="1"/>
    <col min="12035" max="12036" width="11.42578125" style="28"/>
    <col min="12037" max="12037" width="2.140625" style="28" customWidth="1"/>
    <col min="12038" max="12038" width="11.42578125" style="28"/>
    <col min="12039" max="12039" width="9.5703125" style="28" customWidth="1"/>
    <col min="12040" max="12285" width="11.42578125" style="28"/>
    <col min="12286" max="12286" width="0.140625" style="28" customWidth="1"/>
    <col min="12287" max="12287" width="2.5703125" style="28" customWidth="1"/>
    <col min="12288" max="12288" width="18.5703125" style="28" customWidth="1"/>
    <col min="12289" max="12289" width="1.42578125" style="28" customWidth="1"/>
    <col min="12290" max="12290" width="58.85546875" style="28" customWidth="1"/>
    <col min="12291" max="12292" width="11.42578125" style="28"/>
    <col min="12293" max="12293" width="2.140625" style="28" customWidth="1"/>
    <col min="12294" max="12294" width="11.42578125" style="28"/>
    <col min="12295" max="12295" width="9.5703125" style="28" customWidth="1"/>
    <col min="12296" max="12541" width="11.42578125" style="28"/>
    <col min="12542" max="12542" width="0.140625" style="28" customWidth="1"/>
    <col min="12543" max="12543" width="2.5703125" style="28" customWidth="1"/>
    <col min="12544" max="12544" width="18.5703125" style="28" customWidth="1"/>
    <col min="12545" max="12545" width="1.42578125" style="28" customWidth="1"/>
    <col min="12546" max="12546" width="58.85546875" style="28" customWidth="1"/>
    <col min="12547" max="12548" width="11.42578125" style="28"/>
    <col min="12549" max="12549" width="2.140625" style="28" customWidth="1"/>
    <col min="12550" max="12550" width="11.42578125" style="28"/>
    <col min="12551" max="12551" width="9.5703125" style="28" customWidth="1"/>
    <col min="12552" max="12797" width="11.42578125" style="28"/>
    <col min="12798" max="12798" width="0.140625" style="28" customWidth="1"/>
    <col min="12799" max="12799" width="2.5703125" style="28" customWidth="1"/>
    <col min="12800" max="12800" width="18.5703125" style="28" customWidth="1"/>
    <col min="12801" max="12801" width="1.42578125" style="28" customWidth="1"/>
    <col min="12802" max="12802" width="58.85546875" style="28" customWidth="1"/>
    <col min="12803" max="12804" width="11.42578125" style="28"/>
    <col min="12805" max="12805" width="2.140625" style="28" customWidth="1"/>
    <col min="12806" max="12806" width="11.42578125" style="28"/>
    <col min="12807" max="12807" width="9.5703125" style="28" customWidth="1"/>
    <col min="12808" max="13053" width="11.42578125" style="28"/>
    <col min="13054" max="13054" width="0.140625" style="28" customWidth="1"/>
    <col min="13055" max="13055" width="2.5703125" style="28" customWidth="1"/>
    <col min="13056" max="13056" width="18.5703125" style="28" customWidth="1"/>
    <col min="13057" max="13057" width="1.42578125" style="28" customWidth="1"/>
    <col min="13058" max="13058" width="58.85546875" style="28" customWidth="1"/>
    <col min="13059" max="13060" width="11.42578125" style="28"/>
    <col min="13061" max="13061" width="2.140625" style="28" customWidth="1"/>
    <col min="13062" max="13062" width="11.42578125" style="28"/>
    <col min="13063" max="13063" width="9.5703125" style="28" customWidth="1"/>
    <col min="13064" max="13309" width="11.42578125" style="28"/>
    <col min="13310" max="13310" width="0.140625" style="28" customWidth="1"/>
    <col min="13311" max="13311" width="2.5703125" style="28" customWidth="1"/>
    <col min="13312" max="13312" width="18.5703125" style="28" customWidth="1"/>
    <col min="13313" max="13313" width="1.42578125" style="28" customWidth="1"/>
    <col min="13314" max="13314" width="58.85546875" style="28" customWidth="1"/>
    <col min="13315" max="13316" width="11.42578125" style="28"/>
    <col min="13317" max="13317" width="2.140625" style="28" customWidth="1"/>
    <col min="13318" max="13318" width="11.42578125" style="28"/>
    <col min="13319" max="13319" width="9.5703125" style="28" customWidth="1"/>
    <col min="13320" max="13565" width="11.42578125" style="28"/>
    <col min="13566" max="13566" width="0.140625" style="28" customWidth="1"/>
    <col min="13567" max="13567" width="2.5703125" style="28" customWidth="1"/>
    <col min="13568" max="13568" width="18.5703125" style="28" customWidth="1"/>
    <col min="13569" max="13569" width="1.42578125" style="28" customWidth="1"/>
    <col min="13570" max="13570" width="58.85546875" style="28" customWidth="1"/>
    <col min="13571" max="13572" width="11.42578125" style="28"/>
    <col min="13573" max="13573" width="2.140625" style="28" customWidth="1"/>
    <col min="13574" max="13574" width="11.42578125" style="28"/>
    <col min="13575" max="13575" width="9.5703125" style="28" customWidth="1"/>
    <col min="13576" max="13821" width="11.42578125" style="28"/>
    <col min="13822" max="13822" width="0.140625" style="28" customWidth="1"/>
    <col min="13823" max="13823" width="2.5703125" style="28" customWidth="1"/>
    <col min="13824" max="13824" width="18.5703125" style="28" customWidth="1"/>
    <col min="13825" max="13825" width="1.42578125" style="28" customWidth="1"/>
    <col min="13826" max="13826" width="58.85546875" style="28" customWidth="1"/>
    <col min="13827" max="13828" width="11.42578125" style="28"/>
    <col min="13829" max="13829" width="2.140625" style="28" customWidth="1"/>
    <col min="13830" max="13830" width="11.42578125" style="28"/>
    <col min="13831" max="13831" width="9.5703125" style="28" customWidth="1"/>
    <col min="13832" max="14077" width="11.42578125" style="28"/>
    <col min="14078" max="14078" width="0.140625" style="28" customWidth="1"/>
    <col min="14079" max="14079" width="2.5703125" style="28" customWidth="1"/>
    <col min="14080" max="14080" width="18.5703125" style="28" customWidth="1"/>
    <col min="14081" max="14081" width="1.42578125" style="28" customWidth="1"/>
    <col min="14082" max="14082" width="58.85546875" style="28" customWidth="1"/>
    <col min="14083" max="14084" width="11.42578125" style="28"/>
    <col min="14085" max="14085" width="2.140625" style="28" customWidth="1"/>
    <col min="14086" max="14086" width="11.42578125" style="28"/>
    <col min="14087" max="14087" width="9.5703125" style="28" customWidth="1"/>
    <col min="14088" max="14333" width="11.42578125" style="28"/>
    <col min="14334" max="14334" width="0.140625" style="28" customWidth="1"/>
    <col min="14335" max="14335" width="2.5703125" style="28" customWidth="1"/>
    <col min="14336" max="14336" width="18.5703125" style="28" customWidth="1"/>
    <col min="14337" max="14337" width="1.42578125" style="28" customWidth="1"/>
    <col min="14338" max="14338" width="58.85546875" style="28" customWidth="1"/>
    <col min="14339" max="14340" width="11.42578125" style="28"/>
    <col min="14341" max="14341" width="2.140625" style="28" customWidth="1"/>
    <col min="14342" max="14342" width="11.42578125" style="28"/>
    <col min="14343" max="14343" width="9.5703125" style="28" customWidth="1"/>
    <col min="14344" max="14589" width="11.42578125" style="28"/>
    <col min="14590" max="14590" width="0.140625" style="28" customWidth="1"/>
    <col min="14591" max="14591" width="2.5703125" style="28" customWidth="1"/>
    <col min="14592" max="14592" width="18.5703125" style="28" customWidth="1"/>
    <col min="14593" max="14593" width="1.42578125" style="28" customWidth="1"/>
    <col min="14594" max="14594" width="58.85546875" style="28" customWidth="1"/>
    <col min="14595" max="14596" width="11.42578125" style="28"/>
    <col min="14597" max="14597" width="2.140625" style="28" customWidth="1"/>
    <col min="14598" max="14598" width="11.42578125" style="28"/>
    <col min="14599" max="14599" width="9.5703125" style="28" customWidth="1"/>
    <col min="14600" max="14845" width="11.42578125" style="28"/>
    <col min="14846" max="14846" width="0.140625" style="28" customWidth="1"/>
    <col min="14847" max="14847" width="2.5703125" style="28" customWidth="1"/>
    <col min="14848" max="14848" width="18.5703125" style="28" customWidth="1"/>
    <col min="14849" max="14849" width="1.42578125" style="28" customWidth="1"/>
    <col min="14850" max="14850" width="58.85546875" style="28" customWidth="1"/>
    <col min="14851" max="14852" width="11.42578125" style="28"/>
    <col min="14853" max="14853" width="2.140625" style="28" customWidth="1"/>
    <col min="14854" max="14854" width="11.42578125" style="28"/>
    <col min="14855" max="14855" width="9.5703125" style="28" customWidth="1"/>
    <col min="14856" max="15101" width="11.42578125" style="28"/>
    <col min="15102" max="15102" width="0.140625" style="28" customWidth="1"/>
    <col min="15103" max="15103" width="2.5703125" style="28" customWidth="1"/>
    <col min="15104" max="15104" width="18.5703125" style="28" customWidth="1"/>
    <col min="15105" max="15105" width="1.42578125" style="28" customWidth="1"/>
    <col min="15106" max="15106" width="58.85546875" style="28" customWidth="1"/>
    <col min="15107" max="15108" width="11.42578125" style="28"/>
    <col min="15109" max="15109" width="2.140625" style="28" customWidth="1"/>
    <col min="15110" max="15110" width="11.42578125" style="28"/>
    <col min="15111" max="15111" width="9.5703125" style="28" customWidth="1"/>
    <col min="15112" max="15357" width="11.42578125" style="28"/>
    <col min="15358" max="15358" width="0.140625" style="28" customWidth="1"/>
    <col min="15359" max="15359" width="2.5703125" style="28" customWidth="1"/>
    <col min="15360" max="15360" width="18.5703125" style="28" customWidth="1"/>
    <col min="15361" max="15361" width="1.42578125" style="28" customWidth="1"/>
    <col min="15362" max="15362" width="58.85546875" style="28" customWidth="1"/>
    <col min="15363" max="15364" width="11.42578125" style="28"/>
    <col min="15365" max="15365" width="2.140625" style="28" customWidth="1"/>
    <col min="15366" max="15366" width="11.42578125" style="28"/>
    <col min="15367" max="15367" width="9.5703125" style="28" customWidth="1"/>
    <col min="15368" max="15613" width="11.42578125" style="28"/>
    <col min="15614" max="15614" width="0.140625" style="28" customWidth="1"/>
    <col min="15615" max="15615" width="2.5703125" style="28" customWidth="1"/>
    <col min="15616" max="15616" width="18.5703125" style="28" customWidth="1"/>
    <col min="15617" max="15617" width="1.42578125" style="28" customWidth="1"/>
    <col min="15618" max="15618" width="58.85546875" style="28" customWidth="1"/>
    <col min="15619" max="15620" width="11.42578125" style="28"/>
    <col min="15621" max="15621" width="2.140625" style="28" customWidth="1"/>
    <col min="15622" max="15622" width="11.42578125" style="28"/>
    <col min="15623" max="15623" width="9.5703125" style="28" customWidth="1"/>
    <col min="15624" max="15869" width="11.42578125" style="28"/>
    <col min="15870" max="15870" width="0.140625" style="28" customWidth="1"/>
    <col min="15871" max="15871" width="2.5703125" style="28" customWidth="1"/>
    <col min="15872" max="15872" width="18.5703125" style="28" customWidth="1"/>
    <col min="15873" max="15873" width="1.42578125" style="28" customWidth="1"/>
    <col min="15874" max="15874" width="58.85546875" style="28" customWidth="1"/>
    <col min="15875" max="15876" width="11.42578125" style="28"/>
    <col min="15877" max="15877" width="2.140625" style="28" customWidth="1"/>
    <col min="15878" max="15878" width="11.42578125" style="28"/>
    <col min="15879" max="15879" width="9.5703125" style="28" customWidth="1"/>
    <col min="15880" max="16125" width="11.42578125" style="28"/>
    <col min="16126" max="16126" width="0.140625" style="28" customWidth="1"/>
    <col min="16127" max="16127" width="2.5703125" style="28" customWidth="1"/>
    <col min="16128" max="16128" width="18.5703125" style="28" customWidth="1"/>
    <col min="16129" max="16129" width="1.42578125" style="28" customWidth="1"/>
    <col min="16130" max="16130" width="58.85546875" style="28" customWidth="1"/>
    <col min="16131" max="16132" width="11.42578125" style="28"/>
    <col min="16133" max="16133" width="2.140625" style="28" customWidth="1"/>
    <col min="16134" max="16134" width="11.42578125" style="28"/>
    <col min="16135" max="16135" width="9.5703125" style="28" customWidth="1"/>
    <col min="16136" max="16384" width="11.42578125" style="28"/>
  </cols>
  <sheetData>
    <row r="1" spans="2:12" s="29" customFormat="1" ht="0.75" customHeight="1"/>
    <row r="2" spans="2:12" s="29" customFormat="1" ht="21" customHeight="1">
      <c r="E2" s="27" t="s">
        <v>19</v>
      </c>
    </row>
    <row r="3" spans="2:12" s="29" customFormat="1" ht="15" customHeight="1">
      <c r="E3" s="43" t="str">
        <f>Indice!E3</f>
        <v>Julio 2026</v>
      </c>
    </row>
    <row r="4" spans="2:12" s="31" customFormat="1" ht="20.25" customHeight="1">
      <c r="B4" s="39"/>
      <c r="C4" s="25" t="s">
        <v>39</v>
      </c>
    </row>
    <row r="5" spans="2:12" s="31" customFormat="1" ht="12.75" customHeight="1">
      <c r="B5" s="39"/>
      <c r="C5" s="42"/>
    </row>
    <row r="6" spans="2:12" s="31" customFormat="1" ht="13.5" customHeight="1">
      <c r="B6" s="39"/>
      <c r="C6" s="38"/>
      <c r="D6" s="37"/>
      <c r="E6" s="37"/>
    </row>
    <row r="7" spans="2:12" s="31" customFormat="1" ht="12.75" customHeight="1">
      <c r="B7" s="39"/>
      <c r="C7" s="263" t="s">
        <v>99</v>
      </c>
      <c r="D7" s="37"/>
      <c r="E7" s="41"/>
    </row>
    <row r="8" spans="2:12" s="31" customFormat="1" ht="12.75" customHeight="1">
      <c r="B8" s="39"/>
      <c r="C8" s="263"/>
      <c r="D8" s="37"/>
      <c r="E8" s="41"/>
      <c r="J8" s="30"/>
      <c r="K8" s="30"/>
      <c r="L8" s="30"/>
    </row>
    <row r="9" spans="2:12" s="31" customFormat="1" ht="12.75" customHeight="1">
      <c r="B9" s="39"/>
      <c r="C9" s="263"/>
      <c r="D9" s="37"/>
      <c r="E9" s="41"/>
      <c r="J9" s="30"/>
      <c r="K9" s="78"/>
      <c r="L9" s="79"/>
    </row>
    <row r="10" spans="2:12" s="31" customFormat="1" ht="12.75" customHeight="1">
      <c r="B10" s="39"/>
      <c r="C10" s="33" t="str">
        <f>CONCATENATE(TEXT(SUM(Dat_01!B33:B46),"0.0")," MW")</f>
        <v>2.381 MW</v>
      </c>
      <c r="D10" s="37"/>
      <c r="E10" s="41"/>
      <c r="J10" s="30"/>
      <c r="K10" s="80"/>
      <c r="L10" s="77"/>
    </row>
    <row r="11" spans="2:12" s="31" customFormat="1" ht="12.75" customHeight="1">
      <c r="B11" s="39"/>
      <c r="D11" s="37"/>
      <c r="E11" s="37"/>
      <c r="J11" s="30"/>
      <c r="K11" s="80"/>
      <c r="L11" s="77"/>
    </row>
    <row r="12" spans="2:12" s="31" customFormat="1" ht="12.75" customHeight="1">
      <c r="B12" s="39"/>
      <c r="C12" s="40"/>
      <c r="D12" s="37"/>
      <c r="E12" s="37"/>
      <c r="J12" s="30"/>
      <c r="K12" s="80"/>
      <c r="L12" s="77"/>
    </row>
    <row r="13" spans="2:12" s="31" customFormat="1" ht="12.75" customHeight="1">
      <c r="B13" s="39"/>
      <c r="C13" s="40"/>
      <c r="D13" s="37"/>
      <c r="E13" s="37"/>
      <c r="J13" s="30"/>
      <c r="K13" s="30"/>
      <c r="L13" s="30"/>
    </row>
    <row r="14" spans="2:12" s="31" customFormat="1" ht="12.75" customHeight="1">
      <c r="B14" s="39"/>
      <c r="C14" s="40"/>
      <c r="D14" s="37"/>
      <c r="E14" s="37"/>
    </row>
    <row r="15" spans="2:12" s="31" customFormat="1" ht="12.75" customHeight="1">
      <c r="B15" s="39"/>
      <c r="C15" s="40"/>
      <c r="D15" s="37"/>
      <c r="E15" s="37"/>
    </row>
    <row r="16" spans="2:12" s="31" customFormat="1" ht="12.75" customHeight="1">
      <c r="B16" s="39"/>
      <c r="D16" s="37"/>
      <c r="E16" s="37"/>
      <c r="J16" s="30"/>
      <c r="K16" s="30"/>
      <c r="L16" s="30"/>
    </row>
    <row r="17" spans="2:12" s="31" customFormat="1" ht="12.75" customHeight="1">
      <c r="B17" s="39"/>
      <c r="D17" s="37"/>
      <c r="E17" s="37"/>
      <c r="J17" s="30"/>
      <c r="K17" s="30"/>
      <c r="L17" s="30"/>
    </row>
    <row r="18" spans="2:12" s="31" customFormat="1" ht="12.75" customHeight="1">
      <c r="B18" s="39"/>
      <c r="D18" s="37"/>
      <c r="E18" s="37"/>
      <c r="F18" s="143"/>
      <c r="J18" s="30"/>
      <c r="K18" s="30"/>
      <c r="L18" s="30"/>
    </row>
    <row r="19" spans="2:12" s="31" customFormat="1" ht="12.75" customHeight="1">
      <c r="B19" s="39"/>
      <c r="C19" s="40"/>
      <c r="D19" s="37"/>
      <c r="E19" s="37"/>
      <c r="J19" s="30"/>
      <c r="K19" s="30"/>
      <c r="L19" s="30"/>
    </row>
    <row r="20" spans="2:12" s="31" customFormat="1" ht="12.75" customHeight="1">
      <c r="B20" s="39"/>
      <c r="C20" s="38"/>
      <c r="D20" s="37"/>
      <c r="E20" s="37"/>
      <c r="J20" s="30"/>
      <c r="K20" s="30"/>
      <c r="L20" s="30"/>
    </row>
    <row r="21" spans="2:12" s="31" customFormat="1" ht="12.75" customHeight="1">
      <c r="B21" s="39"/>
      <c r="C21" s="38"/>
      <c r="D21" s="37"/>
      <c r="E21" s="37"/>
      <c r="J21" s="154"/>
      <c r="K21" s="30"/>
    </row>
    <row r="22" spans="2:12" s="31" customFormat="1" ht="12.75" customHeight="1">
      <c r="B22" s="39"/>
      <c r="C22" s="38"/>
      <c r="D22" s="37"/>
      <c r="E22" s="37"/>
      <c r="J22" s="30"/>
      <c r="K22" s="30"/>
    </row>
    <row r="23" spans="2:12">
      <c r="E23" s="36"/>
      <c r="J23" s="31"/>
      <c r="K23" s="31"/>
    </row>
    <row r="24" spans="2:12">
      <c r="C24" s="263" t="s">
        <v>107</v>
      </c>
      <c r="E24" s="35"/>
      <c r="J24" s="31"/>
      <c r="K24" s="31"/>
    </row>
    <row r="25" spans="2:12">
      <c r="C25" s="263"/>
      <c r="E25" s="34"/>
      <c r="J25" s="30"/>
      <c r="K25" s="30"/>
    </row>
    <row r="26" spans="2:12" ht="12.75" customHeight="1">
      <c r="J26" s="78"/>
      <c r="K26" s="79"/>
    </row>
    <row r="27" spans="2:12">
      <c r="J27" s="80"/>
      <c r="K27" s="77"/>
    </row>
    <row r="28" spans="2:12">
      <c r="C28" s="33"/>
      <c r="J28" s="80"/>
      <c r="K28" s="77"/>
    </row>
    <row r="29" spans="2:12">
      <c r="C29" s="32"/>
      <c r="J29" s="80"/>
      <c r="K29" s="77"/>
    </row>
    <row r="30" spans="2:12">
      <c r="J30" s="30"/>
      <c r="K30" s="30"/>
    </row>
    <row r="31" spans="2:12" ht="12.75" customHeight="1">
      <c r="J31" s="31"/>
      <c r="K31" s="31"/>
    </row>
    <row r="32" spans="2:12">
      <c r="J32" s="31"/>
      <c r="K32" s="31"/>
    </row>
    <row r="33" spans="10:11">
      <c r="J33" s="30"/>
      <c r="K33" s="30"/>
    </row>
    <row r="34" spans="10:11">
      <c r="J34" s="30"/>
      <c r="K34" s="30"/>
    </row>
    <row r="35" spans="10:11">
      <c r="J35" s="30"/>
      <c r="K35" s="30"/>
    </row>
    <row r="36" spans="10:11">
      <c r="J36" s="30"/>
      <c r="K36" s="30"/>
    </row>
    <row r="37" spans="10:11">
      <c r="J37" s="30"/>
      <c r="K37" s="30"/>
    </row>
  </sheetData>
  <mergeCells count="2">
    <mergeCell ref="C24:C25"/>
    <mergeCell ref="C7:C9"/>
  </mergeCells>
  <printOptions horizontalCentered="1" verticalCentered="1"/>
  <pageMargins left="0.78740157480314965" right="0.78740157480314965" top="0.98425196850393704" bottom="0.98425196850393704" header="0" footer="0"/>
  <pageSetup paperSize="9" scale="91" orientation="landscape" r:id="rId1"/>
  <headerFooter alignWithMargins="0"/>
  <ignoredErrors>
    <ignoredError sqref="C10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9548-3FF5-4B2B-BF7E-FDAEE5363641}">
  <sheetPr codeName="Hoja12"/>
  <dimension ref="A1:T48"/>
  <sheetViews>
    <sheetView showGridLines="0" showRowColHeaders="0" zoomScaleNormal="100" workbookViewId="0">
      <selection activeCell="B2" sqref="B2"/>
    </sheetView>
  </sheetViews>
  <sheetFormatPr baseColWidth="10" defaultRowHeight="15"/>
  <cols>
    <col min="1" max="1" width="0.140625" style="47" customWidth="1"/>
    <col min="2" max="2" width="2.5703125" style="47" customWidth="1"/>
    <col min="3" max="3" width="23.5703125" style="47" customWidth="1"/>
    <col min="4" max="4" width="1.42578125" style="47" customWidth="1"/>
    <col min="5" max="5" width="105.5703125" style="47" customWidth="1"/>
    <col min="6" max="6" width="10.5703125" style="47" customWidth="1"/>
    <col min="7" max="7" width="21" style="47" bestFit="1" customWidth="1"/>
    <col min="8" max="244" width="11.42578125" style="47"/>
    <col min="245" max="245" width="0.140625" style="47" customWidth="1"/>
    <col min="246" max="246" width="2.5703125" style="47" customWidth="1"/>
    <col min="247" max="247" width="18.5703125" style="47" customWidth="1"/>
    <col min="248" max="248" width="1.42578125" style="47" customWidth="1"/>
    <col min="249" max="249" width="30.5703125" style="47" customWidth="1"/>
    <col min="250" max="254" width="10.5703125" style="47" customWidth="1"/>
    <col min="255" max="500" width="11.42578125" style="47"/>
    <col min="501" max="501" width="0.140625" style="47" customWidth="1"/>
    <col min="502" max="502" width="2.5703125" style="47" customWidth="1"/>
    <col min="503" max="503" width="18.5703125" style="47" customWidth="1"/>
    <col min="504" max="504" width="1.42578125" style="47" customWidth="1"/>
    <col min="505" max="505" width="30.5703125" style="47" customWidth="1"/>
    <col min="506" max="510" width="10.5703125" style="47" customWidth="1"/>
    <col min="511" max="756" width="11.42578125" style="47"/>
    <col min="757" max="757" width="0.140625" style="47" customWidth="1"/>
    <col min="758" max="758" width="2.5703125" style="47" customWidth="1"/>
    <col min="759" max="759" width="18.5703125" style="47" customWidth="1"/>
    <col min="760" max="760" width="1.42578125" style="47" customWidth="1"/>
    <col min="761" max="761" width="30.5703125" style="47" customWidth="1"/>
    <col min="762" max="766" width="10.5703125" style="47" customWidth="1"/>
    <col min="767" max="1012" width="11.42578125" style="47"/>
    <col min="1013" max="1013" width="0.140625" style="47" customWidth="1"/>
    <col min="1014" max="1014" width="2.5703125" style="47" customWidth="1"/>
    <col min="1015" max="1015" width="18.5703125" style="47" customWidth="1"/>
    <col min="1016" max="1016" width="1.42578125" style="47" customWidth="1"/>
    <col min="1017" max="1017" width="30.5703125" style="47" customWidth="1"/>
    <col min="1018" max="1022" width="10.5703125" style="47" customWidth="1"/>
    <col min="1023" max="1268" width="11.42578125" style="47"/>
    <col min="1269" max="1269" width="0.140625" style="47" customWidth="1"/>
    <col min="1270" max="1270" width="2.5703125" style="47" customWidth="1"/>
    <col min="1271" max="1271" width="18.5703125" style="47" customWidth="1"/>
    <col min="1272" max="1272" width="1.42578125" style="47" customWidth="1"/>
    <col min="1273" max="1273" width="30.5703125" style="47" customWidth="1"/>
    <col min="1274" max="1278" width="10.5703125" style="47" customWidth="1"/>
    <col min="1279" max="1524" width="11.42578125" style="47"/>
    <col min="1525" max="1525" width="0.140625" style="47" customWidth="1"/>
    <col min="1526" max="1526" width="2.5703125" style="47" customWidth="1"/>
    <col min="1527" max="1527" width="18.5703125" style="47" customWidth="1"/>
    <col min="1528" max="1528" width="1.42578125" style="47" customWidth="1"/>
    <col min="1529" max="1529" width="30.5703125" style="47" customWidth="1"/>
    <col min="1530" max="1534" width="10.5703125" style="47" customWidth="1"/>
    <col min="1535" max="1780" width="11.42578125" style="47"/>
    <col min="1781" max="1781" width="0.140625" style="47" customWidth="1"/>
    <col min="1782" max="1782" width="2.5703125" style="47" customWidth="1"/>
    <col min="1783" max="1783" width="18.5703125" style="47" customWidth="1"/>
    <col min="1784" max="1784" width="1.42578125" style="47" customWidth="1"/>
    <col min="1785" max="1785" width="30.5703125" style="47" customWidth="1"/>
    <col min="1786" max="1790" width="10.5703125" style="47" customWidth="1"/>
    <col min="1791" max="2036" width="11.42578125" style="47"/>
    <col min="2037" max="2037" width="0.140625" style="47" customWidth="1"/>
    <col min="2038" max="2038" width="2.5703125" style="47" customWidth="1"/>
    <col min="2039" max="2039" width="18.5703125" style="47" customWidth="1"/>
    <col min="2040" max="2040" width="1.42578125" style="47" customWidth="1"/>
    <col min="2041" max="2041" width="30.5703125" style="47" customWidth="1"/>
    <col min="2042" max="2046" width="10.5703125" style="47" customWidth="1"/>
    <col min="2047" max="2292" width="11.42578125" style="47"/>
    <col min="2293" max="2293" width="0.140625" style="47" customWidth="1"/>
    <col min="2294" max="2294" width="2.5703125" style="47" customWidth="1"/>
    <col min="2295" max="2295" width="18.5703125" style="47" customWidth="1"/>
    <col min="2296" max="2296" width="1.42578125" style="47" customWidth="1"/>
    <col min="2297" max="2297" width="30.5703125" style="47" customWidth="1"/>
    <col min="2298" max="2302" width="10.5703125" style="47" customWidth="1"/>
    <col min="2303" max="2548" width="11.42578125" style="47"/>
    <col min="2549" max="2549" width="0.140625" style="47" customWidth="1"/>
    <col min="2550" max="2550" width="2.5703125" style="47" customWidth="1"/>
    <col min="2551" max="2551" width="18.5703125" style="47" customWidth="1"/>
    <col min="2552" max="2552" width="1.42578125" style="47" customWidth="1"/>
    <col min="2553" max="2553" width="30.5703125" style="47" customWidth="1"/>
    <col min="2554" max="2558" width="10.5703125" style="47" customWidth="1"/>
    <col min="2559" max="2804" width="11.42578125" style="47"/>
    <col min="2805" max="2805" width="0.140625" style="47" customWidth="1"/>
    <col min="2806" max="2806" width="2.5703125" style="47" customWidth="1"/>
    <col min="2807" max="2807" width="18.5703125" style="47" customWidth="1"/>
    <col min="2808" max="2808" width="1.42578125" style="47" customWidth="1"/>
    <col min="2809" max="2809" width="30.5703125" style="47" customWidth="1"/>
    <col min="2810" max="2814" width="10.5703125" style="47" customWidth="1"/>
    <col min="2815" max="3060" width="11.42578125" style="47"/>
    <col min="3061" max="3061" width="0.140625" style="47" customWidth="1"/>
    <col min="3062" max="3062" width="2.5703125" style="47" customWidth="1"/>
    <col min="3063" max="3063" width="18.5703125" style="47" customWidth="1"/>
    <col min="3064" max="3064" width="1.42578125" style="47" customWidth="1"/>
    <col min="3065" max="3065" width="30.5703125" style="47" customWidth="1"/>
    <col min="3066" max="3070" width="10.5703125" style="47" customWidth="1"/>
    <col min="3071" max="3316" width="11.42578125" style="47"/>
    <col min="3317" max="3317" width="0.140625" style="47" customWidth="1"/>
    <col min="3318" max="3318" width="2.5703125" style="47" customWidth="1"/>
    <col min="3319" max="3319" width="18.5703125" style="47" customWidth="1"/>
    <col min="3320" max="3320" width="1.42578125" style="47" customWidth="1"/>
    <col min="3321" max="3321" width="30.5703125" style="47" customWidth="1"/>
    <col min="3322" max="3326" width="10.5703125" style="47" customWidth="1"/>
    <col min="3327" max="3572" width="11.42578125" style="47"/>
    <col min="3573" max="3573" width="0.140625" style="47" customWidth="1"/>
    <col min="3574" max="3574" width="2.5703125" style="47" customWidth="1"/>
    <col min="3575" max="3575" width="18.5703125" style="47" customWidth="1"/>
    <col min="3576" max="3576" width="1.42578125" style="47" customWidth="1"/>
    <col min="3577" max="3577" width="30.5703125" style="47" customWidth="1"/>
    <col min="3578" max="3582" width="10.5703125" style="47" customWidth="1"/>
    <col min="3583" max="3828" width="11.42578125" style="47"/>
    <col min="3829" max="3829" width="0.140625" style="47" customWidth="1"/>
    <col min="3830" max="3830" width="2.5703125" style="47" customWidth="1"/>
    <col min="3831" max="3831" width="18.5703125" style="47" customWidth="1"/>
    <col min="3832" max="3832" width="1.42578125" style="47" customWidth="1"/>
    <col min="3833" max="3833" width="30.5703125" style="47" customWidth="1"/>
    <col min="3834" max="3838" width="10.5703125" style="47" customWidth="1"/>
    <col min="3839" max="4084" width="11.42578125" style="47"/>
    <col min="4085" max="4085" width="0.140625" style="47" customWidth="1"/>
    <col min="4086" max="4086" width="2.5703125" style="47" customWidth="1"/>
    <col min="4087" max="4087" width="18.5703125" style="47" customWidth="1"/>
    <col min="4088" max="4088" width="1.42578125" style="47" customWidth="1"/>
    <col min="4089" max="4089" width="30.5703125" style="47" customWidth="1"/>
    <col min="4090" max="4094" width="10.5703125" style="47" customWidth="1"/>
    <col min="4095" max="4340" width="11.42578125" style="47"/>
    <col min="4341" max="4341" width="0.140625" style="47" customWidth="1"/>
    <col min="4342" max="4342" width="2.5703125" style="47" customWidth="1"/>
    <col min="4343" max="4343" width="18.5703125" style="47" customWidth="1"/>
    <col min="4344" max="4344" width="1.42578125" style="47" customWidth="1"/>
    <col min="4345" max="4345" width="30.5703125" style="47" customWidth="1"/>
    <col min="4346" max="4350" width="10.5703125" style="47" customWidth="1"/>
    <col min="4351" max="4596" width="11.42578125" style="47"/>
    <col min="4597" max="4597" width="0.140625" style="47" customWidth="1"/>
    <col min="4598" max="4598" width="2.5703125" style="47" customWidth="1"/>
    <col min="4599" max="4599" width="18.5703125" style="47" customWidth="1"/>
    <col min="4600" max="4600" width="1.42578125" style="47" customWidth="1"/>
    <col min="4601" max="4601" width="30.5703125" style="47" customWidth="1"/>
    <col min="4602" max="4606" width="10.5703125" style="47" customWidth="1"/>
    <col min="4607" max="4852" width="11.42578125" style="47"/>
    <col min="4853" max="4853" width="0.140625" style="47" customWidth="1"/>
    <col min="4854" max="4854" width="2.5703125" style="47" customWidth="1"/>
    <col min="4855" max="4855" width="18.5703125" style="47" customWidth="1"/>
    <col min="4856" max="4856" width="1.42578125" style="47" customWidth="1"/>
    <col min="4857" max="4857" width="30.5703125" style="47" customWidth="1"/>
    <col min="4858" max="4862" width="10.5703125" style="47" customWidth="1"/>
    <col min="4863" max="5108" width="11.42578125" style="47"/>
    <col min="5109" max="5109" width="0.140625" style="47" customWidth="1"/>
    <col min="5110" max="5110" width="2.5703125" style="47" customWidth="1"/>
    <col min="5111" max="5111" width="18.5703125" style="47" customWidth="1"/>
    <col min="5112" max="5112" width="1.42578125" style="47" customWidth="1"/>
    <col min="5113" max="5113" width="30.5703125" style="47" customWidth="1"/>
    <col min="5114" max="5118" width="10.5703125" style="47" customWidth="1"/>
    <col min="5119" max="5364" width="11.42578125" style="47"/>
    <col min="5365" max="5365" width="0.140625" style="47" customWidth="1"/>
    <col min="5366" max="5366" width="2.5703125" style="47" customWidth="1"/>
    <col min="5367" max="5367" width="18.5703125" style="47" customWidth="1"/>
    <col min="5368" max="5368" width="1.42578125" style="47" customWidth="1"/>
    <col min="5369" max="5369" width="30.5703125" style="47" customWidth="1"/>
    <col min="5370" max="5374" width="10.5703125" style="47" customWidth="1"/>
    <col min="5375" max="5620" width="11.42578125" style="47"/>
    <col min="5621" max="5621" width="0.140625" style="47" customWidth="1"/>
    <col min="5622" max="5622" width="2.5703125" style="47" customWidth="1"/>
    <col min="5623" max="5623" width="18.5703125" style="47" customWidth="1"/>
    <col min="5624" max="5624" width="1.42578125" style="47" customWidth="1"/>
    <col min="5625" max="5625" width="30.5703125" style="47" customWidth="1"/>
    <col min="5626" max="5630" width="10.5703125" style="47" customWidth="1"/>
    <col min="5631" max="5876" width="11.42578125" style="47"/>
    <col min="5877" max="5877" width="0.140625" style="47" customWidth="1"/>
    <col min="5878" max="5878" width="2.5703125" style="47" customWidth="1"/>
    <col min="5879" max="5879" width="18.5703125" style="47" customWidth="1"/>
    <col min="5880" max="5880" width="1.42578125" style="47" customWidth="1"/>
    <col min="5881" max="5881" width="30.5703125" style="47" customWidth="1"/>
    <col min="5882" max="5886" width="10.5703125" style="47" customWidth="1"/>
    <col min="5887" max="6132" width="11.42578125" style="47"/>
    <col min="6133" max="6133" width="0.140625" style="47" customWidth="1"/>
    <col min="6134" max="6134" width="2.5703125" style="47" customWidth="1"/>
    <col min="6135" max="6135" width="18.5703125" style="47" customWidth="1"/>
    <col min="6136" max="6136" width="1.42578125" style="47" customWidth="1"/>
    <col min="6137" max="6137" width="30.5703125" style="47" customWidth="1"/>
    <col min="6138" max="6142" width="10.5703125" style="47" customWidth="1"/>
    <col min="6143" max="6388" width="11.42578125" style="47"/>
    <col min="6389" max="6389" width="0.140625" style="47" customWidth="1"/>
    <col min="6390" max="6390" width="2.5703125" style="47" customWidth="1"/>
    <col min="6391" max="6391" width="18.5703125" style="47" customWidth="1"/>
    <col min="6392" max="6392" width="1.42578125" style="47" customWidth="1"/>
    <col min="6393" max="6393" width="30.5703125" style="47" customWidth="1"/>
    <col min="6394" max="6398" width="10.5703125" style="47" customWidth="1"/>
    <col min="6399" max="6644" width="11.42578125" style="47"/>
    <col min="6645" max="6645" width="0.140625" style="47" customWidth="1"/>
    <col min="6646" max="6646" width="2.5703125" style="47" customWidth="1"/>
    <col min="6647" max="6647" width="18.5703125" style="47" customWidth="1"/>
    <col min="6648" max="6648" width="1.42578125" style="47" customWidth="1"/>
    <col min="6649" max="6649" width="30.5703125" style="47" customWidth="1"/>
    <col min="6650" max="6654" width="10.5703125" style="47" customWidth="1"/>
    <col min="6655" max="6900" width="11.42578125" style="47"/>
    <col min="6901" max="6901" width="0.140625" style="47" customWidth="1"/>
    <col min="6902" max="6902" width="2.5703125" style="47" customWidth="1"/>
    <col min="6903" max="6903" width="18.5703125" style="47" customWidth="1"/>
    <col min="6904" max="6904" width="1.42578125" style="47" customWidth="1"/>
    <col min="6905" max="6905" width="30.5703125" style="47" customWidth="1"/>
    <col min="6906" max="6910" width="10.5703125" style="47" customWidth="1"/>
    <col min="6911" max="7156" width="11.42578125" style="47"/>
    <col min="7157" max="7157" width="0.140625" style="47" customWidth="1"/>
    <col min="7158" max="7158" width="2.5703125" style="47" customWidth="1"/>
    <col min="7159" max="7159" width="18.5703125" style="47" customWidth="1"/>
    <col min="7160" max="7160" width="1.42578125" style="47" customWidth="1"/>
    <col min="7161" max="7161" width="30.5703125" style="47" customWidth="1"/>
    <col min="7162" max="7166" width="10.5703125" style="47" customWidth="1"/>
    <col min="7167" max="7412" width="11.42578125" style="47"/>
    <col min="7413" max="7413" width="0.140625" style="47" customWidth="1"/>
    <col min="7414" max="7414" width="2.5703125" style="47" customWidth="1"/>
    <col min="7415" max="7415" width="18.5703125" style="47" customWidth="1"/>
    <col min="7416" max="7416" width="1.42578125" style="47" customWidth="1"/>
    <col min="7417" max="7417" width="30.5703125" style="47" customWidth="1"/>
    <col min="7418" max="7422" width="10.5703125" style="47" customWidth="1"/>
    <col min="7423" max="7668" width="11.42578125" style="47"/>
    <col min="7669" max="7669" width="0.140625" style="47" customWidth="1"/>
    <col min="7670" max="7670" width="2.5703125" style="47" customWidth="1"/>
    <col min="7671" max="7671" width="18.5703125" style="47" customWidth="1"/>
    <col min="7672" max="7672" width="1.42578125" style="47" customWidth="1"/>
    <col min="7673" max="7673" width="30.5703125" style="47" customWidth="1"/>
    <col min="7674" max="7678" width="10.5703125" style="47" customWidth="1"/>
    <col min="7679" max="7924" width="11.42578125" style="47"/>
    <col min="7925" max="7925" width="0.140625" style="47" customWidth="1"/>
    <col min="7926" max="7926" width="2.5703125" style="47" customWidth="1"/>
    <col min="7927" max="7927" width="18.5703125" style="47" customWidth="1"/>
    <col min="7928" max="7928" width="1.42578125" style="47" customWidth="1"/>
    <col min="7929" max="7929" width="30.5703125" style="47" customWidth="1"/>
    <col min="7930" max="7934" width="10.5703125" style="47" customWidth="1"/>
    <col min="7935" max="8180" width="11.42578125" style="47"/>
    <col min="8181" max="8181" width="0.140625" style="47" customWidth="1"/>
    <col min="8182" max="8182" width="2.5703125" style="47" customWidth="1"/>
    <col min="8183" max="8183" width="18.5703125" style="47" customWidth="1"/>
    <col min="8184" max="8184" width="1.42578125" style="47" customWidth="1"/>
    <col min="8185" max="8185" width="30.5703125" style="47" customWidth="1"/>
    <col min="8186" max="8190" width="10.5703125" style="47" customWidth="1"/>
    <col min="8191" max="8436" width="11.42578125" style="47"/>
    <col min="8437" max="8437" width="0.140625" style="47" customWidth="1"/>
    <col min="8438" max="8438" width="2.5703125" style="47" customWidth="1"/>
    <col min="8439" max="8439" width="18.5703125" style="47" customWidth="1"/>
    <col min="8440" max="8440" width="1.42578125" style="47" customWidth="1"/>
    <col min="8441" max="8441" width="30.5703125" style="47" customWidth="1"/>
    <col min="8442" max="8446" width="10.5703125" style="47" customWidth="1"/>
    <col min="8447" max="8692" width="11.42578125" style="47"/>
    <col min="8693" max="8693" width="0.140625" style="47" customWidth="1"/>
    <col min="8694" max="8694" width="2.5703125" style="47" customWidth="1"/>
    <col min="8695" max="8695" width="18.5703125" style="47" customWidth="1"/>
    <col min="8696" max="8696" width="1.42578125" style="47" customWidth="1"/>
    <col min="8697" max="8697" width="30.5703125" style="47" customWidth="1"/>
    <col min="8698" max="8702" width="10.5703125" style="47" customWidth="1"/>
    <col min="8703" max="8948" width="11.42578125" style="47"/>
    <col min="8949" max="8949" width="0.140625" style="47" customWidth="1"/>
    <col min="8950" max="8950" width="2.5703125" style="47" customWidth="1"/>
    <col min="8951" max="8951" width="18.5703125" style="47" customWidth="1"/>
    <col min="8952" max="8952" width="1.42578125" style="47" customWidth="1"/>
    <col min="8953" max="8953" width="30.5703125" style="47" customWidth="1"/>
    <col min="8954" max="8958" width="10.5703125" style="47" customWidth="1"/>
    <col min="8959" max="9204" width="11.42578125" style="47"/>
    <col min="9205" max="9205" width="0.140625" style="47" customWidth="1"/>
    <col min="9206" max="9206" width="2.5703125" style="47" customWidth="1"/>
    <col min="9207" max="9207" width="18.5703125" style="47" customWidth="1"/>
    <col min="9208" max="9208" width="1.42578125" style="47" customWidth="1"/>
    <col min="9209" max="9209" width="30.5703125" style="47" customWidth="1"/>
    <col min="9210" max="9214" width="10.5703125" style="47" customWidth="1"/>
    <col min="9215" max="9460" width="11.42578125" style="47"/>
    <col min="9461" max="9461" width="0.140625" style="47" customWidth="1"/>
    <col min="9462" max="9462" width="2.5703125" style="47" customWidth="1"/>
    <col min="9463" max="9463" width="18.5703125" style="47" customWidth="1"/>
    <col min="9464" max="9464" width="1.42578125" style="47" customWidth="1"/>
    <col min="9465" max="9465" width="30.5703125" style="47" customWidth="1"/>
    <col min="9466" max="9470" width="10.5703125" style="47" customWidth="1"/>
    <col min="9471" max="9716" width="11.42578125" style="47"/>
    <col min="9717" max="9717" width="0.140625" style="47" customWidth="1"/>
    <col min="9718" max="9718" width="2.5703125" style="47" customWidth="1"/>
    <col min="9719" max="9719" width="18.5703125" style="47" customWidth="1"/>
    <col min="9720" max="9720" width="1.42578125" style="47" customWidth="1"/>
    <col min="9721" max="9721" width="30.5703125" style="47" customWidth="1"/>
    <col min="9722" max="9726" width="10.5703125" style="47" customWidth="1"/>
    <col min="9727" max="9972" width="11.42578125" style="47"/>
    <col min="9973" max="9973" width="0.140625" style="47" customWidth="1"/>
    <col min="9974" max="9974" width="2.5703125" style="47" customWidth="1"/>
    <col min="9975" max="9975" width="18.5703125" style="47" customWidth="1"/>
    <col min="9976" max="9976" width="1.42578125" style="47" customWidth="1"/>
    <col min="9977" max="9977" width="30.5703125" style="47" customWidth="1"/>
    <col min="9978" max="9982" width="10.5703125" style="47" customWidth="1"/>
    <col min="9983" max="10228" width="11.42578125" style="47"/>
    <col min="10229" max="10229" width="0.140625" style="47" customWidth="1"/>
    <col min="10230" max="10230" width="2.5703125" style="47" customWidth="1"/>
    <col min="10231" max="10231" width="18.5703125" style="47" customWidth="1"/>
    <col min="10232" max="10232" width="1.42578125" style="47" customWidth="1"/>
    <col min="10233" max="10233" width="30.5703125" style="47" customWidth="1"/>
    <col min="10234" max="10238" width="10.5703125" style="47" customWidth="1"/>
    <col min="10239" max="10484" width="11.42578125" style="47"/>
    <col min="10485" max="10485" width="0.140625" style="47" customWidth="1"/>
    <col min="10486" max="10486" width="2.5703125" style="47" customWidth="1"/>
    <col min="10487" max="10487" width="18.5703125" style="47" customWidth="1"/>
    <col min="10488" max="10488" width="1.42578125" style="47" customWidth="1"/>
    <col min="10489" max="10489" width="30.5703125" style="47" customWidth="1"/>
    <col min="10490" max="10494" width="10.5703125" style="47" customWidth="1"/>
    <col min="10495" max="10740" width="11.42578125" style="47"/>
    <col min="10741" max="10741" width="0.140625" style="47" customWidth="1"/>
    <col min="10742" max="10742" width="2.5703125" style="47" customWidth="1"/>
    <col min="10743" max="10743" width="18.5703125" style="47" customWidth="1"/>
    <col min="10744" max="10744" width="1.42578125" style="47" customWidth="1"/>
    <col min="10745" max="10745" width="30.5703125" style="47" customWidth="1"/>
    <col min="10746" max="10750" width="10.5703125" style="47" customWidth="1"/>
    <col min="10751" max="10996" width="11.42578125" style="47"/>
    <col min="10997" max="10997" width="0.140625" style="47" customWidth="1"/>
    <col min="10998" max="10998" width="2.5703125" style="47" customWidth="1"/>
    <col min="10999" max="10999" width="18.5703125" style="47" customWidth="1"/>
    <col min="11000" max="11000" width="1.42578125" style="47" customWidth="1"/>
    <col min="11001" max="11001" width="30.5703125" style="47" customWidth="1"/>
    <col min="11002" max="11006" width="10.5703125" style="47" customWidth="1"/>
    <col min="11007" max="11252" width="11.42578125" style="47"/>
    <col min="11253" max="11253" width="0.140625" style="47" customWidth="1"/>
    <col min="11254" max="11254" width="2.5703125" style="47" customWidth="1"/>
    <col min="11255" max="11255" width="18.5703125" style="47" customWidth="1"/>
    <col min="11256" max="11256" width="1.42578125" style="47" customWidth="1"/>
    <col min="11257" max="11257" width="30.5703125" style="47" customWidth="1"/>
    <col min="11258" max="11262" width="10.5703125" style="47" customWidth="1"/>
    <col min="11263" max="11508" width="11.42578125" style="47"/>
    <col min="11509" max="11509" width="0.140625" style="47" customWidth="1"/>
    <col min="11510" max="11510" width="2.5703125" style="47" customWidth="1"/>
    <col min="11511" max="11511" width="18.5703125" style="47" customWidth="1"/>
    <col min="11512" max="11512" width="1.42578125" style="47" customWidth="1"/>
    <col min="11513" max="11513" width="30.5703125" style="47" customWidth="1"/>
    <col min="11514" max="11518" width="10.5703125" style="47" customWidth="1"/>
    <col min="11519" max="11764" width="11.42578125" style="47"/>
    <col min="11765" max="11765" width="0.140625" style="47" customWidth="1"/>
    <col min="11766" max="11766" width="2.5703125" style="47" customWidth="1"/>
    <col min="11767" max="11767" width="18.5703125" style="47" customWidth="1"/>
    <col min="11768" max="11768" width="1.42578125" style="47" customWidth="1"/>
    <col min="11769" max="11769" width="30.5703125" style="47" customWidth="1"/>
    <col min="11770" max="11774" width="10.5703125" style="47" customWidth="1"/>
    <col min="11775" max="12020" width="11.42578125" style="47"/>
    <col min="12021" max="12021" width="0.140625" style="47" customWidth="1"/>
    <col min="12022" max="12022" width="2.5703125" style="47" customWidth="1"/>
    <col min="12023" max="12023" width="18.5703125" style="47" customWidth="1"/>
    <col min="12024" max="12024" width="1.42578125" style="47" customWidth="1"/>
    <col min="12025" max="12025" width="30.5703125" style="47" customWidth="1"/>
    <col min="12026" max="12030" width="10.5703125" style="47" customWidth="1"/>
    <col min="12031" max="12276" width="11.42578125" style="47"/>
    <col min="12277" max="12277" width="0.140625" style="47" customWidth="1"/>
    <col min="12278" max="12278" width="2.5703125" style="47" customWidth="1"/>
    <col min="12279" max="12279" width="18.5703125" style="47" customWidth="1"/>
    <col min="12280" max="12280" width="1.42578125" style="47" customWidth="1"/>
    <col min="12281" max="12281" width="30.5703125" style="47" customWidth="1"/>
    <col min="12282" max="12286" width="10.5703125" style="47" customWidth="1"/>
    <col min="12287" max="12532" width="11.42578125" style="47"/>
    <col min="12533" max="12533" width="0.140625" style="47" customWidth="1"/>
    <col min="12534" max="12534" width="2.5703125" style="47" customWidth="1"/>
    <col min="12535" max="12535" width="18.5703125" style="47" customWidth="1"/>
    <col min="12536" max="12536" width="1.42578125" style="47" customWidth="1"/>
    <col min="12537" max="12537" width="30.5703125" style="47" customWidth="1"/>
    <col min="12538" max="12542" width="10.5703125" style="47" customWidth="1"/>
    <col min="12543" max="12788" width="11.42578125" style="47"/>
    <col min="12789" max="12789" width="0.140625" style="47" customWidth="1"/>
    <col min="12790" max="12790" width="2.5703125" style="47" customWidth="1"/>
    <col min="12791" max="12791" width="18.5703125" style="47" customWidth="1"/>
    <col min="12792" max="12792" width="1.42578125" style="47" customWidth="1"/>
    <col min="12793" max="12793" width="30.5703125" style="47" customWidth="1"/>
    <col min="12794" max="12798" width="10.5703125" style="47" customWidth="1"/>
    <col min="12799" max="13044" width="11.42578125" style="47"/>
    <col min="13045" max="13045" width="0.140625" style="47" customWidth="1"/>
    <col min="13046" max="13046" width="2.5703125" style="47" customWidth="1"/>
    <col min="13047" max="13047" width="18.5703125" style="47" customWidth="1"/>
    <col min="13048" max="13048" width="1.42578125" style="47" customWidth="1"/>
    <col min="13049" max="13049" width="30.5703125" style="47" customWidth="1"/>
    <col min="13050" max="13054" width="10.5703125" style="47" customWidth="1"/>
    <col min="13055" max="13300" width="11.42578125" style="47"/>
    <col min="13301" max="13301" width="0.140625" style="47" customWidth="1"/>
    <col min="13302" max="13302" width="2.5703125" style="47" customWidth="1"/>
    <col min="13303" max="13303" width="18.5703125" style="47" customWidth="1"/>
    <col min="13304" max="13304" width="1.42578125" style="47" customWidth="1"/>
    <col min="13305" max="13305" width="30.5703125" style="47" customWidth="1"/>
    <col min="13306" max="13310" width="10.5703125" style="47" customWidth="1"/>
    <col min="13311" max="13556" width="11.42578125" style="47"/>
    <col min="13557" max="13557" width="0.140625" style="47" customWidth="1"/>
    <col min="13558" max="13558" width="2.5703125" style="47" customWidth="1"/>
    <col min="13559" max="13559" width="18.5703125" style="47" customWidth="1"/>
    <col min="13560" max="13560" width="1.42578125" style="47" customWidth="1"/>
    <col min="13561" max="13561" width="30.5703125" style="47" customWidth="1"/>
    <col min="13562" max="13566" width="10.5703125" style="47" customWidth="1"/>
    <col min="13567" max="13812" width="11.42578125" style="47"/>
    <col min="13813" max="13813" width="0.140625" style="47" customWidth="1"/>
    <col min="13814" max="13814" width="2.5703125" style="47" customWidth="1"/>
    <col min="13815" max="13815" width="18.5703125" style="47" customWidth="1"/>
    <col min="13816" max="13816" width="1.42578125" style="47" customWidth="1"/>
    <col min="13817" max="13817" width="30.5703125" style="47" customWidth="1"/>
    <col min="13818" max="13822" width="10.5703125" style="47" customWidth="1"/>
    <col min="13823" max="14068" width="11.42578125" style="47"/>
    <col min="14069" max="14069" width="0.140625" style="47" customWidth="1"/>
    <col min="14070" max="14070" width="2.5703125" style="47" customWidth="1"/>
    <col min="14071" max="14071" width="18.5703125" style="47" customWidth="1"/>
    <col min="14072" max="14072" width="1.42578125" style="47" customWidth="1"/>
    <col min="14073" max="14073" width="30.5703125" style="47" customWidth="1"/>
    <col min="14074" max="14078" width="10.5703125" style="47" customWidth="1"/>
    <col min="14079" max="14324" width="11.42578125" style="47"/>
    <col min="14325" max="14325" width="0.140625" style="47" customWidth="1"/>
    <col min="14326" max="14326" width="2.5703125" style="47" customWidth="1"/>
    <col min="14327" max="14327" width="18.5703125" style="47" customWidth="1"/>
    <col min="14328" max="14328" width="1.42578125" style="47" customWidth="1"/>
    <col min="14329" max="14329" width="30.5703125" style="47" customWidth="1"/>
    <col min="14330" max="14334" width="10.5703125" style="47" customWidth="1"/>
    <col min="14335" max="14580" width="11.42578125" style="47"/>
    <col min="14581" max="14581" width="0.140625" style="47" customWidth="1"/>
    <col min="14582" max="14582" width="2.5703125" style="47" customWidth="1"/>
    <col min="14583" max="14583" width="18.5703125" style="47" customWidth="1"/>
    <col min="14584" max="14584" width="1.42578125" style="47" customWidth="1"/>
    <col min="14585" max="14585" width="30.5703125" style="47" customWidth="1"/>
    <col min="14586" max="14590" width="10.5703125" style="47" customWidth="1"/>
    <col min="14591" max="14836" width="11.42578125" style="47"/>
    <col min="14837" max="14837" width="0.140625" style="47" customWidth="1"/>
    <col min="14838" max="14838" width="2.5703125" style="47" customWidth="1"/>
    <col min="14839" max="14839" width="18.5703125" style="47" customWidth="1"/>
    <col min="14840" max="14840" width="1.42578125" style="47" customWidth="1"/>
    <col min="14841" max="14841" width="30.5703125" style="47" customWidth="1"/>
    <col min="14842" max="14846" width="10.5703125" style="47" customWidth="1"/>
    <col min="14847" max="15092" width="11.42578125" style="47"/>
    <col min="15093" max="15093" width="0.140625" style="47" customWidth="1"/>
    <col min="15094" max="15094" width="2.5703125" style="47" customWidth="1"/>
    <col min="15095" max="15095" width="18.5703125" style="47" customWidth="1"/>
    <col min="15096" max="15096" width="1.42578125" style="47" customWidth="1"/>
    <col min="15097" max="15097" width="30.5703125" style="47" customWidth="1"/>
    <col min="15098" max="15102" width="10.5703125" style="47" customWidth="1"/>
    <col min="15103" max="15348" width="11.42578125" style="47"/>
    <col min="15349" max="15349" width="0.140625" style="47" customWidth="1"/>
    <col min="15350" max="15350" width="2.5703125" style="47" customWidth="1"/>
    <col min="15351" max="15351" width="18.5703125" style="47" customWidth="1"/>
    <col min="15352" max="15352" width="1.42578125" style="47" customWidth="1"/>
    <col min="15353" max="15353" width="30.5703125" style="47" customWidth="1"/>
    <col min="15354" max="15358" width="10.5703125" style="47" customWidth="1"/>
    <col min="15359" max="15604" width="11.42578125" style="47"/>
    <col min="15605" max="15605" width="0.140625" style="47" customWidth="1"/>
    <col min="15606" max="15606" width="2.5703125" style="47" customWidth="1"/>
    <col min="15607" max="15607" width="18.5703125" style="47" customWidth="1"/>
    <col min="15608" max="15608" width="1.42578125" style="47" customWidth="1"/>
    <col min="15609" max="15609" width="30.5703125" style="47" customWidth="1"/>
    <col min="15610" max="15614" width="10.5703125" style="47" customWidth="1"/>
    <col min="15615" max="15860" width="11.42578125" style="47"/>
    <col min="15861" max="15861" width="0.140625" style="47" customWidth="1"/>
    <col min="15862" max="15862" width="2.5703125" style="47" customWidth="1"/>
    <col min="15863" max="15863" width="18.5703125" style="47" customWidth="1"/>
    <col min="15864" max="15864" width="1.42578125" style="47" customWidth="1"/>
    <col min="15865" max="15865" width="30.5703125" style="47" customWidth="1"/>
    <col min="15866" max="15870" width="10.5703125" style="47" customWidth="1"/>
    <col min="15871" max="16116" width="11.42578125" style="47"/>
    <col min="16117" max="16117" width="0.140625" style="47" customWidth="1"/>
    <col min="16118" max="16118" width="2.5703125" style="47" customWidth="1"/>
    <col min="16119" max="16119" width="18.5703125" style="47" customWidth="1"/>
    <col min="16120" max="16120" width="1.42578125" style="47" customWidth="1"/>
    <col min="16121" max="16121" width="30.5703125" style="47" customWidth="1"/>
    <col min="16122" max="16126" width="10.5703125" style="47" customWidth="1"/>
    <col min="16127" max="16384" width="11.42578125" style="47"/>
  </cols>
  <sheetData>
    <row r="1" spans="1:20" ht="0.75" customHeight="1"/>
    <row r="2" spans="1:20" ht="21" customHeight="1">
      <c r="E2" s="27" t="s">
        <v>19</v>
      </c>
      <c r="F2" s="63"/>
      <c r="G2" s="63"/>
    </row>
    <row r="3" spans="1:20" ht="15" customHeight="1">
      <c r="E3" s="43" t="str">
        <f>Indice!E3</f>
        <v>Julio 2026</v>
      </c>
      <c r="F3" s="62"/>
      <c r="G3" s="62"/>
    </row>
    <row r="4" spans="1:20" s="58" customFormat="1" ht="20.25" customHeight="1">
      <c r="B4" s="57"/>
      <c r="C4" s="25" t="s">
        <v>39</v>
      </c>
    </row>
    <row r="5" spans="1:20" s="58" customFormat="1" ht="12.75" customHeight="1">
      <c r="B5" s="57"/>
      <c r="C5" s="61"/>
    </row>
    <row r="6" spans="1:20" s="58" customFormat="1" ht="13.5" customHeight="1">
      <c r="B6" s="57"/>
      <c r="C6" s="56"/>
      <c r="D6" s="55"/>
      <c r="E6" s="55"/>
      <c r="G6" s="45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1:20" s="58" customFormat="1" ht="12.75" customHeight="1">
      <c r="B7" s="57"/>
      <c r="C7" s="264" t="s">
        <v>101</v>
      </c>
      <c r="D7" s="55"/>
      <c r="E7" s="59"/>
    </row>
    <row r="8" spans="1:20" ht="12.75" customHeight="1">
      <c r="A8" s="58"/>
      <c r="B8" s="57"/>
      <c r="C8" s="264"/>
      <c r="D8" s="55"/>
      <c r="E8" s="59"/>
      <c r="F8" s="54"/>
    </row>
    <row r="9" spans="1:20" ht="12.75" customHeight="1">
      <c r="A9" s="58"/>
      <c r="B9" s="57"/>
      <c r="C9" s="264"/>
      <c r="D9" s="55"/>
      <c r="E9" s="59"/>
      <c r="F9" s="54"/>
    </row>
    <row r="10" spans="1:20" ht="12.75" customHeight="1">
      <c r="A10" s="58"/>
      <c r="B10" s="57"/>
      <c r="C10" s="173" t="s">
        <v>13</v>
      </c>
      <c r="D10" s="55"/>
      <c r="E10" s="59"/>
      <c r="F10" s="54"/>
    </row>
    <row r="11" spans="1:20" ht="12.75" customHeight="1">
      <c r="A11" s="58"/>
      <c r="B11" s="57"/>
      <c r="D11" s="55"/>
      <c r="E11" s="55"/>
      <c r="F11" s="54"/>
    </row>
    <row r="12" spans="1:20" ht="12.75" customHeight="1">
      <c r="A12" s="58"/>
      <c r="B12" s="57"/>
      <c r="D12" s="55"/>
      <c r="E12" s="55"/>
      <c r="F12" s="54"/>
    </row>
    <row r="13" spans="1:20" ht="12.75" customHeight="1">
      <c r="A13" s="58"/>
      <c r="B13" s="57"/>
      <c r="C13" s="56"/>
      <c r="D13" s="55"/>
      <c r="E13" s="55"/>
      <c r="F13" s="54"/>
    </row>
    <row r="14" spans="1:20" ht="12.75" customHeight="1">
      <c r="A14" s="58"/>
      <c r="B14" s="57"/>
      <c r="C14" s="56"/>
      <c r="D14" s="55"/>
      <c r="E14" s="55"/>
      <c r="F14" s="54"/>
    </row>
    <row r="15" spans="1:20" ht="12.75" customHeight="1">
      <c r="A15" s="58"/>
      <c r="B15" s="57"/>
      <c r="C15" s="56"/>
      <c r="D15" s="55"/>
      <c r="E15" s="55"/>
      <c r="F15" s="54"/>
    </row>
    <row r="16" spans="1:20" ht="12.75" customHeight="1">
      <c r="A16" s="58"/>
      <c r="B16" s="57"/>
      <c r="C16" s="56"/>
      <c r="D16" s="55"/>
      <c r="E16" s="55"/>
      <c r="F16" s="54"/>
    </row>
    <row r="17" spans="1:7" ht="12.75" customHeight="1">
      <c r="A17" s="58"/>
      <c r="B17" s="57"/>
      <c r="C17" s="56"/>
      <c r="D17" s="55"/>
      <c r="E17" s="55"/>
      <c r="F17" s="54"/>
    </row>
    <row r="18" spans="1:7" ht="12.75" customHeight="1">
      <c r="A18" s="58"/>
      <c r="B18" s="57"/>
      <c r="C18" s="56"/>
      <c r="D18" s="55"/>
      <c r="E18" s="55"/>
      <c r="F18" s="141"/>
    </row>
    <row r="19" spans="1:7" ht="12.75" customHeight="1">
      <c r="A19" s="58"/>
      <c r="B19" s="57"/>
      <c r="C19" s="56"/>
      <c r="D19" s="55"/>
      <c r="E19" s="55"/>
      <c r="F19" s="54"/>
    </row>
    <row r="20" spans="1:7" ht="12.75" customHeight="1">
      <c r="A20" s="58"/>
      <c r="B20" s="57"/>
      <c r="C20" s="56"/>
      <c r="D20" s="55"/>
      <c r="E20" s="55"/>
      <c r="F20" s="54"/>
    </row>
    <row r="21" spans="1:7" ht="12.75" customHeight="1">
      <c r="A21" s="58"/>
      <c r="B21" s="57"/>
      <c r="C21" s="56"/>
      <c r="D21" s="55"/>
      <c r="E21" s="55"/>
      <c r="F21" s="54"/>
    </row>
    <row r="22" spans="1:7" ht="12.75" customHeight="1"/>
    <row r="23" spans="1:7" ht="12.75" customHeight="1"/>
    <row r="24" spans="1:7" ht="12.75" customHeight="1">
      <c r="E24" s="51"/>
      <c r="F24" s="51"/>
      <c r="G24" s="51"/>
    </row>
    <row r="25" spans="1:7" ht="12.75" customHeight="1">
      <c r="E25" s="48" t="s">
        <v>115</v>
      </c>
      <c r="F25" s="53"/>
      <c r="G25" s="53"/>
    </row>
    <row r="26" spans="1:7" ht="12.75" customHeight="1">
      <c r="F26" s="53"/>
      <c r="G26" s="53"/>
    </row>
    <row r="27" spans="1:7" ht="12.75" customHeight="1">
      <c r="E27" s="52"/>
      <c r="F27" s="51"/>
      <c r="G27" s="51"/>
    </row>
    <row r="28" spans="1:7" ht="12.75" customHeight="1">
      <c r="F28" s="51"/>
      <c r="G28" s="51"/>
    </row>
    <row r="29" spans="1:7" ht="12.75" customHeight="1">
      <c r="F29" s="51"/>
      <c r="G29" s="51"/>
    </row>
    <row r="30" spans="1:7" ht="12.75" customHeight="1">
      <c r="E30" s="50"/>
    </row>
    <row r="31" spans="1:7" ht="12.75" customHeight="1"/>
    <row r="32" spans="1:7" ht="12.75" customHeight="1"/>
    <row r="33" spans="5:5" ht="12.75" customHeight="1"/>
    <row r="34" spans="5:5" ht="12.75" customHeight="1"/>
    <row r="35" spans="5:5" ht="12.75" customHeight="1"/>
    <row r="36" spans="5:5" ht="12.75" customHeight="1"/>
    <row r="37" spans="5:5" ht="12.75" customHeight="1"/>
    <row r="38" spans="5:5" ht="12.75" customHeight="1"/>
    <row r="39" spans="5:5" ht="12.75" customHeight="1"/>
    <row r="40" spans="5:5" ht="12.75" customHeight="1"/>
    <row r="41" spans="5:5" ht="12.75" customHeight="1"/>
    <row r="46" spans="5:5">
      <c r="E46" s="48"/>
    </row>
    <row r="47" spans="5:5">
      <c r="E47" s="49"/>
    </row>
    <row r="48" spans="5:5">
      <c r="E48" s="48"/>
    </row>
  </sheetData>
  <mergeCells count="1">
    <mergeCell ref="C7:C9"/>
  </mergeCells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6"/>
  <dimension ref="A1:T48"/>
  <sheetViews>
    <sheetView showGridLines="0" showRowColHeaders="0" zoomScaleNormal="100" workbookViewId="0">
      <selection activeCell="B2" sqref="B2"/>
    </sheetView>
  </sheetViews>
  <sheetFormatPr baseColWidth="10" defaultRowHeight="15"/>
  <cols>
    <col min="1" max="1" width="0.140625" style="47" customWidth="1"/>
    <col min="2" max="2" width="2.5703125" style="47" customWidth="1"/>
    <col min="3" max="3" width="23.5703125" style="47" customWidth="1"/>
    <col min="4" max="4" width="1.42578125" style="47" customWidth="1"/>
    <col min="5" max="5" width="105.5703125" style="47" customWidth="1"/>
    <col min="6" max="6" width="10.5703125" style="47" customWidth="1"/>
    <col min="7" max="7" width="21" style="47" bestFit="1" customWidth="1"/>
    <col min="8" max="244" width="11.42578125" style="47"/>
    <col min="245" max="245" width="0.140625" style="47" customWidth="1"/>
    <col min="246" max="246" width="2.5703125" style="47" customWidth="1"/>
    <col min="247" max="247" width="18.5703125" style="47" customWidth="1"/>
    <col min="248" max="248" width="1.42578125" style="47" customWidth="1"/>
    <col min="249" max="249" width="30.5703125" style="47" customWidth="1"/>
    <col min="250" max="254" width="10.5703125" style="47" customWidth="1"/>
    <col min="255" max="500" width="11.42578125" style="47"/>
    <col min="501" max="501" width="0.140625" style="47" customWidth="1"/>
    <col min="502" max="502" width="2.5703125" style="47" customWidth="1"/>
    <col min="503" max="503" width="18.5703125" style="47" customWidth="1"/>
    <col min="504" max="504" width="1.42578125" style="47" customWidth="1"/>
    <col min="505" max="505" width="30.5703125" style="47" customWidth="1"/>
    <col min="506" max="510" width="10.5703125" style="47" customWidth="1"/>
    <col min="511" max="756" width="11.42578125" style="47"/>
    <col min="757" max="757" width="0.140625" style="47" customWidth="1"/>
    <col min="758" max="758" width="2.5703125" style="47" customWidth="1"/>
    <col min="759" max="759" width="18.5703125" style="47" customWidth="1"/>
    <col min="760" max="760" width="1.42578125" style="47" customWidth="1"/>
    <col min="761" max="761" width="30.5703125" style="47" customWidth="1"/>
    <col min="762" max="766" width="10.5703125" style="47" customWidth="1"/>
    <col min="767" max="1012" width="11.42578125" style="47"/>
    <col min="1013" max="1013" width="0.140625" style="47" customWidth="1"/>
    <col min="1014" max="1014" width="2.5703125" style="47" customWidth="1"/>
    <col min="1015" max="1015" width="18.5703125" style="47" customWidth="1"/>
    <col min="1016" max="1016" width="1.42578125" style="47" customWidth="1"/>
    <col min="1017" max="1017" width="30.5703125" style="47" customWidth="1"/>
    <col min="1018" max="1022" width="10.5703125" style="47" customWidth="1"/>
    <col min="1023" max="1268" width="11.42578125" style="47"/>
    <col min="1269" max="1269" width="0.140625" style="47" customWidth="1"/>
    <col min="1270" max="1270" width="2.5703125" style="47" customWidth="1"/>
    <col min="1271" max="1271" width="18.5703125" style="47" customWidth="1"/>
    <col min="1272" max="1272" width="1.42578125" style="47" customWidth="1"/>
    <col min="1273" max="1273" width="30.5703125" style="47" customWidth="1"/>
    <col min="1274" max="1278" width="10.5703125" style="47" customWidth="1"/>
    <col min="1279" max="1524" width="11.42578125" style="47"/>
    <col min="1525" max="1525" width="0.140625" style="47" customWidth="1"/>
    <col min="1526" max="1526" width="2.5703125" style="47" customWidth="1"/>
    <col min="1527" max="1527" width="18.5703125" style="47" customWidth="1"/>
    <col min="1528" max="1528" width="1.42578125" style="47" customWidth="1"/>
    <col min="1529" max="1529" width="30.5703125" style="47" customWidth="1"/>
    <col min="1530" max="1534" width="10.5703125" style="47" customWidth="1"/>
    <col min="1535" max="1780" width="11.42578125" style="47"/>
    <col min="1781" max="1781" width="0.140625" style="47" customWidth="1"/>
    <col min="1782" max="1782" width="2.5703125" style="47" customWidth="1"/>
    <col min="1783" max="1783" width="18.5703125" style="47" customWidth="1"/>
    <col min="1784" max="1784" width="1.42578125" style="47" customWidth="1"/>
    <col min="1785" max="1785" width="30.5703125" style="47" customWidth="1"/>
    <col min="1786" max="1790" width="10.5703125" style="47" customWidth="1"/>
    <col min="1791" max="2036" width="11.42578125" style="47"/>
    <col min="2037" max="2037" width="0.140625" style="47" customWidth="1"/>
    <col min="2038" max="2038" width="2.5703125" style="47" customWidth="1"/>
    <col min="2039" max="2039" width="18.5703125" style="47" customWidth="1"/>
    <col min="2040" max="2040" width="1.42578125" style="47" customWidth="1"/>
    <col min="2041" max="2041" width="30.5703125" style="47" customWidth="1"/>
    <col min="2042" max="2046" width="10.5703125" style="47" customWidth="1"/>
    <col min="2047" max="2292" width="11.42578125" style="47"/>
    <col min="2293" max="2293" width="0.140625" style="47" customWidth="1"/>
    <col min="2294" max="2294" width="2.5703125" style="47" customWidth="1"/>
    <col min="2295" max="2295" width="18.5703125" style="47" customWidth="1"/>
    <col min="2296" max="2296" width="1.42578125" style="47" customWidth="1"/>
    <col min="2297" max="2297" width="30.5703125" style="47" customWidth="1"/>
    <col min="2298" max="2302" width="10.5703125" style="47" customWidth="1"/>
    <col min="2303" max="2548" width="11.42578125" style="47"/>
    <col min="2549" max="2549" width="0.140625" style="47" customWidth="1"/>
    <col min="2550" max="2550" width="2.5703125" style="47" customWidth="1"/>
    <col min="2551" max="2551" width="18.5703125" style="47" customWidth="1"/>
    <col min="2552" max="2552" width="1.42578125" style="47" customWidth="1"/>
    <col min="2553" max="2553" width="30.5703125" style="47" customWidth="1"/>
    <col min="2554" max="2558" width="10.5703125" style="47" customWidth="1"/>
    <col min="2559" max="2804" width="11.42578125" style="47"/>
    <col min="2805" max="2805" width="0.140625" style="47" customWidth="1"/>
    <col min="2806" max="2806" width="2.5703125" style="47" customWidth="1"/>
    <col min="2807" max="2807" width="18.5703125" style="47" customWidth="1"/>
    <col min="2808" max="2808" width="1.42578125" style="47" customWidth="1"/>
    <col min="2809" max="2809" width="30.5703125" style="47" customWidth="1"/>
    <col min="2810" max="2814" width="10.5703125" style="47" customWidth="1"/>
    <col min="2815" max="3060" width="11.42578125" style="47"/>
    <col min="3061" max="3061" width="0.140625" style="47" customWidth="1"/>
    <col min="3062" max="3062" width="2.5703125" style="47" customWidth="1"/>
    <col min="3063" max="3063" width="18.5703125" style="47" customWidth="1"/>
    <col min="3064" max="3064" width="1.42578125" style="47" customWidth="1"/>
    <col min="3065" max="3065" width="30.5703125" style="47" customWidth="1"/>
    <col min="3066" max="3070" width="10.5703125" style="47" customWidth="1"/>
    <col min="3071" max="3316" width="11.42578125" style="47"/>
    <col min="3317" max="3317" width="0.140625" style="47" customWidth="1"/>
    <col min="3318" max="3318" width="2.5703125" style="47" customWidth="1"/>
    <col min="3319" max="3319" width="18.5703125" style="47" customWidth="1"/>
    <col min="3320" max="3320" width="1.42578125" style="47" customWidth="1"/>
    <col min="3321" max="3321" width="30.5703125" style="47" customWidth="1"/>
    <col min="3322" max="3326" width="10.5703125" style="47" customWidth="1"/>
    <col min="3327" max="3572" width="11.42578125" style="47"/>
    <col min="3573" max="3573" width="0.140625" style="47" customWidth="1"/>
    <col min="3574" max="3574" width="2.5703125" style="47" customWidth="1"/>
    <col min="3575" max="3575" width="18.5703125" style="47" customWidth="1"/>
    <col min="3576" max="3576" width="1.42578125" style="47" customWidth="1"/>
    <col min="3577" max="3577" width="30.5703125" style="47" customWidth="1"/>
    <col min="3578" max="3582" width="10.5703125" style="47" customWidth="1"/>
    <col min="3583" max="3828" width="11.42578125" style="47"/>
    <col min="3829" max="3829" width="0.140625" style="47" customWidth="1"/>
    <col min="3830" max="3830" width="2.5703125" style="47" customWidth="1"/>
    <col min="3831" max="3831" width="18.5703125" style="47" customWidth="1"/>
    <col min="3832" max="3832" width="1.42578125" style="47" customWidth="1"/>
    <col min="3833" max="3833" width="30.5703125" style="47" customWidth="1"/>
    <col min="3834" max="3838" width="10.5703125" style="47" customWidth="1"/>
    <col min="3839" max="4084" width="11.42578125" style="47"/>
    <col min="4085" max="4085" width="0.140625" style="47" customWidth="1"/>
    <col min="4086" max="4086" width="2.5703125" style="47" customWidth="1"/>
    <col min="4087" max="4087" width="18.5703125" style="47" customWidth="1"/>
    <col min="4088" max="4088" width="1.42578125" style="47" customWidth="1"/>
    <col min="4089" max="4089" width="30.5703125" style="47" customWidth="1"/>
    <col min="4090" max="4094" width="10.5703125" style="47" customWidth="1"/>
    <col min="4095" max="4340" width="11.42578125" style="47"/>
    <col min="4341" max="4341" width="0.140625" style="47" customWidth="1"/>
    <col min="4342" max="4342" width="2.5703125" style="47" customWidth="1"/>
    <col min="4343" max="4343" width="18.5703125" style="47" customWidth="1"/>
    <col min="4344" max="4344" width="1.42578125" style="47" customWidth="1"/>
    <col min="4345" max="4345" width="30.5703125" style="47" customWidth="1"/>
    <col min="4346" max="4350" width="10.5703125" style="47" customWidth="1"/>
    <col min="4351" max="4596" width="11.42578125" style="47"/>
    <col min="4597" max="4597" width="0.140625" style="47" customWidth="1"/>
    <col min="4598" max="4598" width="2.5703125" style="47" customWidth="1"/>
    <col min="4599" max="4599" width="18.5703125" style="47" customWidth="1"/>
    <col min="4600" max="4600" width="1.42578125" style="47" customWidth="1"/>
    <col min="4601" max="4601" width="30.5703125" style="47" customWidth="1"/>
    <col min="4602" max="4606" width="10.5703125" style="47" customWidth="1"/>
    <col min="4607" max="4852" width="11.42578125" style="47"/>
    <col min="4853" max="4853" width="0.140625" style="47" customWidth="1"/>
    <col min="4854" max="4854" width="2.5703125" style="47" customWidth="1"/>
    <col min="4855" max="4855" width="18.5703125" style="47" customWidth="1"/>
    <col min="4856" max="4856" width="1.42578125" style="47" customWidth="1"/>
    <col min="4857" max="4857" width="30.5703125" style="47" customWidth="1"/>
    <col min="4858" max="4862" width="10.5703125" style="47" customWidth="1"/>
    <col min="4863" max="5108" width="11.42578125" style="47"/>
    <col min="5109" max="5109" width="0.140625" style="47" customWidth="1"/>
    <col min="5110" max="5110" width="2.5703125" style="47" customWidth="1"/>
    <col min="5111" max="5111" width="18.5703125" style="47" customWidth="1"/>
    <col min="5112" max="5112" width="1.42578125" style="47" customWidth="1"/>
    <col min="5113" max="5113" width="30.5703125" style="47" customWidth="1"/>
    <col min="5114" max="5118" width="10.5703125" style="47" customWidth="1"/>
    <col min="5119" max="5364" width="11.42578125" style="47"/>
    <col min="5365" max="5365" width="0.140625" style="47" customWidth="1"/>
    <col min="5366" max="5366" width="2.5703125" style="47" customWidth="1"/>
    <col min="5367" max="5367" width="18.5703125" style="47" customWidth="1"/>
    <col min="5368" max="5368" width="1.42578125" style="47" customWidth="1"/>
    <col min="5369" max="5369" width="30.5703125" style="47" customWidth="1"/>
    <col min="5370" max="5374" width="10.5703125" style="47" customWidth="1"/>
    <col min="5375" max="5620" width="11.42578125" style="47"/>
    <col min="5621" max="5621" width="0.140625" style="47" customWidth="1"/>
    <col min="5622" max="5622" width="2.5703125" style="47" customWidth="1"/>
    <col min="5623" max="5623" width="18.5703125" style="47" customWidth="1"/>
    <col min="5624" max="5624" width="1.42578125" style="47" customWidth="1"/>
    <col min="5625" max="5625" width="30.5703125" style="47" customWidth="1"/>
    <col min="5626" max="5630" width="10.5703125" style="47" customWidth="1"/>
    <col min="5631" max="5876" width="11.42578125" style="47"/>
    <col min="5877" max="5877" width="0.140625" style="47" customWidth="1"/>
    <col min="5878" max="5878" width="2.5703125" style="47" customWidth="1"/>
    <col min="5879" max="5879" width="18.5703125" style="47" customWidth="1"/>
    <col min="5880" max="5880" width="1.42578125" style="47" customWidth="1"/>
    <col min="5881" max="5881" width="30.5703125" style="47" customWidth="1"/>
    <col min="5882" max="5886" width="10.5703125" style="47" customWidth="1"/>
    <col min="5887" max="6132" width="11.42578125" style="47"/>
    <col min="6133" max="6133" width="0.140625" style="47" customWidth="1"/>
    <col min="6134" max="6134" width="2.5703125" style="47" customWidth="1"/>
    <col min="6135" max="6135" width="18.5703125" style="47" customWidth="1"/>
    <col min="6136" max="6136" width="1.42578125" style="47" customWidth="1"/>
    <col min="6137" max="6137" width="30.5703125" style="47" customWidth="1"/>
    <col min="6138" max="6142" width="10.5703125" style="47" customWidth="1"/>
    <col min="6143" max="6388" width="11.42578125" style="47"/>
    <col min="6389" max="6389" width="0.140625" style="47" customWidth="1"/>
    <col min="6390" max="6390" width="2.5703125" style="47" customWidth="1"/>
    <col min="6391" max="6391" width="18.5703125" style="47" customWidth="1"/>
    <col min="6392" max="6392" width="1.42578125" style="47" customWidth="1"/>
    <col min="6393" max="6393" width="30.5703125" style="47" customWidth="1"/>
    <col min="6394" max="6398" width="10.5703125" style="47" customWidth="1"/>
    <col min="6399" max="6644" width="11.42578125" style="47"/>
    <col min="6645" max="6645" width="0.140625" style="47" customWidth="1"/>
    <col min="6646" max="6646" width="2.5703125" style="47" customWidth="1"/>
    <col min="6647" max="6647" width="18.5703125" style="47" customWidth="1"/>
    <col min="6648" max="6648" width="1.42578125" style="47" customWidth="1"/>
    <col min="6649" max="6649" width="30.5703125" style="47" customWidth="1"/>
    <col min="6650" max="6654" width="10.5703125" style="47" customWidth="1"/>
    <col min="6655" max="6900" width="11.42578125" style="47"/>
    <col min="6901" max="6901" width="0.140625" style="47" customWidth="1"/>
    <col min="6902" max="6902" width="2.5703125" style="47" customWidth="1"/>
    <col min="6903" max="6903" width="18.5703125" style="47" customWidth="1"/>
    <col min="6904" max="6904" width="1.42578125" style="47" customWidth="1"/>
    <col min="6905" max="6905" width="30.5703125" style="47" customWidth="1"/>
    <col min="6906" max="6910" width="10.5703125" style="47" customWidth="1"/>
    <col min="6911" max="7156" width="11.42578125" style="47"/>
    <col min="7157" max="7157" width="0.140625" style="47" customWidth="1"/>
    <col min="7158" max="7158" width="2.5703125" style="47" customWidth="1"/>
    <col min="7159" max="7159" width="18.5703125" style="47" customWidth="1"/>
    <col min="7160" max="7160" width="1.42578125" style="47" customWidth="1"/>
    <col min="7161" max="7161" width="30.5703125" style="47" customWidth="1"/>
    <col min="7162" max="7166" width="10.5703125" style="47" customWidth="1"/>
    <col min="7167" max="7412" width="11.42578125" style="47"/>
    <col min="7413" max="7413" width="0.140625" style="47" customWidth="1"/>
    <col min="7414" max="7414" width="2.5703125" style="47" customWidth="1"/>
    <col min="7415" max="7415" width="18.5703125" style="47" customWidth="1"/>
    <col min="7416" max="7416" width="1.42578125" style="47" customWidth="1"/>
    <col min="7417" max="7417" width="30.5703125" style="47" customWidth="1"/>
    <col min="7418" max="7422" width="10.5703125" style="47" customWidth="1"/>
    <col min="7423" max="7668" width="11.42578125" style="47"/>
    <col min="7669" max="7669" width="0.140625" style="47" customWidth="1"/>
    <col min="7670" max="7670" width="2.5703125" style="47" customWidth="1"/>
    <col min="7671" max="7671" width="18.5703125" style="47" customWidth="1"/>
    <col min="7672" max="7672" width="1.42578125" style="47" customWidth="1"/>
    <col min="7673" max="7673" width="30.5703125" style="47" customWidth="1"/>
    <col min="7674" max="7678" width="10.5703125" style="47" customWidth="1"/>
    <col min="7679" max="7924" width="11.42578125" style="47"/>
    <col min="7925" max="7925" width="0.140625" style="47" customWidth="1"/>
    <col min="7926" max="7926" width="2.5703125" style="47" customWidth="1"/>
    <col min="7927" max="7927" width="18.5703125" style="47" customWidth="1"/>
    <col min="7928" max="7928" width="1.42578125" style="47" customWidth="1"/>
    <col min="7929" max="7929" width="30.5703125" style="47" customWidth="1"/>
    <col min="7930" max="7934" width="10.5703125" style="47" customWidth="1"/>
    <col min="7935" max="8180" width="11.42578125" style="47"/>
    <col min="8181" max="8181" width="0.140625" style="47" customWidth="1"/>
    <col min="8182" max="8182" width="2.5703125" style="47" customWidth="1"/>
    <col min="8183" max="8183" width="18.5703125" style="47" customWidth="1"/>
    <col min="8184" max="8184" width="1.42578125" style="47" customWidth="1"/>
    <col min="8185" max="8185" width="30.5703125" style="47" customWidth="1"/>
    <col min="8186" max="8190" width="10.5703125" style="47" customWidth="1"/>
    <col min="8191" max="8436" width="11.42578125" style="47"/>
    <col min="8437" max="8437" width="0.140625" style="47" customWidth="1"/>
    <col min="8438" max="8438" width="2.5703125" style="47" customWidth="1"/>
    <col min="8439" max="8439" width="18.5703125" style="47" customWidth="1"/>
    <col min="8440" max="8440" width="1.42578125" style="47" customWidth="1"/>
    <col min="8441" max="8441" width="30.5703125" style="47" customWidth="1"/>
    <col min="8442" max="8446" width="10.5703125" style="47" customWidth="1"/>
    <col min="8447" max="8692" width="11.42578125" style="47"/>
    <col min="8693" max="8693" width="0.140625" style="47" customWidth="1"/>
    <col min="8694" max="8694" width="2.5703125" style="47" customWidth="1"/>
    <col min="8695" max="8695" width="18.5703125" style="47" customWidth="1"/>
    <col min="8696" max="8696" width="1.42578125" style="47" customWidth="1"/>
    <col min="8697" max="8697" width="30.5703125" style="47" customWidth="1"/>
    <col min="8698" max="8702" width="10.5703125" style="47" customWidth="1"/>
    <col min="8703" max="8948" width="11.42578125" style="47"/>
    <col min="8949" max="8949" width="0.140625" style="47" customWidth="1"/>
    <col min="8950" max="8950" width="2.5703125" style="47" customWidth="1"/>
    <col min="8951" max="8951" width="18.5703125" style="47" customWidth="1"/>
    <col min="8952" max="8952" width="1.42578125" style="47" customWidth="1"/>
    <col min="8953" max="8953" width="30.5703125" style="47" customWidth="1"/>
    <col min="8954" max="8958" width="10.5703125" style="47" customWidth="1"/>
    <col min="8959" max="9204" width="11.42578125" style="47"/>
    <col min="9205" max="9205" width="0.140625" style="47" customWidth="1"/>
    <col min="9206" max="9206" width="2.5703125" style="47" customWidth="1"/>
    <col min="9207" max="9207" width="18.5703125" style="47" customWidth="1"/>
    <col min="9208" max="9208" width="1.42578125" style="47" customWidth="1"/>
    <col min="9209" max="9209" width="30.5703125" style="47" customWidth="1"/>
    <col min="9210" max="9214" width="10.5703125" style="47" customWidth="1"/>
    <col min="9215" max="9460" width="11.42578125" style="47"/>
    <col min="9461" max="9461" width="0.140625" style="47" customWidth="1"/>
    <col min="9462" max="9462" width="2.5703125" style="47" customWidth="1"/>
    <col min="9463" max="9463" width="18.5703125" style="47" customWidth="1"/>
    <col min="9464" max="9464" width="1.42578125" style="47" customWidth="1"/>
    <col min="9465" max="9465" width="30.5703125" style="47" customWidth="1"/>
    <col min="9466" max="9470" width="10.5703125" style="47" customWidth="1"/>
    <col min="9471" max="9716" width="11.42578125" style="47"/>
    <col min="9717" max="9717" width="0.140625" style="47" customWidth="1"/>
    <col min="9718" max="9718" width="2.5703125" style="47" customWidth="1"/>
    <col min="9719" max="9719" width="18.5703125" style="47" customWidth="1"/>
    <col min="9720" max="9720" width="1.42578125" style="47" customWidth="1"/>
    <col min="9721" max="9721" width="30.5703125" style="47" customWidth="1"/>
    <col min="9722" max="9726" width="10.5703125" style="47" customWidth="1"/>
    <col min="9727" max="9972" width="11.42578125" style="47"/>
    <col min="9973" max="9973" width="0.140625" style="47" customWidth="1"/>
    <col min="9974" max="9974" width="2.5703125" style="47" customWidth="1"/>
    <col min="9975" max="9975" width="18.5703125" style="47" customWidth="1"/>
    <col min="9976" max="9976" width="1.42578125" style="47" customWidth="1"/>
    <col min="9977" max="9977" width="30.5703125" style="47" customWidth="1"/>
    <col min="9978" max="9982" width="10.5703125" style="47" customWidth="1"/>
    <col min="9983" max="10228" width="11.42578125" style="47"/>
    <col min="10229" max="10229" width="0.140625" style="47" customWidth="1"/>
    <col min="10230" max="10230" width="2.5703125" style="47" customWidth="1"/>
    <col min="10231" max="10231" width="18.5703125" style="47" customWidth="1"/>
    <col min="10232" max="10232" width="1.42578125" style="47" customWidth="1"/>
    <col min="10233" max="10233" width="30.5703125" style="47" customWidth="1"/>
    <col min="10234" max="10238" width="10.5703125" style="47" customWidth="1"/>
    <col min="10239" max="10484" width="11.42578125" style="47"/>
    <col min="10485" max="10485" width="0.140625" style="47" customWidth="1"/>
    <col min="10486" max="10486" width="2.5703125" style="47" customWidth="1"/>
    <col min="10487" max="10487" width="18.5703125" style="47" customWidth="1"/>
    <col min="10488" max="10488" width="1.42578125" style="47" customWidth="1"/>
    <col min="10489" max="10489" width="30.5703125" style="47" customWidth="1"/>
    <col min="10490" max="10494" width="10.5703125" style="47" customWidth="1"/>
    <col min="10495" max="10740" width="11.42578125" style="47"/>
    <col min="10741" max="10741" width="0.140625" style="47" customWidth="1"/>
    <col min="10742" max="10742" width="2.5703125" style="47" customWidth="1"/>
    <col min="10743" max="10743" width="18.5703125" style="47" customWidth="1"/>
    <col min="10744" max="10744" width="1.42578125" style="47" customWidth="1"/>
    <col min="10745" max="10745" width="30.5703125" style="47" customWidth="1"/>
    <col min="10746" max="10750" width="10.5703125" style="47" customWidth="1"/>
    <col min="10751" max="10996" width="11.42578125" style="47"/>
    <col min="10997" max="10997" width="0.140625" style="47" customWidth="1"/>
    <col min="10998" max="10998" width="2.5703125" style="47" customWidth="1"/>
    <col min="10999" max="10999" width="18.5703125" style="47" customWidth="1"/>
    <col min="11000" max="11000" width="1.42578125" style="47" customWidth="1"/>
    <col min="11001" max="11001" width="30.5703125" style="47" customWidth="1"/>
    <col min="11002" max="11006" width="10.5703125" style="47" customWidth="1"/>
    <col min="11007" max="11252" width="11.42578125" style="47"/>
    <col min="11253" max="11253" width="0.140625" style="47" customWidth="1"/>
    <col min="11254" max="11254" width="2.5703125" style="47" customWidth="1"/>
    <col min="11255" max="11255" width="18.5703125" style="47" customWidth="1"/>
    <col min="11256" max="11256" width="1.42578125" style="47" customWidth="1"/>
    <col min="11257" max="11257" width="30.5703125" style="47" customWidth="1"/>
    <col min="11258" max="11262" width="10.5703125" style="47" customWidth="1"/>
    <col min="11263" max="11508" width="11.42578125" style="47"/>
    <col min="11509" max="11509" width="0.140625" style="47" customWidth="1"/>
    <col min="11510" max="11510" width="2.5703125" style="47" customWidth="1"/>
    <col min="11511" max="11511" width="18.5703125" style="47" customWidth="1"/>
    <col min="11512" max="11512" width="1.42578125" style="47" customWidth="1"/>
    <col min="11513" max="11513" width="30.5703125" style="47" customWidth="1"/>
    <col min="11514" max="11518" width="10.5703125" style="47" customWidth="1"/>
    <col min="11519" max="11764" width="11.42578125" style="47"/>
    <col min="11765" max="11765" width="0.140625" style="47" customWidth="1"/>
    <col min="11766" max="11766" width="2.5703125" style="47" customWidth="1"/>
    <col min="11767" max="11767" width="18.5703125" style="47" customWidth="1"/>
    <col min="11768" max="11768" width="1.42578125" style="47" customWidth="1"/>
    <col min="11769" max="11769" width="30.5703125" style="47" customWidth="1"/>
    <col min="11770" max="11774" width="10.5703125" style="47" customWidth="1"/>
    <col min="11775" max="12020" width="11.42578125" style="47"/>
    <col min="12021" max="12021" width="0.140625" style="47" customWidth="1"/>
    <col min="12022" max="12022" width="2.5703125" style="47" customWidth="1"/>
    <col min="12023" max="12023" width="18.5703125" style="47" customWidth="1"/>
    <col min="12024" max="12024" width="1.42578125" style="47" customWidth="1"/>
    <col min="12025" max="12025" width="30.5703125" style="47" customWidth="1"/>
    <col min="12026" max="12030" width="10.5703125" style="47" customWidth="1"/>
    <col min="12031" max="12276" width="11.42578125" style="47"/>
    <col min="12277" max="12277" width="0.140625" style="47" customWidth="1"/>
    <col min="12278" max="12278" width="2.5703125" style="47" customWidth="1"/>
    <col min="12279" max="12279" width="18.5703125" style="47" customWidth="1"/>
    <col min="12280" max="12280" width="1.42578125" style="47" customWidth="1"/>
    <col min="12281" max="12281" width="30.5703125" style="47" customWidth="1"/>
    <col min="12282" max="12286" width="10.5703125" style="47" customWidth="1"/>
    <col min="12287" max="12532" width="11.42578125" style="47"/>
    <col min="12533" max="12533" width="0.140625" style="47" customWidth="1"/>
    <col min="12534" max="12534" width="2.5703125" style="47" customWidth="1"/>
    <col min="12535" max="12535" width="18.5703125" style="47" customWidth="1"/>
    <col min="12536" max="12536" width="1.42578125" style="47" customWidth="1"/>
    <col min="12537" max="12537" width="30.5703125" style="47" customWidth="1"/>
    <col min="12538" max="12542" width="10.5703125" style="47" customWidth="1"/>
    <col min="12543" max="12788" width="11.42578125" style="47"/>
    <col min="12789" max="12789" width="0.140625" style="47" customWidth="1"/>
    <col min="12790" max="12790" width="2.5703125" style="47" customWidth="1"/>
    <col min="12791" max="12791" width="18.5703125" style="47" customWidth="1"/>
    <col min="12792" max="12792" width="1.42578125" style="47" customWidth="1"/>
    <col min="12793" max="12793" width="30.5703125" style="47" customWidth="1"/>
    <col min="12794" max="12798" width="10.5703125" style="47" customWidth="1"/>
    <col min="12799" max="13044" width="11.42578125" style="47"/>
    <col min="13045" max="13045" width="0.140625" style="47" customWidth="1"/>
    <col min="13046" max="13046" width="2.5703125" style="47" customWidth="1"/>
    <col min="13047" max="13047" width="18.5703125" style="47" customWidth="1"/>
    <col min="13048" max="13048" width="1.42578125" style="47" customWidth="1"/>
    <col min="13049" max="13049" width="30.5703125" style="47" customWidth="1"/>
    <col min="13050" max="13054" width="10.5703125" style="47" customWidth="1"/>
    <col min="13055" max="13300" width="11.42578125" style="47"/>
    <col min="13301" max="13301" width="0.140625" style="47" customWidth="1"/>
    <col min="13302" max="13302" width="2.5703125" style="47" customWidth="1"/>
    <col min="13303" max="13303" width="18.5703125" style="47" customWidth="1"/>
    <col min="13304" max="13304" width="1.42578125" style="47" customWidth="1"/>
    <col min="13305" max="13305" width="30.5703125" style="47" customWidth="1"/>
    <col min="13306" max="13310" width="10.5703125" style="47" customWidth="1"/>
    <col min="13311" max="13556" width="11.42578125" style="47"/>
    <col min="13557" max="13557" width="0.140625" style="47" customWidth="1"/>
    <col min="13558" max="13558" width="2.5703125" style="47" customWidth="1"/>
    <col min="13559" max="13559" width="18.5703125" style="47" customWidth="1"/>
    <col min="13560" max="13560" width="1.42578125" style="47" customWidth="1"/>
    <col min="13561" max="13561" width="30.5703125" style="47" customWidth="1"/>
    <col min="13562" max="13566" width="10.5703125" style="47" customWidth="1"/>
    <col min="13567" max="13812" width="11.42578125" style="47"/>
    <col min="13813" max="13813" width="0.140625" style="47" customWidth="1"/>
    <col min="13814" max="13814" width="2.5703125" style="47" customWidth="1"/>
    <col min="13815" max="13815" width="18.5703125" style="47" customWidth="1"/>
    <col min="13816" max="13816" width="1.42578125" style="47" customWidth="1"/>
    <col min="13817" max="13817" width="30.5703125" style="47" customWidth="1"/>
    <col min="13818" max="13822" width="10.5703125" style="47" customWidth="1"/>
    <col min="13823" max="14068" width="11.42578125" style="47"/>
    <col min="14069" max="14069" width="0.140625" style="47" customWidth="1"/>
    <col min="14070" max="14070" width="2.5703125" style="47" customWidth="1"/>
    <col min="14071" max="14071" width="18.5703125" style="47" customWidth="1"/>
    <col min="14072" max="14072" width="1.42578125" style="47" customWidth="1"/>
    <col min="14073" max="14073" width="30.5703125" style="47" customWidth="1"/>
    <col min="14074" max="14078" width="10.5703125" style="47" customWidth="1"/>
    <col min="14079" max="14324" width="11.42578125" style="47"/>
    <col min="14325" max="14325" width="0.140625" style="47" customWidth="1"/>
    <col min="14326" max="14326" width="2.5703125" style="47" customWidth="1"/>
    <col min="14327" max="14327" width="18.5703125" style="47" customWidth="1"/>
    <col min="14328" max="14328" width="1.42578125" style="47" customWidth="1"/>
    <col min="14329" max="14329" width="30.5703125" style="47" customWidth="1"/>
    <col min="14330" max="14334" width="10.5703125" style="47" customWidth="1"/>
    <col min="14335" max="14580" width="11.42578125" style="47"/>
    <col min="14581" max="14581" width="0.140625" style="47" customWidth="1"/>
    <col min="14582" max="14582" width="2.5703125" style="47" customWidth="1"/>
    <col min="14583" max="14583" width="18.5703125" style="47" customWidth="1"/>
    <col min="14584" max="14584" width="1.42578125" style="47" customWidth="1"/>
    <col min="14585" max="14585" width="30.5703125" style="47" customWidth="1"/>
    <col min="14586" max="14590" width="10.5703125" style="47" customWidth="1"/>
    <col min="14591" max="14836" width="11.42578125" style="47"/>
    <col min="14837" max="14837" width="0.140625" style="47" customWidth="1"/>
    <col min="14838" max="14838" width="2.5703125" style="47" customWidth="1"/>
    <col min="14839" max="14839" width="18.5703125" style="47" customWidth="1"/>
    <col min="14840" max="14840" width="1.42578125" style="47" customWidth="1"/>
    <col min="14841" max="14841" width="30.5703125" style="47" customWidth="1"/>
    <col min="14842" max="14846" width="10.5703125" style="47" customWidth="1"/>
    <col min="14847" max="15092" width="11.42578125" style="47"/>
    <col min="15093" max="15093" width="0.140625" style="47" customWidth="1"/>
    <col min="15094" max="15094" width="2.5703125" style="47" customWidth="1"/>
    <col min="15095" max="15095" width="18.5703125" style="47" customWidth="1"/>
    <col min="15096" max="15096" width="1.42578125" style="47" customWidth="1"/>
    <col min="15097" max="15097" width="30.5703125" style="47" customWidth="1"/>
    <col min="15098" max="15102" width="10.5703125" style="47" customWidth="1"/>
    <col min="15103" max="15348" width="11.42578125" style="47"/>
    <col min="15349" max="15349" width="0.140625" style="47" customWidth="1"/>
    <col min="15350" max="15350" width="2.5703125" style="47" customWidth="1"/>
    <col min="15351" max="15351" width="18.5703125" style="47" customWidth="1"/>
    <col min="15352" max="15352" width="1.42578125" style="47" customWidth="1"/>
    <col min="15353" max="15353" width="30.5703125" style="47" customWidth="1"/>
    <col min="15354" max="15358" width="10.5703125" style="47" customWidth="1"/>
    <col min="15359" max="15604" width="11.42578125" style="47"/>
    <col min="15605" max="15605" width="0.140625" style="47" customWidth="1"/>
    <col min="15606" max="15606" width="2.5703125" style="47" customWidth="1"/>
    <col min="15607" max="15607" width="18.5703125" style="47" customWidth="1"/>
    <col min="15608" max="15608" width="1.42578125" style="47" customWidth="1"/>
    <col min="15609" max="15609" width="30.5703125" style="47" customWidth="1"/>
    <col min="15610" max="15614" width="10.5703125" style="47" customWidth="1"/>
    <col min="15615" max="15860" width="11.42578125" style="47"/>
    <col min="15861" max="15861" width="0.140625" style="47" customWidth="1"/>
    <col min="15862" max="15862" width="2.5703125" style="47" customWidth="1"/>
    <col min="15863" max="15863" width="18.5703125" style="47" customWidth="1"/>
    <col min="15864" max="15864" width="1.42578125" style="47" customWidth="1"/>
    <col min="15865" max="15865" width="30.5703125" style="47" customWidth="1"/>
    <col min="15866" max="15870" width="10.5703125" style="47" customWidth="1"/>
    <col min="15871" max="16116" width="11.42578125" style="47"/>
    <col min="16117" max="16117" width="0.140625" style="47" customWidth="1"/>
    <col min="16118" max="16118" width="2.5703125" style="47" customWidth="1"/>
    <col min="16119" max="16119" width="18.5703125" style="47" customWidth="1"/>
    <col min="16120" max="16120" width="1.42578125" style="47" customWidth="1"/>
    <col min="16121" max="16121" width="30.5703125" style="47" customWidth="1"/>
    <col min="16122" max="16126" width="10.5703125" style="47" customWidth="1"/>
    <col min="16127" max="16384" width="11.42578125" style="47"/>
  </cols>
  <sheetData>
    <row r="1" spans="1:20" ht="0.75" customHeight="1"/>
    <row r="2" spans="1:20" ht="21" customHeight="1">
      <c r="E2" s="27" t="s">
        <v>19</v>
      </c>
      <c r="F2" s="63"/>
      <c r="G2" s="63"/>
    </row>
    <row r="3" spans="1:20" ht="15" customHeight="1">
      <c r="E3" s="43" t="str">
        <f>Indice!E3</f>
        <v>Julio 2026</v>
      </c>
      <c r="F3" s="62"/>
      <c r="G3" s="62"/>
    </row>
    <row r="4" spans="1:20" s="58" customFormat="1" ht="20.25" customHeight="1">
      <c r="B4" s="57"/>
      <c r="C4" s="25" t="s">
        <v>39</v>
      </c>
    </row>
    <row r="5" spans="1:20" s="58" customFormat="1" ht="12.75" customHeight="1">
      <c r="B5" s="57"/>
      <c r="C5" s="61"/>
    </row>
    <row r="6" spans="1:20" s="58" customFormat="1" ht="13.5" customHeight="1">
      <c r="B6" s="57"/>
      <c r="C6" s="56"/>
      <c r="D6" s="55"/>
      <c r="E6" s="55"/>
      <c r="G6" s="45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1:20" s="58" customFormat="1" ht="12.75" customHeight="1">
      <c r="B7" s="57"/>
      <c r="C7" s="264" t="s">
        <v>101</v>
      </c>
      <c r="D7" s="55"/>
      <c r="E7" s="59"/>
    </row>
    <row r="8" spans="1:20" ht="12.75" customHeight="1">
      <c r="A8" s="58"/>
      <c r="B8" s="57"/>
      <c r="C8" s="264"/>
      <c r="D8" s="55"/>
      <c r="E8" s="59"/>
      <c r="F8" s="54"/>
    </row>
    <row r="9" spans="1:20" ht="12.75" customHeight="1">
      <c r="A9" s="58"/>
      <c r="B9" s="57"/>
      <c r="C9" s="173"/>
      <c r="D9" s="55"/>
      <c r="E9" s="59"/>
      <c r="F9" s="54"/>
    </row>
    <row r="10" spans="1:20" ht="12.75" customHeight="1">
      <c r="A10" s="58"/>
      <c r="B10" s="57"/>
      <c r="C10" s="32"/>
      <c r="D10" s="55"/>
      <c r="E10" s="59"/>
      <c r="F10" s="54"/>
    </row>
    <row r="11" spans="1:20" ht="12.75" customHeight="1">
      <c r="A11" s="58"/>
      <c r="B11" s="57"/>
      <c r="D11" s="55"/>
      <c r="E11" s="55"/>
      <c r="F11" s="54"/>
    </row>
    <row r="12" spans="1:20" ht="12.75" customHeight="1">
      <c r="A12" s="58"/>
      <c r="B12" s="57"/>
      <c r="D12" s="55"/>
      <c r="E12" s="55"/>
      <c r="F12" s="54"/>
    </row>
    <row r="13" spans="1:20" ht="12.75" customHeight="1">
      <c r="A13" s="58"/>
      <c r="B13" s="57"/>
      <c r="C13" s="56"/>
      <c r="D13" s="55"/>
      <c r="E13" s="55"/>
      <c r="F13" s="54"/>
    </row>
    <row r="14" spans="1:20" ht="12.75" customHeight="1">
      <c r="A14" s="58"/>
      <c r="B14" s="57"/>
      <c r="C14" s="56"/>
      <c r="D14" s="55"/>
      <c r="E14" s="55"/>
      <c r="F14" s="54"/>
    </row>
    <row r="15" spans="1:20" ht="12.75" customHeight="1">
      <c r="A15" s="58"/>
      <c r="B15" s="57"/>
      <c r="C15" s="56"/>
      <c r="D15" s="55"/>
      <c r="E15" s="55"/>
      <c r="F15" s="54"/>
    </row>
    <row r="16" spans="1:20" ht="12.75" customHeight="1">
      <c r="A16" s="58"/>
      <c r="B16" s="57"/>
      <c r="C16" s="56"/>
      <c r="D16" s="55"/>
      <c r="E16" s="55"/>
      <c r="F16" s="54"/>
    </row>
    <row r="17" spans="1:7" ht="12.75" customHeight="1">
      <c r="A17" s="58"/>
      <c r="B17" s="57"/>
      <c r="C17" s="56"/>
      <c r="D17" s="55"/>
      <c r="E17" s="55"/>
      <c r="F17" s="54"/>
    </row>
    <row r="18" spans="1:7" ht="12.75" customHeight="1">
      <c r="A18" s="58"/>
      <c r="B18" s="57"/>
      <c r="C18" s="56"/>
      <c r="D18" s="55"/>
      <c r="E18" s="55"/>
      <c r="F18" s="141"/>
    </row>
    <row r="19" spans="1:7" ht="12.75" customHeight="1">
      <c r="A19" s="58"/>
      <c r="B19" s="57"/>
      <c r="C19" s="56"/>
      <c r="D19" s="55"/>
      <c r="E19" s="55"/>
      <c r="F19" s="54"/>
    </row>
    <row r="20" spans="1:7" ht="12.75" customHeight="1">
      <c r="A20" s="58"/>
      <c r="B20" s="57"/>
      <c r="C20" s="56"/>
      <c r="D20" s="55"/>
      <c r="E20" s="55"/>
      <c r="F20" s="54"/>
    </row>
    <row r="21" spans="1:7" ht="12.75" customHeight="1">
      <c r="A21" s="58"/>
      <c r="B21" s="57"/>
      <c r="C21" s="56"/>
      <c r="D21" s="55"/>
      <c r="E21" s="55"/>
      <c r="F21" s="54"/>
    </row>
    <row r="22" spans="1:7" ht="12.75" customHeight="1"/>
    <row r="23" spans="1:7" ht="12.75" customHeight="1"/>
    <row r="24" spans="1:7" ht="12.75" customHeight="1">
      <c r="E24" s="51"/>
      <c r="F24" s="51"/>
      <c r="G24" s="51"/>
    </row>
    <row r="25" spans="1:7" ht="12.75" customHeight="1">
      <c r="E25" s="48" t="s">
        <v>78</v>
      </c>
      <c r="F25" s="53"/>
      <c r="G25" s="53"/>
    </row>
    <row r="26" spans="1:7" ht="12.75" customHeight="1">
      <c r="E26" s="48" t="s">
        <v>44</v>
      </c>
      <c r="F26" s="53"/>
      <c r="G26" s="53"/>
    </row>
    <row r="27" spans="1:7" ht="12.75" customHeight="1">
      <c r="E27" s="52"/>
      <c r="F27" s="51"/>
      <c r="G27" s="51"/>
    </row>
    <row r="28" spans="1:7" ht="12.75" customHeight="1">
      <c r="F28" s="51"/>
      <c r="G28" s="51"/>
    </row>
    <row r="29" spans="1:7" ht="12.75" customHeight="1">
      <c r="F29" s="51"/>
      <c r="G29" s="51"/>
    </row>
    <row r="30" spans="1:7" ht="12.75" customHeight="1">
      <c r="E30" s="50"/>
    </row>
    <row r="31" spans="1:7" ht="12.75" customHeight="1"/>
    <row r="32" spans="1:7" ht="12.75" customHeight="1"/>
    <row r="33" spans="5:5" ht="12.75" customHeight="1"/>
    <row r="34" spans="5:5" ht="12.75" customHeight="1"/>
    <row r="35" spans="5:5" ht="12.75" customHeight="1"/>
    <row r="36" spans="5:5" ht="12.75" customHeight="1"/>
    <row r="37" spans="5:5" ht="12.75" customHeight="1"/>
    <row r="38" spans="5:5" ht="12.75" customHeight="1"/>
    <row r="39" spans="5:5" ht="12.75" customHeight="1"/>
    <row r="40" spans="5:5" ht="12.75" customHeight="1"/>
    <row r="41" spans="5:5" ht="12.75" customHeight="1"/>
    <row r="46" spans="5:5">
      <c r="E46" s="48"/>
    </row>
    <row r="47" spans="5:5">
      <c r="E47" s="49"/>
    </row>
    <row r="48" spans="5:5">
      <c r="E48" s="48"/>
    </row>
  </sheetData>
  <mergeCells count="1">
    <mergeCell ref="C7:C8"/>
  </mergeCells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7">
    <pageSetUpPr fitToPage="1"/>
  </sheetPr>
  <dimension ref="A1:L39"/>
  <sheetViews>
    <sheetView showGridLines="0" showRowColHeaders="0" zoomScaleNormal="100" workbookViewId="0">
      <selection activeCell="I20" sqref="I20"/>
    </sheetView>
  </sheetViews>
  <sheetFormatPr baseColWidth="10" defaultRowHeight="12.75"/>
  <cols>
    <col min="1" max="1" width="0.140625" style="29" customWidth="1"/>
    <col min="2" max="2" width="2.5703125" style="29" customWidth="1"/>
    <col min="3" max="3" width="23.5703125" style="29" customWidth="1"/>
    <col min="4" max="4" width="1.42578125" style="29" customWidth="1"/>
    <col min="5" max="5" width="58.85546875" style="29" customWidth="1"/>
    <col min="6" max="6" width="11.42578125" style="28"/>
    <col min="7" max="7" width="19.85546875" style="28" customWidth="1"/>
    <col min="8" max="9" width="11.42578125" style="28"/>
    <col min="10" max="10" width="11" style="28" bestFit="1" customWidth="1"/>
    <col min="11" max="253" width="11.42578125" style="28"/>
    <col min="254" max="254" width="0.140625" style="28" customWidth="1"/>
    <col min="255" max="255" width="2.5703125" style="28" customWidth="1"/>
    <col min="256" max="256" width="18.5703125" style="28" customWidth="1"/>
    <col min="257" max="257" width="1.42578125" style="28" customWidth="1"/>
    <col min="258" max="258" width="58.85546875" style="28" customWidth="1"/>
    <col min="259" max="260" width="11.42578125" style="28"/>
    <col min="261" max="261" width="2.140625" style="28" customWidth="1"/>
    <col min="262" max="262" width="11.42578125" style="28"/>
    <col min="263" max="263" width="9.5703125" style="28" customWidth="1"/>
    <col min="264" max="509" width="11.42578125" style="28"/>
    <col min="510" max="510" width="0.140625" style="28" customWidth="1"/>
    <col min="511" max="511" width="2.5703125" style="28" customWidth="1"/>
    <col min="512" max="512" width="18.5703125" style="28" customWidth="1"/>
    <col min="513" max="513" width="1.42578125" style="28" customWidth="1"/>
    <col min="514" max="514" width="58.85546875" style="28" customWidth="1"/>
    <col min="515" max="516" width="11.42578125" style="28"/>
    <col min="517" max="517" width="2.140625" style="28" customWidth="1"/>
    <col min="518" max="518" width="11.42578125" style="28"/>
    <col min="519" max="519" width="9.5703125" style="28" customWidth="1"/>
    <col min="520" max="765" width="11.42578125" style="28"/>
    <col min="766" max="766" width="0.140625" style="28" customWidth="1"/>
    <col min="767" max="767" width="2.5703125" style="28" customWidth="1"/>
    <col min="768" max="768" width="18.5703125" style="28" customWidth="1"/>
    <col min="769" max="769" width="1.42578125" style="28" customWidth="1"/>
    <col min="770" max="770" width="58.85546875" style="28" customWidth="1"/>
    <col min="771" max="772" width="11.42578125" style="28"/>
    <col min="773" max="773" width="2.140625" style="28" customWidth="1"/>
    <col min="774" max="774" width="11.42578125" style="28"/>
    <col min="775" max="775" width="9.5703125" style="28" customWidth="1"/>
    <col min="776" max="1021" width="11.42578125" style="28"/>
    <col min="1022" max="1022" width="0.140625" style="28" customWidth="1"/>
    <col min="1023" max="1023" width="2.5703125" style="28" customWidth="1"/>
    <col min="1024" max="1024" width="18.5703125" style="28" customWidth="1"/>
    <col min="1025" max="1025" width="1.42578125" style="28" customWidth="1"/>
    <col min="1026" max="1026" width="58.85546875" style="28" customWidth="1"/>
    <col min="1027" max="1028" width="11.42578125" style="28"/>
    <col min="1029" max="1029" width="2.140625" style="28" customWidth="1"/>
    <col min="1030" max="1030" width="11.42578125" style="28"/>
    <col min="1031" max="1031" width="9.5703125" style="28" customWidth="1"/>
    <col min="1032" max="1277" width="11.42578125" style="28"/>
    <col min="1278" max="1278" width="0.140625" style="28" customWidth="1"/>
    <col min="1279" max="1279" width="2.5703125" style="28" customWidth="1"/>
    <col min="1280" max="1280" width="18.5703125" style="28" customWidth="1"/>
    <col min="1281" max="1281" width="1.42578125" style="28" customWidth="1"/>
    <col min="1282" max="1282" width="58.85546875" style="28" customWidth="1"/>
    <col min="1283" max="1284" width="11.42578125" style="28"/>
    <col min="1285" max="1285" width="2.140625" style="28" customWidth="1"/>
    <col min="1286" max="1286" width="11.42578125" style="28"/>
    <col min="1287" max="1287" width="9.5703125" style="28" customWidth="1"/>
    <col min="1288" max="1533" width="11.42578125" style="28"/>
    <col min="1534" max="1534" width="0.140625" style="28" customWidth="1"/>
    <col min="1535" max="1535" width="2.5703125" style="28" customWidth="1"/>
    <col min="1536" max="1536" width="18.5703125" style="28" customWidth="1"/>
    <col min="1537" max="1537" width="1.42578125" style="28" customWidth="1"/>
    <col min="1538" max="1538" width="58.85546875" style="28" customWidth="1"/>
    <col min="1539" max="1540" width="11.42578125" style="28"/>
    <col min="1541" max="1541" width="2.140625" style="28" customWidth="1"/>
    <col min="1542" max="1542" width="11.42578125" style="28"/>
    <col min="1543" max="1543" width="9.5703125" style="28" customWidth="1"/>
    <col min="1544" max="1789" width="11.42578125" style="28"/>
    <col min="1790" max="1790" width="0.140625" style="28" customWidth="1"/>
    <col min="1791" max="1791" width="2.5703125" style="28" customWidth="1"/>
    <col min="1792" max="1792" width="18.5703125" style="28" customWidth="1"/>
    <col min="1793" max="1793" width="1.42578125" style="28" customWidth="1"/>
    <col min="1794" max="1794" width="58.85546875" style="28" customWidth="1"/>
    <col min="1795" max="1796" width="11.42578125" style="28"/>
    <col min="1797" max="1797" width="2.140625" style="28" customWidth="1"/>
    <col min="1798" max="1798" width="11.42578125" style="28"/>
    <col min="1799" max="1799" width="9.5703125" style="28" customWidth="1"/>
    <col min="1800" max="2045" width="11.42578125" style="28"/>
    <col min="2046" max="2046" width="0.140625" style="28" customWidth="1"/>
    <col min="2047" max="2047" width="2.5703125" style="28" customWidth="1"/>
    <col min="2048" max="2048" width="18.5703125" style="28" customWidth="1"/>
    <col min="2049" max="2049" width="1.42578125" style="28" customWidth="1"/>
    <col min="2050" max="2050" width="58.85546875" style="28" customWidth="1"/>
    <col min="2051" max="2052" width="11.42578125" style="28"/>
    <col min="2053" max="2053" width="2.140625" style="28" customWidth="1"/>
    <col min="2054" max="2054" width="11.42578125" style="28"/>
    <col min="2055" max="2055" width="9.5703125" style="28" customWidth="1"/>
    <col min="2056" max="2301" width="11.42578125" style="28"/>
    <col min="2302" max="2302" width="0.140625" style="28" customWidth="1"/>
    <col min="2303" max="2303" width="2.5703125" style="28" customWidth="1"/>
    <col min="2304" max="2304" width="18.5703125" style="28" customWidth="1"/>
    <col min="2305" max="2305" width="1.42578125" style="28" customWidth="1"/>
    <col min="2306" max="2306" width="58.85546875" style="28" customWidth="1"/>
    <col min="2307" max="2308" width="11.42578125" style="28"/>
    <col min="2309" max="2309" width="2.140625" style="28" customWidth="1"/>
    <col min="2310" max="2310" width="11.42578125" style="28"/>
    <col min="2311" max="2311" width="9.5703125" style="28" customWidth="1"/>
    <col min="2312" max="2557" width="11.42578125" style="28"/>
    <col min="2558" max="2558" width="0.140625" style="28" customWidth="1"/>
    <col min="2559" max="2559" width="2.5703125" style="28" customWidth="1"/>
    <col min="2560" max="2560" width="18.5703125" style="28" customWidth="1"/>
    <col min="2561" max="2561" width="1.42578125" style="28" customWidth="1"/>
    <col min="2562" max="2562" width="58.85546875" style="28" customWidth="1"/>
    <col min="2563" max="2564" width="11.42578125" style="28"/>
    <col min="2565" max="2565" width="2.140625" style="28" customWidth="1"/>
    <col min="2566" max="2566" width="11.42578125" style="28"/>
    <col min="2567" max="2567" width="9.5703125" style="28" customWidth="1"/>
    <col min="2568" max="2813" width="11.42578125" style="28"/>
    <col min="2814" max="2814" width="0.140625" style="28" customWidth="1"/>
    <col min="2815" max="2815" width="2.5703125" style="28" customWidth="1"/>
    <col min="2816" max="2816" width="18.5703125" style="28" customWidth="1"/>
    <col min="2817" max="2817" width="1.42578125" style="28" customWidth="1"/>
    <col min="2818" max="2818" width="58.85546875" style="28" customWidth="1"/>
    <col min="2819" max="2820" width="11.42578125" style="28"/>
    <col min="2821" max="2821" width="2.140625" style="28" customWidth="1"/>
    <col min="2822" max="2822" width="11.42578125" style="28"/>
    <col min="2823" max="2823" width="9.5703125" style="28" customWidth="1"/>
    <col min="2824" max="3069" width="11.42578125" style="28"/>
    <col min="3070" max="3070" width="0.140625" style="28" customWidth="1"/>
    <col min="3071" max="3071" width="2.5703125" style="28" customWidth="1"/>
    <col min="3072" max="3072" width="18.5703125" style="28" customWidth="1"/>
    <col min="3073" max="3073" width="1.42578125" style="28" customWidth="1"/>
    <col min="3074" max="3074" width="58.85546875" style="28" customWidth="1"/>
    <col min="3075" max="3076" width="11.42578125" style="28"/>
    <col min="3077" max="3077" width="2.140625" style="28" customWidth="1"/>
    <col min="3078" max="3078" width="11.42578125" style="28"/>
    <col min="3079" max="3079" width="9.5703125" style="28" customWidth="1"/>
    <col min="3080" max="3325" width="11.42578125" style="28"/>
    <col min="3326" max="3326" width="0.140625" style="28" customWidth="1"/>
    <col min="3327" max="3327" width="2.5703125" style="28" customWidth="1"/>
    <col min="3328" max="3328" width="18.5703125" style="28" customWidth="1"/>
    <col min="3329" max="3329" width="1.42578125" style="28" customWidth="1"/>
    <col min="3330" max="3330" width="58.85546875" style="28" customWidth="1"/>
    <col min="3331" max="3332" width="11.42578125" style="28"/>
    <col min="3333" max="3333" width="2.140625" style="28" customWidth="1"/>
    <col min="3334" max="3334" width="11.42578125" style="28"/>
    <col min="3335" max="3335" width="9.5703125" style="28" customWidth="1"/>
    <col min="3336" max="3581" width="11.42578125" style="28"/>
    <col min="3582" max="3582" width="0.140625" style="28" customWidth="1"/>
    <col min="3583" max="3583" width="2.5703125" style="28" customWidth="1"/>
    <col min="3584" max="3584" width="18.5703125" style="28" customWidth="1"/>
    <col min="3585" max="3585" width="1.42578125" style="28" customWidth="1"/>
    <col min="3586" max="3586" width="58.85546875" style="28" customWidth="1"/>
    <col min="3587" max="3588" width="11.42578125" style="28"/>
    <col min="3589" max="3589" width="2.140625" style="28" customWidth="1"/>
    <col min="3590" max="3590" width="11.42578125" style="28"/>
    <col min="3591" max="3591" width="9.5703125" style="28" customWidth="1"/>
    <col min="3592" max="3837" width="11.42578125" style="28"/>
    <col min="3838" max="3838" width="0.140625" style="28" customWidth="1"/>
    <col min="3839" max="3839" width="2.5703125" style="28" customWidth="1"/>
    <col min="3840" max="3840" width="18.5703125" style="28" customWidth="1"/>
    <col min="3841" max="3841" width="1.42578125" style="28" customWidth="1"/>
    <col min="3842" max="3842" width="58.85546875" style="28" customWidth="1"/>
    <col min="3843" max="3844" width="11.42578125" style="28"/>
    <col min="3845" max="3845" width="2.140625" style="28" customWidth="1"/>
    <col min="3846" max="3846" width="11.42578125" style="28"/>
    <col min="3847" max="3847" width="9.5703125" style="28" customWidth="1"/>
    <col min="3848" max="4093" width="11.42578125" style="28"/>
    <col min="4094" max="4094" width="0.140625" style="28" customWidth="1"/>
    <col min="4095" max="4095" width="2.5703125" style="28" customWidth="1"/>
    <col min="4096" max="4096" width="18.5703125" style="28" customWidth="1"/>
    <col min="4097" max="4097" width="1.42578125" style="28" customWidth="1"/>
    <col min="4098" max="4098" width="58.85546875" style="28" customWidth="1"/>
    <col min="4099" max="4100" width="11.42578125" style="28"/>
    <col min="4101" max="4101" width="2.140625" style="28" customWidth="1"/>
    <col min="4102" max="4102" width="11.42578125" style="28"/>
    <col min="4103" max="4103" width="9.5703125" style="28" customWidth="1"/>
    <col min="4104" max="4349" width="11.42578125" style="28"/>
    <col min="4350" max="4350" width="0.140625" style="28" customWidth="1"/>
    <col min="4351" max="4351" width="2.5703125" style="28" customWidth="1"/>
    <col min="4352" max="4352" width="18.5703125" style="28" customWidth="1"/>
    <col min="4353" max="4353" width="1.42578125" style="28" customWidth="1"/>
    <col min="4354" max="4354" width="58.85546875" style="28" customWidth="1"/>
    <col min="4355" max="4356" width="11.42578125" style="28"/>
    <col min="4357" max="4357" width="2.140625" style="28" customWidth="1"/>
    <col min="4358" max="4358" width="11.42578125" style="28"/>
    <col min="4359" max="4359" width="9.5703125" style="28" customWidth="1"/>
    <col min="4360" max="4605" width="11.42578125" style="28"/>
    <col min="4606" max="4606" width="0.140625" style="28" customWidth="1"/>
    <col min="4607" max="4607" width="2.5703125" style="28" customWidth="1"/>
    <col min="4608" max="4608" width="18.5703125" style="28" customWidth="1"/>
    <col min="4609" max="4609" width="1.42578125" style="28" customWidth="1"/>
    <col min="4610" max="4610" width="58.85546875" style="28" customWidth="1"/>
    <col min="4611" max="4612" width="11.42578125" style="28"/>
    <col min="4613" max="4613" width="2.140625" style="28" customWidth="1"/>
    <col min="4614" max="4614" width="11.42578125" style="28"/>
    <col min="4615" max="4615" width="9.5703125" style="28" customWidth="1"/>
    <col min="4616" max="4861" width="11.42578125" style="28"/>
    <col min="4862" max="4862" width="0.140625" style="28" customWidth="1"/>
    <col min="4863" max="4863" width="2.5703125" style="28" customWidth="1"/>
    <col min="4864" max="4864" width="18.5703125" style="28" customWidth="1"/>
    <col min="4865" max="4865" width="1.42578125" style="28" customWidth="1"/>
    <col min="4866" max="4866" width="58.85546875" style="28" customWidth="1"/>
    <col min="4867" max="4868" width="11.42578125" style="28"/>
    <col min="4869" max="4869" width="2.140625" style="28" customWidth="1"/>
    <col min="4870" max="4870" width="11.42578125" style="28"/>
    <col min="4871" max="4871" width="9.5703125" style="28" customWidth="1"/>
    <col min="4872" max="5117" width="11.42578125" style="28"/>
    <col min="5118" max="5118" width="0.140625" style="28" customWidth="1"/>
    <col min="5119" max="5119" width="2.5703125" style="28" customWidth="1"/>
    <col min="5120" max="5120" width="18.5703125" style="28" customWidth="1"/>
    <col min="5121" max="5121" width="1.42578125" style="28" customWidth="1"/>
    <col min="5122" max="5122" width="58.85546875" style="28" customWidth="1"/>
    <col min="5123" max="5124" width="11.42578125" style="28"/>
    <col min="5125" max="5125" width="2.140625" style="28" customWidth="1"/>
    <col min="5126" max="5126" width="11.42578125" style="28"/>
    <col min="5127" max="5127" width="9.5703125" style="28" customWidth="1"/>
    <col min="5128" max="5373" width="11.42578125" style="28"/>
    <col min="5374" max="5374" width="0.140625" style="28" customWidth="1"/>
    <col min="5375" max="5375" width="2.5703125" style="28" customWidth="1"/>
    <col min="5376" max="5376" width="18.5703125" style="28" customWidth="1"/>
    <col min="5377" max="5377" width="1.42578125" style="28" customWidth="1"/>
    <col min="5378" max="5378" width="58.85546875" style="28" customWidth="1"/>
    <col min="5379" max="5380" width="11.42578125" style="28"/>
    <col min="5381" max="5381" width="2.140625" style="28" customWidth="1"/>
    <col min="5382" max="5382" width="11.42578125" style="28"/>
    <col min="5383" max="5383" width="9.5703125" style="28" customWidth="1"/>
    <col min="5384" max="5629" width="11.42578125" style="28"/>
    <col min="5630" max="5630" width="0.140625" style="28" customWidth="1"/>
    <col min="5631" max="5631" width="2.5703125" style="28" customWidth="1"/>
    <col min="5632" max="5632" width="18.5703125" style="28" customWidth="1"/>
    <col min="5633" max="5633" width="1.42578125" style="28" customWidth="1"/>
    <col min="5634" max="5634" width="58.85546875" style="28" customWidth="1"/>
    <col min="5635" max="5636" width="11.42578125" style="28"/>
    <col min="5637" max="5637" width="2.140625" style="28" customWidth="1"/>
    <col min="5638" max="5638" width="11.42578125" style="28"/>
    <col min="5639" max="5639" width="9.5703125" style="28" customWidth="1"/>
    <col min="5640" max="5885" width="11.42578125" style="28"/>
    <col min="5886" max="5886" width="0.140625" style="28" customWidth="1"/>
    <col min="5887" max="5887" width="2.5703125" style="28" customWidth="1"/>
    <col min="5888" max="5888" width="18.5703125" style="28" customWidth="1"/>
    <col min="5889" max="5889" width="1.42578125" style="28" customWidth="1"/>
    <col min="5890" max="5890" width="58.85546875" style="28" customWidth="1"/>
    <col min="5891" max="5892" width="11.42578125" style="28"/>
    <col min="5893" max="5893" width="2.140625" style="28" customWidth="1"/>
    <col min="5894" max="5894" width="11.42578125" style="28"/>
    <col min="5895" max="5895" width="9.5703125" style="28" customWidth="1"/>
    <col min="5896" max="6141" width="11.42578125" style="28"/>
    <col min="6142" max="6142" width="0.140625" style="28" customWidth="1"/>
    <col min="6143" max="6143" width="2.5703125" style="28" customWidth="1"/>
    <col min="6144" max="6144" width="18.5703125" style="28" customWidth="1"/>
    <col min="6145" max="6145" width="1.42578125" style="28" customWidth="1"/>
    <col min="6146" max="6146" width="58.85546875" style="28" customWidth="1"/>
    <col min="6147" max="6148" width="11.42578125" style="28"/>
    <col min="6149" max="6149" width="2.140625" style="28" customWidth="1"/>
    <col min="6150" max="6150" width="11.42578125" style="28"/>
    <col min="6151" max="6151" width="9.5703125" style="28" customWidth="1"/>
    <col min="6152" max="6397" width="11.42578125" style="28"/>
    <col min="6398" max="6398" width="0.140625" style="28" customWidth="1"/>
    <col min="6399" max="6399" width="2.5703125" style="28" customWidth="1"/>
    <col min="6400" max="6400" width="18.5703125" style="28" customWidth="1"/>
    <col min="6401" max="6401" width="1.42578125" style="28" customWidth="1"/>
    <col min="6402" max="6402" width="58.85546875" style="28" customWidth="1"/>
    <col min="6403" max="6404" width="11.42578125" style="28"/>
    <col min="6405" max="6405" width="2.140625" style="28" customWidth="1"/>
    <col min="6406" max="6406" width="11.42578125" style="28"/>
    <col min="6407" max="6407" width="9.5703125" style="28" customWidth="1"/>
    <col min="6408" max="6653" width="11.42578125" style="28"/>
    <col min="6654" max="6654" width="0.140625" style="28" customWidth="1"/>
    <col min="6655" max="6655" width="2.5703125" style="28" customWidth="1"/>
    <col min="6656" max="6656" width="18.5703125" style="28" customWidth="1"/>
    <col min="6657" max="6657" width="1.42578125" style="28" customWidth="1"/>
    <col min="6658" max="6658" width="58.85546875" style="28" customWidth="1"/>
    <col min="6659" max="6660" width="11.42578125" style="28"/>
    <col min="6661" max="6661" width="2.140625" style="28" customWidth="1"/>
    <col min="6662" max="6662" width="11.42578125" style="28"/>
    <col min="6663" max="6663" width="9.5703125" style="28" customWidth="1"/>
    <col min="6664" max="6909" width="11.42578125" style="28"/>
    <col min="6910" max="6910" width="0.140625" style="28" customWidth="1"/>
    <col min="6911" max="6911" width="2.5703125" style="28" customWidth="1"/>
    <col min="6912" max="6912" width="18.5703125" style="28" customWidth="1"/>
    <col min="6913" max="6913" width="1.42578125" style="28" customWidth="1"/>
    <col min="6914" max="6914" width="58.85546875" style="28" customWidth="1"/>
    <col min="6915" max="6916" width="11.42578125" style="28"/>
    <col min="6917" max="6917" width="2.140625" style="28" customWidth="1"/>
    <col min="6918" max="6918" width="11.42578125" style="28"/>
    <col min="6919" max="6919" width="9.5703125" style="28" customWidth="1"/>
    <col min="6920" max="7165" width="11.42578125" style="28"/>
    <col min="7166" max="7166" width="0.140625" style="28" customWidth="1"/>
    <col min="7167" max="7167" width="2.5703125" style="28" customWidth="1"/>
    <col min="7168" max="7168" width="18.5703125" style="28" customWidth="1"/>
    <col min="7169" max="7169" width="1.42578125" style="28" customWidth="1"/>
    <col min="7170" max="7170" width="58.85546875" style="28" customWidth="1"/>
    <col min="7171" max="7172" width="11.42578125" style="28"/>
    <col min="7173" max="7173" width="2.140625" style="28" customWidth="1"/>
    <col min="7174" max="7174" width="11.42578125" style="28"/>
    <col min="7175" max="7175" width="9.5703125" style="28" customWidth="1"/>
    <col min="7176" max="7421" width="11.42578125" style="28"/>
    <col min="7422" max="7422" width="0.140625" style="28" customWidth="1"/>
    <col min="7423" max="7423" width="2.5703125" style="28" customWidth="1"/>
    <col min="7424" max="7424" width="18.5703125" style="28" customWidth="1"/>
    <col min="7425" max="7425" width="1.42578125" style="28" customWidth="1"/>
    <col min="7426" max="7426" width="58.85546875" style="28" customWidth="1"/>
    <col min="7427" max="7428" width="11.42578125" style="28"/>
    <col min="7429" max="7429" width="2.140625" style="28" customWidth="1"/>
    <col min="7430" max="7430" width="11.42578125" style="28"/>
    <col min="7431" max="7431" width="9.5703125" style="28" customWidth="1"/>
    <col min="7432" max="7677" width="11.42578125" style="28"/>
    <col min="7678" max="7678" width="0.140625" style="28" customWidth="1"/>
    <col min="7679" max="7679" width="2.5703125" style="28" customWidth="1"/>
    <col min="7680" max="7680" width="18.5703125" style="28" customWidth="1"/>
    <col min="7681" max="7681" width="1.42578125" style="28" customWidth="1"/>
    <col min="7682" max="7682" width="58.85546875" style="28" customWidth="1"/>
    <col min="7683" max="7684" width="11.42578125" style="28"/>
    <col min="7685" max="7685" width="2.140625" style="28" customWidth="1"/>
    <col min="7686" max="7686" width="11.42578125" style="28"/>
    <col min="7687" max="7687" width="9.5703125" style="28" customWidth="1"/>
    <col min="7688" max="7933" width="11.42578125" style="28"/>
    <col min="7934" max="7934" width="0.140625" style="28" customWidth="1"/>
    <col min="7935" max="7935" width="2.5703125" style="28" customWidth="1"/>
    <col min="7936" max="7936" width="18.5703125" style="28" customWidth="1"/>
    <col min="7937" max="7937" width="1.42578125" style="28" customWidth="1"/>
    <col min="7938" max="7938" width="58.85546875" style="28" customWidth="1"/>
    <col min="7939" max="7940" width="11.42578125" style="28"/>
    <col min="7941" max="7941" width="2.140625" style="28" customWidth="1"/>
    <col min="7942" max="7942" width="11.42578125" style="28"/>
    <col min="7943" max="7943" width="9.5703125" style="28" customWidth="1"/>
    <col min="7944" max="8189" width="11.42578125" style="28"/>
    <col min="8190" max="8190" width="0.140625" style="28" customWidth="1"/>
    <col min="8191" max="8191" width="2.5703125" style="28" customWidth="1"/>
    <col min="8192" max="8192" width="18.5703125" style="28" customWidth="1"/>
    <col min="8193" max="8193" width="1.42578125" style="28" customWidth="1"/>
    <col min="8194" max="8194" width="58.85546875" style="28" customWidth="1"/>
    <col min="8195" max="8196" width="11.42578125" style="28"/>
    <col min="8197" max="8197" width="2.140625" style="28" customWidth="1"/>
    <col min="8198" max="8198" width="11.42578125" style="28"/>
    <col min="8199" max="8199" width="9.5703125" style="28" customWidth="1"/>
    <col min="8200" max="8445" width="11.42578125" style="28"/>
    <col min="8446" max="8446" width="0.140625" style="28" customWidth="1"/>
    <col min="8447" max="8447" width="2.5703125" style="28" customWidth="1"/>
    <col min="8448" max="8448" width="18.5703125" style="28" customWidth="1"/>
    <col min="8449" max="8449" width="1.42578125" style="28" customWidth="1"/>
    <col min="8450" max="8450" width="58.85546875" style="28" customWidth="1"/>
    <col min="8451" max="8452" width="11.42578125" style="28"/>
    <col min="8453" max="8453" width="2.140625" style="28" customWidth="1"/>
    <col min="8454" max="8454" width="11.42578125" style="28"/>
    <col min="8455" max="8455" width="9.5703125" style="28" customWidth="1"/>
    <col min="8456" max="8701" width="11.42578125" style="28"/>
    <col min="8702" max="8702" width="0.140625" style="28" customWidth="1"/>
    <col min="8703" max="8703" width="2.5703125" style="28" customWidth="1"/>
    <col min="8704" max="8704" width="18.5703125" style="28" customWidth="1"/>
    <col min="8705" max="8705" width="1.42578125" style="28" customWidth="1"/>
    <col min="8706" max="8706" width="58.85546875" style="28" customWidth="1"/>
    <col min="8707" max="8708" width="11.42578125" style="28"/>
    <col min="8709" max="8709" width="2.140625" style="28" customWidth="1"/>
    <col min="8710" max="8710" width="11.42578125" style="28"/>
    <col min="8711" max="8711" width="9.5703125" style="28" customWidth="1"/>
    <col min="8712" max="8957" width="11.42578125" style="28"/>
    <col min="8958" max="8958" width="0.140625" style="28" customWidth="1"/>
    <col min="8959" max="8959" width="2.5703125" style="28" customWidth="1"/>
    <col min="8960" max="8960" width="18.5703125" style="28" customWidth="1"/>
    <col min="8961" max="8961" width="1.42578125" style="28" customWidth="1"/>
    <col min="8962" max="8962" width="58.85546875" style="28" customWidth="1"/>
    <col min="8963" max="8964" width="11.42578125" style="28"/>
    <col min="8965" max="8965" width="2.140625" style="28" customWidth="1"/>
    <col min="8966" max="8966" width="11.42578125" style="28"/>
    <col min="8967" max="8967" width="9.5703125" style="28" customWidth="1"/>
    <col min="8968" max="9213" width="11.42578125" style="28"/>
    <col min="9214" max="9214" width="0.140625" style="28" customWidth="1"/>
    <col min="9215" max="9215" width="2.5703125" style="28" customWidth="1"/>
    <col min="9216" max="9216" width="18.5703125" style="28" customWidth="1"/>
    <col min="9217" max="9217" width="1.42578125" style="28" customWidth="1"/>
    <col min="9218" max="9218" width="58.85546875" style="28" customWidth="1"/>
    <col min="9219" max="9220" width="11.42578125" style="28"/>
    <col min="9221" max="9221" width="2.140625" style="28" customWidth="1"/>
    <col min="9222" max="9222" width="11.42578125" style="28"/>
    <col min="9223" max="9223" width="9.5703125" style="28" customWidth="1"/>
    <col min="9224" max="9469" width="11.42578125" style="28"/>
    <col min="9470" max="9470" width="0.140625" style="28" customWidth="1"/>
    <col min="9471" max="9471" width="2.5703125" style="28" customWidth="1"/>
    <col min="9472" max="9472" width="18.5703125" style="28" customWidth="1"/>
    <col min="9473" max="9473" width="1.42578125" style="28" customWidth="1"/>
    <col min="9474" max="9474" width="58.85546875" style="28" customWidth="1"/>
    <col min="9475" max="9476" width="11.42578125" style="28"/>
    <col min="9477" max="9477" width="2.140625" style="28" customWidth="1"/>
    <col min="9478" max="9478" width="11.42578125" style="28"/>
    <col min="9479" max="9479" width="9.5703125" style="28" customWidth="1"/>
    <col min="9480" max="9725" width="11.42578125" style="28"/>
    <col min="9726" max="9726" width="0.140625" style="28" customWidth="1"/>
    <col min="9727" max="9727" width="2.5703125" style="28" customWidth="1"/>
    <col min="9728" max="9728" width="18.5703125" style="28" customWidth="1"/>
    <col min="9729" max="9729" width="1.42578125" style="28" customWidth="1"/>
    <col min="9730" max="9730" width="58.85546875" style="28" customWidth="1"/>
    <col min="9731" max="9732" width="11.42578125" style="28"/>
    <col min="9733" max="9733" width="2.140625" style="28" customWidth="1"/>
    <col min="9734" max="9734" width="11.42578125" style="28"/>
    <col min="9735" max="9735" width="9.5703125" style="28" customWidth="1"/>
    <col min="9736" max="9981" width="11.42578125" style="28"/>
    <col min="9982" max="9982" width="0.140625" style="28" customWidth="1"/>
    <col min="9983" max="9983" width="2.5703125" style="28" customWidth="1"/>
    <col min="9984" max="9984" width="18.5703125" style="28" customWidth="1"/>
    <col min="9985" max="9985" width="1.42578125" style="28" customWidth="1"/>
    <col min="9986" max="9986" width="58.85546875" style="28" customWidth="1"/>
    <col min="9987" max="9988" width="11.42578125" style="28"/>
    <col min="9989" max="9989" width="2.140625" style="28" customWidth="1"/>
    <col min="9990" max="9990" width="11.42578125" style="28"/>
    <col min="9991" max="9991" width="9.5703125" style="28" customWidth="1"/>
    <col min="9992" max="10237" width="11.42578125" style="28"/>
    <col min="10238" max="10238" width="0.140625" style="28" customWidth="1"/>
    <col min="10239" max="10239" width="2.5703125" style="28" customWidth="1"/>
    <col min="10240" max="10240" width="18.5703125" style="28" customWidth="1"/>
    <col min="10241" max="10241" width="1.42578125" style="28" customWidth="1"/>
    <col min="10242" max="10242" width="58.85546875" style="28" customWidth="1"/>
    <col min="10243" max="10244" width="11.42578125" style="28"/>
    <col min="10245" max="10245" width="2.140625" style="28" customWidth="1"/>
    <col min="10246" max="10246" width="11.42578125" style="28"/>
    <col min="10247" max="10247" width="9.5703125" style="28" customWidth="1"/>
    <col min="10248" max="10493" width="11.42578125" style="28"/>
    <col min="10494" max="10494" width="0.140625" style="28" customWidth="1"/>
    <col min="10495" max="10495" width="2.5703125" style="28" customWidth="1"/>
    <col min="10496" max="10496" width="18.5703125" style="28" customWidth="1"/>
    <col min="10497" max="10497" width="1.42578125" style="28" customWidth="1"/>
    <col min="10498" max="10498" width="58.85546875" style="28" customWidth="1"/>
    <col min="10499" max="10500" width="11.42578125" style="28"/>
    <col min="10501" max="10501" width="2.140625" style="28" customWidth="1"/>
    <col min="10502" max="10502" width="11.42578125" style="28"/>
    <col min="10503" max="10503" width="9.5703125" style="28" customWidth="1"/>
    <col min="10504" max="10749" width="11.42578125" style="28"/>
    <col min="10750" max="10750" width="0.140625" style="28" customWidth="1"/>
    <col min="10751" max="10751" width="2.5703125" style="28" customWidth="1"/>
    <col min="10752" max="10752" width="18.5703125" style="28" customWidth="1"/>
    <col min="10753" max="10753" width="1.42578125" style="28" customWidth="1"/>
    <col min="10754" max="10754" width="58.85546875" style="28" customWidth="1"/>
    <col min="10755" max="10756" width="11.42578125" style="28"/>
    <col min="10757" max="10757" width="2.140625" style="28" customWidth="1"/>
    <col min="10758" max="10758" width="11.42578125" style="28"/>
    <col min="10759" max="10759" width="9.5703125" style="28" customWidth="1"/>
    <col min="10760" max="11005" width="11.42578125" style="28"/>
    <col min="11006" max="11006" width="0.140625" style="28" customWidth="1"/>
    <col min="11007" max="11007" width="2.5703125" style="28" customWidth="1"/>
    <col min="11008" max="11008" width="18.5703125" style="28" customWidth="1"/>
    <col min="11009" max="11009" width="1.42578125" style="28" customWidth="1"/>
    <col min="11010" max="11010" width="58.85546875" style="28" customWidth="1"/>
    <col min="11011" max="11012" width="11.42578125" style="28"/>
    <col min="11013" max="11013" width="2.140625" style="28" customWidth="1"/>
    <col min="11014" max="11014" width="11.42578125" style="28"/>
    <col min="11015" max="11015" width="9.5703125" style="28" customWidth="1"/>
    <col min="11016" max="11261" width="11.42578125" style="28"/>
    <col min="11262" max="11262" width="0.140625" style="28" customWidth="1"/>
    <col min="11263" max="11263" width="2.5703125" style="28" customWidth="1"/>
    <col min="11264" max="11264" width="18.5703125" style="28" customWidth="1"/>
    <col min="11265" max="11265" width="1.42578125" style="28" customWidth="1"/>
    <col min="11266" max="11266" width="58.85546875" style="28" customWidth="1"/>
    <col min="11267" max="11268" width="11.42578125" style="28"/>
    <col min="11269" max="11269" width="2.140625" style="28" customWidth="1"/>
    <col min="11270" max="11270" width="11.42578125" style="28"/>
    <col min="11271" max="11271" width="9.5703125" style="28" customWidth="1"/>
    <col min="11272" max="11517" width="11.42578125" style="28"/>
    <col min="11518" max="11518" width="0.140625" style="28" customWidth="1"/>
    <col min="11519" max="11519" width="2.5703125" style="28" customWidth="1"/>
    <col min="11520" max="11520" width="18.5703125" style="28" customWidth="1"/>
    <col min="11521" max="11521" width="1.42578125" style="28" customWidth="1"/>
    <col min="11522" max="11522" width="58.85546875" style="28" customWidth="1"/>
    <col min="11523" max="11524" width="11.42578125" style="28"/>
    <col min="11525" max="11525" width="2.140625" style="28" customWidth="1"/>
    <col min="11526" max="11526" width="11.42578125" style="28"/>
    <col min="11527" max="11527" width="9.5703125" style="28" customWidth="1"/>
    <col min="11528" max="11773" width="11.42578125" style="28"/>
    <col min="11774" max="11774" width="0.140625" style="28" customWidth="1"/>
    <col min="11775" max="11775" width="2.5703125" style="28" customWidth="1"/>
    <col min="11776" max="11776" width="18.5703125" style="28" customWidth="1"/>
    <col min="11777" max="11777" width="1.42578125" style="28" customWidth="1"/>
    <col min="11778" max="11778" width="58.85546875" style="28" customWidth="1"/>
    <col min="11779" max="11780" width="11.42578125" style="28"/>
    <col min="11781" max="11781" width="2.140625" style="28" customWidth="1"/>
    <col min="11782" max="11782" width="11.42578125" style="28"/>
    <col min="11783" max="11783" width="9.5703125" style="28" customWidth="1"/>
    <col min="11784" max="12029" width="11.42578125" style="28"/>
    <col min="12030" max="12030" width="0.140625" style="28" customWidth="1"/>
    <col min="12031" max="12031" width="2.5703125" style="28" customWidth="1"/>
    <col min="12032" max="12032" width="18.5703125" style="28" customWidth="1"/>
    <col min="12033" max="12033" width="1.42578125" style="28" customWidth="1"/>
    <col min="12034" max="12034" width="58.85546875" style="28" customWidth="1"/>
    <col min="12035" max="12036" width="11.42578125" style="28"/>
    <col min="12037" max="12037" width="2.140625" style="28" customWidth="1"/>
    <col min="12038" max="12038" width="11.42578125" style="28"/>
    <col min="12039" max="12039" width="9.5703125" style="28" customWidth="1"/>
    <col min="12040" max="12285" width="11.42578125" style="28"/>
    <col min="12286" max="12286" width="0.140625" style="28" customWidth="1"/>
    <col min="12287" max="12287" width="2.5703125" style="28" customWidth="1"/>
    <col min="12288" max="12288" width="18.5703125" style="28" customWidth="1"/>
    <col min="12289" max="12289" width="1.42578125" style="28" customWidth="1"/>
    <col min="12290" max="12290" width="58.85546875" style="28" customWidth="1"/>
    <col min="12291" max="12292" width="11.42578125" style="28"/>
    <col min="12293" max="12293" width="2.140625" style="28" customWidth="1"/>
    <col min="12294" max="12294" width="11.42578125" style="28"/>
    <col min="12295" max="12295" width="9.5703125" style="28" customWidth="1"/>
    <col min="12296" max="12541" width="11.42578125" style="28"/>
    <col min="12542" max="12542" width="0.140625" style="28" customWidth="1"/>
    <col min="12543" max="12543" width="2.5703125" style="28" customWidth="1"/>
    <col min="12544" max="12544" width="18.5703125" style="28" customWidth="1"/>
    <col min="12545" max="12545" width="1.42578125" style="28" customWidth="1"/>
    <col min="12546" max="12546" width="58.85546875" style="28" customWidth="1"/>
    <col min="12547" max="12548" width="11.42578125" style="28"/>
    <col min="12549" max="12549" width="2.140625" style="28" customWidth="1"/>
    <col min="12550" max="12550" width="11.42578125" style="28"/>
    <col min="12551" max="12551" width="9.5703125" style="28" customWidth="1"/>
    <col min="12552" max="12797" width="11.42578125" style="28"/>
    <col min="12798" max="12798" width="0.140625" style="28" customWidth="1"/>
    <col min="12799" max="12799" width="2.5703125" style="28" customWidth="1"/>
    <col min="12800" max="12800" width="18.5703125" style="28" customWidth="1"/>
    <col min="12801" max="12801" width="1.42578125" style="28" customWidth="1"/>
    <col min="12802" max="12802" width="58.85546875" style="28" customWidth="1"/>
    <col min="12803" max="12804" width="11.42578125" style="28"/>
    <col min="12805" max="12805" width="2.140625" style="28" customWidth="1"/>
    <col min="12806" max="12806" width="11.42578125" style="28"/>
    <col min="12807" max="12807" width="9.5703125" style="28" customWidth="1"/>
    <col min="12808" max="13053" width="11.42578125" style="28"/>
    <col min="13054" max="13054" width="0.140625" style="28" customWidth="1"/>
    <col min="13055" max="13055" width="2.5703125" style="28" customWidth="1"/>
    <col min="13056" max="13056" width="18.5703125" style="28" customWidth="1"/>
    <col min="13057" max="13057" width="1.42578125" style="28" customWidth="1"/>
    <col min="13058" max="13058" width="58.85546875" style="28" customWidth="1"/>
    <col min="13059" max="13060" width="11.42578125" style="28"/>
    <col min="13061" max="13061" width="2.140625" style="28" customWidth="1"/>
    <col min="13062" max="13062" width="11.42578125" style="28"/>
    <col min="13063" max="13063" width="9.5703125" style="28" customWidth="1"/>
    <col min="13064" max="13309" width="11.42578125" style="28"/>
    <col min="13310" max="13310" width="0.140625" style="28" customWidth="1"/>
    <col min="13311" max="13311" width="2.5703125" style="28" customWidth="1"/>
    <col min="13312" max="13312" width="18.5703125" style="28" customWidth="1"/>
    <col min="13313" max="13313" width="1.42578125" style="28" customWidth="1"/>
    <col min="13314" max="13314" width="58.85546875" style="28" customWidth="1"/>
    <col min="13315" max="13316" width="11.42578125" style="28"/>
    <col min="13317" max="13317" width="2.140625" style="28" customWidth="1"/>
    <col min="13318" max="13318" width="11.42578125" style="28"/>
    <col min="13319" max="13319" width="9.5703125" style="28" customWidth="1"/>
    <col min="13320" max="13565" width="11.42578125" style="28"/>
    <col min="13566" max="13566" width="0.140625" style="28" customWidth="1"/>
    <col min="13567" max="13567" width="2.5703125" style="28" customWidth="1"/>
    <col min="13568" max="13568" width="18.5703125" style="28" customWidth="1"/>
    <col min="13569" max="13569" width="1.42578125" style="28" customWidth="1"/>
    <col min="13570" max="13570" width="58.85546875" style="28" customWidth="1"/>
    <col min="13571" max="13572" width="11.42578125" style="28"/>
    <col min="13573" max="13573" width="2.140625" style="28" customWidth="1"/>
    <col min="13574" max="13574" width="11.42578125" style="28"/>
    <col min="13575" max="13575" width="9.5703125" style="28" customWidth="1"/>
    <col min="13576" max="13821" width="11.42578125" style="28"/>
    <col min="13822" max="13822" width="0.140625" style="28" customWidth="1"/>
    <col min="13823" max="13823" width="2.5703125" style="28" customWidth="1"/>
    <col min="13824" max="13824" width="18.5703125" style="28" customWidth="1"/>
    <col min="13825" max="13825" width="1.42578125" style="28" customWidth="1"/>
    <col min="13826" max="13826" width="58.85546875" style="28" customWidth="1"/>
    <col min="13827" max="13828" width="11.42578125" style="28"/>
    <col min="13829" max="13829" width="2.140625" style="28" customWidth="1"/>
    <col min="13830" max="13830" width="11.42578125" style="28"/>
    <col min="13831" max="13831" width="9.5703125" style="28" customWidth="1"/>
    <col min="13832" max="14077" width="11.42578125" style="28"/>
    <col min="14078" max="14078" width="0.140625" style="28" customWidth="1"/>
    <col min="14079" max="14079" width="2.5703125" style="28" customWidth="1"/>
    <col min="14080" max="14080" width="18.5703125" style="28" customWidth="1"/>
    <col min="14081" max="14081" width="1.42578125" style="28" customWidth="1"/>
    <col min="14082" max="14082" width="58.85546875" style="28" customWidth="1"/>
    <col min="14083" max="14084" width="11.42578125" style="28"/>
    <col min="14085" max="14085" width="2.140625" style="28" customWidth="1"/>
    <col min="14086" max="14086" width="11.42578125" style="28"/>
    <col min="14087" max="14087" width="9.5703125" style="28" customWidth="1"/>
    <col min="14088" max="14333" width="11.42578125" style="28"/>
    <col min="14334" max="14334" width="0.140625" style="28" customWidth="1"/>
    <col min="14335" max="14335" width="2.5703125" style="28" customWidth="1"/>
    <col min="14336" max="14336" width="18.5703125" style="28" customWidth="1"/>
    <col min="14337" max="14337" width="1.42578125" style="28" customWidth="1"/>
    <col min="14338" max="14338" width="58.85546875" style="28" customWidth="1"/>
    <col min="14339" max="14340" width="11.42578125" style="28"/>
    <col min="14341" max="14341" width="2.140625" style="28" customWidth="1"/>
    <col min="14342" max="14342" width="11.42578125" style="28"/>
    <col min="14343" max="14343" width="9.5703125" style="28" customWidth="1"/>
    <col min="14344" max="14589" width="11.42578125" style="28"/>
    <col min="14590" max="14590" width="0.140625" style="28" customWidth="1"/>
    <col min="14591" max="14591" width="2.5703125" style="28" customWidth="1"/>
    <col min="14592" max="14592" width="18.5703125" style="28" customWidth="1"/>
    <col min="14593" max="14593" width="1.42578125" style="28" customWidth="1"/>
    <col min="14594" max="14594" width="58.85546875" style="28" customWidth="1"/>
    <col min="14595" max="14596" width="11.42578125" style="28"/>
    <col min="14597" max="14597" width="2.140625" style="28" customWidth="1"/>
    <col min="14598" max="14598" width="11.42578125" style="28"/>
    <col min="14599" max="14599" width="9.5703125" style="28" customWidth="1"/>
    <col min="14600" max="14845" width="11.42578125" style="28"/>
    <col min="14846" max="14846" width="0.140625" style="28" customWidth="1"/>
    <col min="14847" max="14847" width="2.5703125" style="28" customWidth="1"/>
    <col min="14848" max="14848" width="18.5703125" style="28" customWidth="1"/>
    <col min="14849" max="14849" width="1.42578125" style="28" customWidth="1"/>
    <col min="14850" max="14850" width="58.85546875" style="28" customWidth="1"/>
    <col min="14851" max="14852" width="11.42578125" style="28"/>
    <col min="14853" max="14853" width="2.140625" style="28" customWidth="1"/>
    <col min="14854" max="14854" width="11.42578125" style="28"/>
    <col min="14855" max="14855" width="9.5703125" style="28" customWidth="1"/>
    <col min="14856" max="15101" width="11.42578125" style="28"/>
    <col min="15102" max="15102" width="0.140625" style="28" customWidth="1"/>
    <col min="15103" max="15103" width="2.5703125" style="28" customWidth="1"/>
    <col min="15104" max="15104" width="18.5703125" style="28" customWidth="1"/>
    <col min="15105" max="15105" width="1.42578125" style="28" customWidth="1"/>
    <col min="15106" max="15106" width="58.85546875" style="28" customWidth="1"/>
    <col min="15107" max="15108" width="11.42578125" style="28"/>
    <col min="15109" max="15109" width="2.140625" style="28" customWidth="1"/>
    <col min="15110" max="15110" width="11.42578125" style="28"/>
    <col min="15111" max="15111" width="9.5703125" style="28" customWidth="1"/>
    <col min="15112" max="15357" width="11.42578125" style="28"/>
    <col min="15358" max="15358" width="0.140625" style="28" customWidth="1"/>
    <col min="15359" max="15359" width="2.5703125" style="28" customWidth="1"/>
    <col min="15360" max="15360" width="18.5703125" style="28" customWidth="1"/>
    <col min="15361" max="15361" width="1.42578125" style="28" customWidth="1"/>
    <col min="15362" max="15362" width="58.85546875" style="28" customWidth="1"/>
    <col min="15363" max="15364" width="11.42578125" style="28"/>
    <col min="15365" max="15365" width="2.140625" style="28" customWidth="1"/>
    <col min="15366" max="15366" width="11.42578125" style="28"/>
    <col min="15367" max="15367" width="9.5703125" style="28" customWidth="1"/>
    <col min="15368" max="15613" width="11.42578125" style="28"/>
    <col min="15614" max="15614" width="0.140625" style="28" customWidth="1"/>
    <col min="15615" max="15615" width="2.5703125" style="28" customWidth="1"/>
    <col min="15616" max="15616" width="18.5703125" style="28" customWidth="1"/>
    <col min="15617" max="15617" width="1.42578125" style="28" customWidth="1"/>
    <col min="15618" max="15618" width="58.85546875" style="28" customWidth="1"/>
    <col min="15619" max="15620" width="11.42578125" style="28"/>
    <col min="15621" max="15621" width="2.140625" style="28" customWidth="1"/>
    <col min="15622" max="15622" width="11.42578125" style="28"/>
    <col min="15623" max="15623" width="9.5703125" style="28" customWidth="1"/>
    <col min="15624" max="15869" width="11.42578125" style="28"/>
    <col min="15870" max="15870" width="0.140625" style="28" customWidth="1"/>
    <col min="15871" max="15871" width="2.5703125" style="28" customWidth="1"/>
    <col min="15872" max="15872" width="18.5703125" style="28" customWidth="1"/>
    <col min="15873" max="15873" width="1.42578125" style="28" customWidth="1"/>
    <col min="15874" max="15874" width="58.85546875" style="28" customWidth="1"/>
    <col min="15875" max="15876" width="11.42578125" style="28"/>
    <col min="15877" max="15877" width="2.140625" style="28" customWidth="1"/>
    <col min="15878" max="15878" width="11.42578125" style="28"/>
    <col min="15879" max="15879" width="9.5703125" style="28" customWidth="1"/>
    <col min="15880" max="16125" width="11.42578125" style="28"/>
    <col min="16126" max="16126" width="0.140625" style="28" customWidth="1"/>
    <col min="16127" max="16127" width="2.5703125" style="28" customWidth="1"/>
    <col min="16128" max="16128" width="18.5703125" style="28" customWidth="1"/>
    <col min="16129" max="16129" width="1.42578125" style="28" customWidth="1"/>
    <col min="16130" max="16130" width="58.85546875" style="28" customWidth="1"/>
    <col min="16131" max="16132" width="11.42578125" style="28"/>
    <col min="16133" max="16133" width="2.140625" style="28" customWidth="1"/>
    <col min="16134" max="16134" width="11.42578125" style="28"/>
    <col min="16135" max="16135" width="9.5703125" style="28" customWidth="1"/>
    <col min="16136" max="16384" width="11.42578125" style="28"/>
  </cols>
  <sheetData>
    <row r="1" spans="2:12" s="29" customFormat="1" ht="0.75" customHeight="1"/>
    <row r="2" spans="2:12" s="29" customFormat="1" ht="21" customHeight="1">
      <c r="E2" s="27" t="s">
        <v>19</v>
      </c>
    </row>
    <row r="3" spans="2:12" s="29" customFormat="1" ht="15" customHeight="1">
      <c r="E3" s="43" t="str">
        <f>Indice!E3</f>
        <v>Julio 2026</v>
      </c>
    </row>
    <row r="4" spans="2:12" s="31" customFormat="1" ht="20.25" customHeight="1">
      <c r="B4" s="39"/>
      <c r="C4" s="25" t="s">
        <v>39</v>
      </c>
    </row>
    <row r="5" spans="2:12" s="31" customFormat="1" ht="12.75" customHeight="1">
      <c r="B5" s="39"/>
      <c r="C5" s="42"/>
    </row>
    <row r="6" spans="2:12" s="31" customFormat="1" ht="13.5" customHeight="1">
      <c r="B6" s="39"/>
      <c r="C6" s="38"/>
      <c r="D6" s="37"/>
      <c r="E6" s="37"/>
    </row>
    <row r="7" spans="2:12" s="31" customFormat="1" ht="12.75" customHeight="1">
      <c r="B7" s="39"/>
      <c r="C7" s="263" t="s">
        <v>100</v>
      </c>
      <c r="D7" s="37"/>
      <c r="E7" s="41"/>
    </row>
    <row r="8" spans="2:12" s="31" customFormat="1" ht="12.75" customHeight="1">
      <c r="B8" s="39"/>
      <c r="C8" s="263"/>
      <c r="D8" s="37"/>
      <c r="E8" s="41"/>
      <c r="F8" s="44"/>
      <c r="J8" s="30"/>
      <c r="K8" s="30"/>
      <c r="L8" s="30"/>
    </row>
    <row r="9" spans="2:12" s="31" customFormat="1" ht="12.75" customHeight="1">
      <c r="B9" s="39"/>
      <c r="C9" s="263"/>
      <c r="D9" s="37"/>
      <c r="E9" s="41"/>
      <c r="F9" s="44"/>
      <c r="J9" s="30"/>
      <c r="K9" s="78"/>
      <c r="L9" s="79"/>
    </row>
    <row r="10" spans="2:12" s="31" customFormat="1" ht="12.75" customHeight="1">
      <c r="B10" s="39"/>
      <c r="C10" s="33" t="str">
        <f>CONCATENATE(TEXT(SUM(Dat_01!C33:C46),"0.0")," MW")</f>
        <v>3.439 MW</v>
      </c>
      <c r="D10" s="37"/>
      <c r="E10" s="41"/>
      <c r="F10" s="44"/>
      <c r="J10" s="30"/>
      <c r="K10" s="80"/>
      <c r="L10" s="77"/>
    </row>
    <row r="11" spans="2:12" s="31" customFormat="1" ht="12.75" customHeight="1">
      <c r="B11" s="39"/>
      <c r="D11" s="37"/>
      <c r="E11" s="37"/>
      <c r="F11" s="44"/>
      <c r="J11" s="30"/>
      <c r="K11" s="80"/>
      <c r="L11" s="77"/>
    </row>
    <row r="12" spans="2:12" s="31" customFormat="1" ht="12.75" customHeight="1">
      <c r="B12" s="39"/>
      <c r="C12" s="40"/>
      <c r="D12" s="37"/>
      <c r="E12" s="37"/>
      <c r="F12" s="44"/>
      <c r="J12" s="30"/>
    </row>
    <row r="13" spans="2:12" s="31" customFormat="1" ht="12.75" customHeight="1">
      <c r="B13" s="39"/>
      <c r="C13" s="40"/>
      <c r="D13" s="37"/>
      <c r="E13" s="37"/>
      <c r="F13" s="44"/>
      <c r="J13" s="30"/>
      <c r="K13" s="30"/>
      <c r="L13" s="30"/>
    </row>
    <row r="14" spans="2:12" s="31" customFormat="1" ht="12.75" customHeight="1">
      <c r="B14" s="39"/>
      <c r="C14" s="40"/>
      <c r="D14" s="37"/>
      <c r="E14" s="37"/>
      <c r="F14" s="44"/>
    </row>
    <row r="15" spans="2:12" s="31" customFormat="1" ht="12.75" customHeight="1">
      <c r="B15" s="39"/>
      <c r="C15" s="40"/>
      <c r="D15" s="37"/>
      <c r="E15" s="37"/>
      <c r="F15" s="44"/>
    </row>
    <row r="16" spans="2:12" s="31" customFormat="1" ht="12.75" customHeight="1">
      <c r="B16" s="39"/>
      <c r="D16" s="37"/>
      <c r="E16" s="37"/>
      <c r="F16" s="44"/>
      <c r="J16" s="30"/>
      <c r="K16" s="30"/>
      <c r="L16" s="30"/>
    </row>
    <row r="17" spans="2:12" s="31" customFormat="1" ht="12.75" customHeight="1">
      <c r="B17" s="39"/>
      <c r="D17" s="37"/>
      <c r="E17" s="37"/>
      <c r="F17" s="44"/>
      <c r="J17" s="30"/>
      <c r="K17" s="30"/>
      <c r="L17" s="30"/>
    </row>
    <row r="18" spans="2:12" s="31" customFormat="1" ht="12.75" customHeight="1">
      <c r="B18" s="39"/>
      <c r="D18" s="37"/>
      <c r="E18" s="37"/>
      <c r="F18" s="142"/>
      <c r="J18" s="30"/>
      <c r="K18" s="30"/>
      <c r="L18" s="30"/>
    </row>
    <row r="19" spans="2:12" s="31" customFormat="1" ht="12.75" customHeight="1">
      <c r="B19" s="39"/>
      <c r="C19" s="40"/>
      <c r="D19" s="37"/>
      <c r="E19" s="37"/>
      <c r="F19" s="44"/>
      <c r="J19" s="30"/>
      <c r="K19" s="30"/>
      <c r="L19" s="30"/>
    </row>
    <row r="20" spans="2:12" s="31" customFormat="1" ht="12.75" customHeight="1">
      <c r="B20" s="39"/>
      <c r="C20" s="38"/>
      <c r="D20" s="37"/>
      <c r="E20" s="37"/>
      <c r="F20" s="44"/>
      <c r="J20" s="30"/>
      <c r="K20" s="30"/>
    </row>
    <row r="21" spans="2:12" s="31" customFormat="1" ht="12.75" customHeight="1">
      <c r="B21" s="39"/>
      <c r="C21" s="38"/>
      <c r="D21" s="37"/>
      <c r="E21" s="37"/>
      <c r="F21" s="44"/>
      <c r="J21" s="30"/>
      <c r="K21" s="30"/>
    </row>
    <row r="22" spans="2:12" s="31" customFormat="1" ht="12.75" customHeight="1">
      <c r="B22" s="39"/>
      <c r="C22" s="38"/>
      <c r="D22" s="37"/>
      <c r="E22" s="37"/>
      <c r="J22" s="30"/>
      <c r="K22" s="30"/>
    </row>
    <row r="23" spans="2:12">
      <c r="E23" s="36"/>
      <c r="J23" s="31"/>
      <c r="K23" s="31"/>
    </row>
    <row r="24" spans="2:12" ht="12.75" customHeight="1">
      <c r="C24" s="263" t="s">
        <v>108</v>
      </c>
      <c r="E24" s="35"/>
      <c r="J24" s="31"/>
      <c r="K24" s="31"/>
    </row>
    <row r="25" spans="2:12">
      <c r="C25" s="263"/>
      <c r="E25" s="34"/>
      <c r="J25" s="30"/>
      <c r="K25" s="30"/>
    </row>
    <row r="26" spans="2:12" ht="12.75" customHeight="1">
      <c r="C26" s="33"/>
      <c r="J26" s="78"/>
      <c r="K26" s="79"/>
    </row>
    <row r="27" spans="2:12">
      <c r="C27" s="64"/>
      <c r="J27" s="80"/>
      <c r="K27" s="77"/>
    </row>
    <row r="28" spans="2:12">
      <c r="C28" s="64"/>
      <c r="F28" s="44"/>
      <c r="J28" s="80"/>
      <c r="K28" s="77"/>
    </row>
    <row r="29" spans="2:12">
      <c r="C29" s="32"/>
      <c r="F29" s="44"/>
      <c r="J29" s="31"/>
      <c r="K29" s="31"/>
    </row>
    <row r="30" spans="2:12">
      <c r="F30" s="44"/>
      <c r="J30" s="30"/>
      <c r="K30" s="30"/>
    </row>
    <row r="31" spans="2:12">
      <c r="F31" s="44"/>
      <c r="J31" s="31"/>
      <c r="K31" s="31"/>
    </row>
    <row r="32" spans="2:12">
      <c r="F32" s="44"/>
      <c r="J32" s="31"/>
      <c r="K32" s="31"/>
    </row>
    <row r="33" spans="6:11">
      <c r="F33" s="44"/>
      <c r="J33" s="30"/>
      <c r="K33" s="30"/>
    </row>
    <row r="34" spans="6:11">
      <c r="F34" s="44"/>
      <c r="J34" s="30"/>
      <c r="K34" s="30"/>
    </row>
    <row r="35" spans="6:11">
      <c r="F35" s="44"/>
      <c r="J35" s="30"/>
      <c r="K35" s="30"/>
    </row>
    <row r="36" spans="6:11">
      <c r="F36" s="44"/>
      <c r="J36" s="30"/>
      <c r="K36" s="30"/>
    </row>
    <row r="37" spans="6:11">
      <c r="F37" s="44"/>
    </row>
    <row r="38" spans="6:11">
      <c r="F38" s="44"/>
    </row>
    <row r="39" spans="6:11">
      <c r="F39" s="44"/>
    </row>
  </sheetData>
  <mergeCells count="2">
    <mergeCell ref="C24:C25"/>
    <mergeCell ref="C7:C9"/>
  </mergeCells>
  <printOptions horizontalCentered="1" verticalCentered="1"/>
  <pageMargins left="0.78740157480314965" right="0.78740157480314965" top="0.98425196850393704" bottom="0.98425196850393704" header="0" footer="0"/>
  <pageSetup paperSize="9" scale="91" orientation="landscape" r:id="rId1"/>
  <headerFooter alignWithMargins="0"/>
  <ignoredErrors>
    <ignoredError sqref="C10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8"/>
  <dimension ref="A1:T45"/>
  <sheetViews>
    <sheetView showGridLines="0" showRowColHeaders="0" zoomScaleNormal="100" workbookViewId="0">
      <selection activeCell="B2" sqref="B2"/>
    </sheetView>
  </sheetViews>
  <sheetFormatPr baseColWidth="10" defaultRowHeight="15"/>
  <cols>
    <col min="1" max="1" width="0.140625" style="47" customWidth="1"/>
    <col min="2" max="2" width="2.5703125" style="47" customWidth="1"/>
    <col min="3" max="3" width="23.5703125" style="47" customWidth="1"/>
    <col min="4" max="4" width="1.42578125" style="47" customWidth="1"/>
    <col min="5" max="5" width="105.5703125" style="47" customWidth="1"/>
    <col min="6" max="6" width="10.5703125" style="47" customWidth="1"/>
    <col min="7" max="7" width="21" style="47" bestFit="1" customWidth="1"/>
    <col min="8" max="244" width="11.42578125" style="47"/>
    <col min="245" max="245" width="0.140625" style="47" customWidth="1"/>
    <col min="246" max="246" width="2.5703125" style="47" customWidth="1"/>
    <col min="247" max="247" width="18.5703125" style="47" customWidth="1"/>
    <col min="248" max="248" width="1.42578125" style="47" customWidth="1"/>
    <col min="249" max="249" width="30.5703125" style="47" customWidth="1"/>
    <col min="250" max="254" width="10.5703125" style="47" customWidth="1"/>
    <col min="255" max="500" width="11.42578125" style="47"/>
    <col min="501" max="501" width="0.140625" style="47" customWidth="1"/>
    <col min="502" max="502" width="2.5703125" style="47" customWidth="1"/>
    <col min="503" max="503" width="18.5703125" style="47" customWidth="1"/>
    <col min="504" max="504" width="1.42578125" style="47" customWidth="1"/>
    <col min="505" max="505" width="30.5703125" style="47" customWidth="1"/>
    <col min="506" max="510" width="10.5703125" style="47" customWidth="1"/>
    <col min="511" max="756" width="11.42578125" style="47"/>
    <col min="757" max="757" width="0.140625" style="47" customWidth="1"/>
    <col min="758" max="758" width="2.5703125" style="47" customWidth="1"/>
    <col min="759" max="759" width="18.5703125" style="47" customWidth="1"/>
    <col min="760" max="760" width="1.42578125" style="47" customWidth="1"/>
    <col min="761" max="761" width="30.5703125" style="47" customWidth="1"/>
    <col min="762" max="766" width="10.5703125" style="47" customWidth="1"/>
    <col min="767" max="1012" width="11.42578125" style="47"/>
    <col min="1013" max="1013" width="0.140625" style="47" customWidth="1"/>
    <col min="1014" max="1014" width="2.5703125" style="47" customWidth="1"/>
    <col min="1015" max="1015" width="18.5703125" style="47" customWidth="1"/>
    <col min="1016" max="1016" width="1.42578125" style="47" customWidth="1"/>
    <col min="1017" max="1017" width="30.5703125" style="47" customWidth="1"/>
    <col min="1018" max="1022" width="10.5703125" style="47" customWidth="1"/>
    <col min="1023" max="1268" width="11.42578125" style="47"/>
    <col min="1269" max="1269" width="0.140625" style="47" customWidth="1"/>
    <col min="1270" max="1270" width="2.5703125" style="47" customWidth="1"/>
    <col min="1271" max="1271" width="18.5703125" style="47" customWidth="1"/>
    <col min="1272" max="1272" width="1.42578125" style="47" customWidth="1"/>
    <col min="1273" max="1273" width="30.5703125" style="47" customWidth="1"/>
    <col min="1274" max="1278" width="10.5703125" style="47" customWidth="1"/>
    <col min="1279" max="1524" width="11.42578125" style="47"/>
    <col min="1525" max="1525" width="0.140625" style="47" customWidth="1"/>
    <col min="1526" max="1526" width="2.5703125" style="47" customWidth="1"/>
    <col min="1527" max="1527" width="18.5703125" style="47" customWidth="1"/>
    <col min="1528" max="1528" width="1.42578125" style="47" customWidth="1"/>
    <col min="1529" max="1529" width="30.5703125" style="47" customWidth="1"/>
    <col min="1530" max="1534" width="10.5703125" style="47" customWidth="1"/>
    <col min="1535" max="1780" width="11.42578125" style="47"/>
    <col min="1781" max="1781" width="0.140625" style="47" customWidth="1"/>
    <col min="1782" max="1782" width="2.5703125" style="47" customWidth="1"/>
    <col min="1783" max="1783" width="18.5703125" style="47" customWidth="1"/>
    <col min="1784" max="1784" width="1.42578125" style="47" customWidth="1"/>
    <col min="1785" max="1785" width="30.5703125" style="47" customWidth="1"/>
    <col min="1786" max="1790" width="10.5703125" style="47" customWidth="1"/>
    <col min="1791" max="2036" width="11.42578125" style="47"/>
    <col min="2037" max="2037" width="0.140625" style="47" customWidth="1"/>
    <col min="2038" max="2038" width="2.5703125" style="47" customWidth="1"/>
    <col min="2039" max="2039" width="18.5703125" style="47" customWidth="1"/>
    <col min="2040" max="2040" width="1.42578125" style="47" customWidth="1"/>
    <col min="2041" max="2041" width="30.5703125" style="47" customWidth="1"/>
    <col min="2042" max="2046" width="10.5703125" style="47" customWidth="1"/>
    <col min="2047" max="2292" width="11.42578125" style="47"/>
    <col min="2293" max="2293" width="0.140625" style="47" customWidth="1"/>
    <col min="2294" max="2294" width="2.5703125" style="47" customWidth="1"/>
    <col min="2295" max="2295" width="18.5703125" style="47" customWidth="1"/>
    <col min="2296" max="2296" width="1.42578125" style="47" customWidth="1"/>
    <col min="2297" max="2297" width="30.5703125" style="47" customWidth="1"/>
    <col min="2298" max="2302" width="10.5703125" style="47" customWidth="1"/>
    <col min="2303" max="2548" width="11.42578125" style="47"/>
    <col min="2549" max="2549" width="0.140625" style="47" customWidth="1"/>
    <col min="2550" max="2550" width="2.5703125" style="47" customWidth="1"/>
    <col min="2551" max="2551" width="18.5703125" style="47" customWidth="1"/>
    <col min="2552" max="2552" width="1.42578125" style="47" customWidth="1"/>
    <col min="2553" max="2553" width="30.5703125" style="47" customWidth="1"/>
    <col min="2554" max="2558" width="10.5703125" style="47" customWidth="1"/>
    <col min="2559" max="2804" width="11.42578125" style="47"/>
    <col min="2805" max="2805" width="0.140625" style="47" customWidth="1"/>
    <col min="2806" max="2806" width="2.5703125" style="47" customWidth="1"/>
    <col min="2807" max="2807" width="18.5703125" style="47" customWidth="1"/>
    <col min="2808" max="2808" width="1.42578125" style="47" customWidth="1"/>
    <col min="2809" max="2809" width="30.5703125" style="47" customWidth="1"/>
    <col min="2810" max="2814" width="10.5703125" style="47" customWidth="1"/>
    <col min="2815" max="3060" width="11.42578125" style="47"/>
    <col min="3061" max="3061" width="0.140625" style="47" customWidth="1"/>
    <col min="3062" max="3062" width="2.5703125" style="47" customWidth="1"/>
    <col min="3063" max="3063" width="18.5703125" style="47" customWidth="1"/>
    <col min="3064" max="3064" width="1.42578125" style="47" customWidth="1"/>
    <col min="3065" max="3065" width="30.5703125" style="47" customWidth="1"/>
    <col min="3066" max="3070" width="10.5703125" style="47" customWidth="1"/>
    <col min="3071" max="3316" width="11.42578125" style="47"/>
    <col min="3317" max="3317" width="0.140625" style="47" customWidth="1"/>
    <col min="3318" max="3318" width="2.5703125" style="47" customWidth="1"/>
    <col min="3319" max="3319" width="18.5703125" style="47" customWidth="1"/>
    <col min="3320" max="3320" width="1.42578125" style="47" customWidth="1"/>
    <col min="3321" max="3321" width="30.5703125" style="47" customWidth="1"/>
    <col min="3322" max="3326" width="10.5703125" style="47" customWidth="1"/>
    <col min="3327" max="3572" width="11.42578125" style="47"/>
    <col min="3573" max="3573" width="0.140625" style="47" customWidth="1"/>
    <col min="3574" max="3574" width="2.5703125" style="47" customWidth="1"/>
    <col min="3575" max="3575" width="18.5703125" style="47" customWidth="1"/>
    <col min="3576" max="3576" width="1.42578125" style="47" customWidth="1"/>
    <col min="3577" max="3577" width="30.5703125" style="47" customWidth="1"/>
    <col min="3578" max="3582" width="10.5703125" style="47" customWidth="1"/>
    <col min="3583" max="3828" width="11.42578125" style="47"/>
    <col min="3829" max="3829" width="0.140625" style="47" customWidth="1"/>
    <col min="3830" max="3830" width="2.5703125" style="47" customWidth="1"/>
    <col min="3831" max="3831" width="18.5703125" style="47" customWidth="1"/>
    <col min="3832" max="3832" width="1.42578125" style="47" customWidth="1"/>
    <col min="3833" max="3833" width="30.5703125" style="47" customWidth="1"/>
    <col min="3834" max="3838" width="10.5703125" style="47" customWidth="1"/>
    <col min="3839" max="4084" width="11.42578125" style="47"/>
    <col min="4085" max="4085" width="0.140625" style="47" customWidth="1"/>
    <col min="4086" max="4086" width="2.5703125" style="47" customWidth="1"/>
    <col min="4087" max="4087" width="18.5703125" style="47" customWidth="1"/>
    <col min="4088" max="4088" width="1.42578125" style="47" customWidth="1"/>
    <col min="4089" max="4089" width="30.5703125" style="47" customWidth="1"/>
    <col min="4090" max="4094" width="10.5703125" style="47" customWidth="1"/>
    <col min="4095" max="4340" width="11.42578125" style="47"/>
    <col min="4341" max="4341" width="0.140625" style="47" customWidth="1"/>
    <col min="4342" max="4342" width="2.5703125" style="47" customWidth="1"/>
    <col min="4343" max="4343" width="18.5703125" style="47" customWidth="1"/>
    <col min="4344" max="4344" width="1.42578125" style="47" customWidth="1"/>
    <col min="4345" max="4345" width="30.5703125" style="47" customWidth="1"/>
    <col min="4346" max="4350" width="10.5703125" style="47" customWidth="1"/>
    <col min="4351" max="4596" width="11.42578125" style="47"/>
    <col min="4597" max="4597" width="0.140625" style="47" customWidth="1"/>
    <col min="4598" max="4598" width="2.5703125" style="47" customWidth="1"/>
    <col min="4599" max="4599" width="18.5703125" style="47" customWidth="1"/>
    <col min="4600" max="4600" width="1.42578125" style="47" customWidth="1"/>
    <col min="4601" max="4601" width="30.5703125" style="47" customWidth="1"/>
    <col min="4602" max="4606" width="10.5703125" style="47" customWidth="1"/>
    <col min="4607" max="4852" width="11.42578125" style="47"/>
    <col min="4853" max="4853" width="0.140625" style="47" customWidth="1"/>
    <col min="4854" max="4854" width="2.5703125" style="47" customWidth="1"/>
    <col min="4855" max="4855" width="18.5703125" style="47" customWidth="1"/>
    <col min="4856" max="4856" width="1.42578125" style="47" customWidth="1"/>
    <col min="4857" max="4857" width="30.5703125" style="47" customWidth="1"/>
    <col min="4858" max="4862" width="10.5703125" style="47" customWidth="1"/>
    <col min="4863" max="5108" width="11.42578125" style="47"/>
    <col min="5109" max="5109" width="0.140625" style="47" customWidth="1"/>
    <col min="5110" max="5110" width="2.5703125" style="47" customWidth="1"/>
    <col min="5111" max="5111" width="18.5703125" style="47" customWidth="1"/>
    <col min="5112" max="5112" width="1.42578125" style="47" customWidth="1"/>
    <col min="5113" max="5113" width="30.5703125" style="47" customWidth="1"/>
    <col min="5114" max="5118" width="10.5703125" style="47" customWidth="1"/>
    <col min="5119" max="5364" width="11.42578125" style="47"/>
    <col min="5365" max="5365" width="0.140625" style="47" customWidth="1"/>
    <col min="5366" max="5366" width="2.5703125" style="47" customWidth="1"/>
    <col min="5367" max="5367" width="18.5703125" style="47" customWidth="1"/>
    <col min="5368" max="5368" width="1.42578125" style="47" customWidth="1"/>
    <col min="5369" max="5369" width="30.5703125" style="47" customWidth="1"/>
    <col min="5370" max="5374" width="10.5703125" style="47" customWidth="1"/>
    <col min="5375" max="5620" width="11.42578125" style="47"/>
    <col min="5621" max="5621" width="0.140625" style="47" customWidth="1"/>
    <col min="5622" max="5622" width="2.5703125" style="47" customWidth="1"/>
    <col min="5623" max="5623" width="18.5703125" style="47" customWidth="1"/>
    <col min="5624" max="5624" width="1.42578125" style="47" customWidth="1"/>
    <col min="5625" max="5625" width="30.5703125" style="47" customWidth="1"/>
    <col min="5626" max="5630" width="10.5703125" style="47" customWidth="1"/>
    <col min="5631" max="5876" width="11.42578125" style="47"/>
    <col min="5877" max="5877" width="0.140625" style="47" customWidth="1"/>
    <col min="5878" max="5878" width="2.5703125" style="47" customWidth="1"/>
    <col min="5879" max="5879" width="18.5703125" style="47" customWidth="1"/>
    <col min="5880" max="5880" width="1.42578125" style="47" customWidth="1"/>
    <col min="5881" max="5881" width="30.5703125" style="47" customWidth="1"/>
    <col min="5882" max="5886" width="10.5703125" style="47" customWidth="1"/>
    <col min="5887" max="6132" width="11.42578125" style="47"/>
    <col min="6133" max="6133" width="0.140625" style="47" customWidth="1"/>
    <col min="6134" max="6134" width="2.5703125" style="47" customWidth="1"/>
    <col min="6135" max="6135" width="18.5703125" style="47" customWidth="1"/>
    <col min="6136" max="6136" width="1.42578125" style="47" customWidth="1"/>
    <col min="6137" max="6137" width="30.5703125" style="47" customWidth="1"/>
    <col min="6138" max="6142" width="10.5703125" style="47" customWidth="1"/>
    <col min="6143" max="6388" width="11.42578125" style="47"/>
    <col min="6389" max="6389" width="0.140625" style="47" customWidth="1"/>
    <col min="6390" max="6390" width="2.5703125" style="47" customWidth="1"/>
    <col min="6391" max="6391" width="18.5703125" style="47" customWidth="1"/>
    <col min="6392" max="6392" width="1.42578125" style="47" customWidth="1"/>
    <col min="6393" max="6393" width="30.5703125" style="47" customWidth="1"/>
    <col min="6394" max="6398" width="10.5703125" style="47" customWidth="1"/>
    <col min="6399" max="6644" width="11.42578125" style="47"/>
    <col min="6645" max="6645" width="0.140625" style="47" customWidth="1"/>
    <col min="6646" max="6646" width="2.5703125" style="47" customWidth="1"/>
    <col min="6647" max="6647" width="18.5703125" style="47" customWidth="1"/>
    <col min="6648" max="6648" width="1.42578125" style="47" customWidth="1"/>
    <col min="6649" max="6649" width="30.5703125" style="47" customWidth="1"/>
    <col min="6650" max="6654" width="10.5703125" style="47" customWidth="1"/>
    <col min="6655" max="6900" width="11.42578125" style="47"/>
    <col min="6901" max="6901" width="0.140625" style="47" customWidth="1"/>
    <col min="6902" max="6902" width="2.5703125" style="47" customWidth="1"/>
    <col min="6903" max="6903" width="18.5703125" style="47" customWidth="1"/>
    <col min="6904" max="6904" width="1.42578125" style="47" customWidth="1"/>
    <col min="6905" max="6905" width="30.5703125" style="47" customWidth="1"/>
    <col min="6906" max="6910" width="10.5703125" style="47" customWidth="1"/>
    <col min="6911" max="7156" width="11.42578125" style="47"/>
    <col min="7157" max="7157" width="0.140625" style="47" customWidth="1"/>
    <col min="7158" max="7158" width="2.5703125" style="47" customWidth="1"/>
    <col min="7159" max="7159" width="18.5703125" style="47" customWidth="1"/>
    <col min="7160" max="7160" width="1.42578125" style="47" customWidth="1"/>
    <col min="7161" max="7161" width="30.5703125" style="47" customWidth="1"/>
    <col min="7162" max="7166" width="10.5703125" style="47" customWidth="1"/>
    <col min="7167" max="7412" width="11.42578125" style="47"/>
    <col min="7413" max="7413" width="0.140625" style="47" customWidth="1"/>
    <col min="7414" max="7414" width="2.5703125" style="47" customWidth="1"/>
    <col min="7415" max="7415" width="18.5703125" style="47" customWidth="1"/>
    <col min="7416" max="7416" width="1.42578125" style="47" customWidth="1"/>
    <col min="7417" max="7417" width="30.5703125" style="47" customWidth="1"/>
    <col min="7418" max="7422" width="10.5703125" style="47" customWidth="1"/>
    <col min="7423" max="7668" width="11.42578125" style="47"/>
    <col min="7669" max="7669" width="0.140625" style="47" customWidth="1"/>
    <col min="7670" max="7670" width="2.5703125" style="47" customWidth="1"/>
    <col min="7671" max="7671" width="18.5703125" style="47" customWidth="1"/>
    <col min="7672" max="7672" width="1.42578125" style="47" customWidth="1"/>
    <col min="7673" max="7673" width="30.5703125" style="47" customWidth="1"/>
    <col min="7674" max="7678" width="10.5703125" style="47" customWidth="1"/>
    <col min="7679" max="7924" width="11.42578125" style="47"/>
    <col min="7925" max="7925" width="0.140625" style="47" customWidth="1"/>
    <col min="7926" max="7926" width="2.5703125" style="47" customWidth="1"/>
    <col min="7927" max="7927" width="18.5703125" style="47" customWidth="1"/>
    <col min="7928" max="7928" width="1.42578125" style="47" customWidth="1"/>
    <col min="7929" max="7929" width="30.5703125" style="47" customWidth="1"/>
    <col min="7930" max="7934" width="10.5703125" style="47" customWidth="1"/>
    <col min="7935" max="8180" width="11.42578125" style="47"/>
    <col min="8181" max="8181" width="0.140625" style="47" customWidth="1"/>
    <col min="8182" max="8182" width="2.5703125" style="47" customWidth="1"/>
    <col min="8183" max="8183" width="18.5703125" style="47" customWidth="1"/>
    <col min="8184" max="8184" width="1.42578125" style="47" customWidth="1"/>
    <col min="8185" max="8185" width="30.5703125" style="47" customWidth="1"/>
    <col min="8186" max="8190" width="10.5703125" style="47" customWidth="1"/>
    <col min="8191" max="8436" width="11.42578125" style="47"/>
    <col min="8437" max="8437" width="0.140625" style="47" customWidth="1"/>
    <col min="8438" max="8438" width="2.5703125" style="47" customWidth="1"/>
    <col min="8439" max="8439" width="18.5703125" style="47" customWidth="1"/>
    <col min="8440" max="8440" width="1.42578125" style="47" customWidth="1"/>
    <col min="8441" max="8441" width="30.5703125" style="47" customWidth="1"/>
    <col min="8442" max="8446" width="10.5703125" style="47" customWidth="1"/>
    <col min="8447" max="8692" width="11.42578125" style="47"/>
    <col min="8693" max="8693" width="0.140625" style="47" customWidth="1"/>
    <col min="8694" max="8694" width="2.5703125" style="47" customWidth="1"/>
    <col min="8695" max="8695" width="18.5703125" style="47" customWidth="1"/>
    <col min="8696" max="8696" width="1.42578125" style="47" customWidth="1"/>
    <col min="8697" max="8697" width="30.5703125" style="47" customWidth="1"/>
    <col min="8698" max="8702" width="10.5703125" style="47" customWidth="1"/>
    <col min="8703" max="8948" width="11.42578125" style="47"/>
    <col min="8949" max="8949" width="0.140625" style="47" customWidth="1"/>
    <col min="8950" max="8950" width="2.5703125" style="47" customWidth="1"/>
    <col min="8951" max="8951" width="18.5703125" style="47" customWidth="1"/>
    <col min="8952" max="8952" width="1.42578125" style="47" customWidth="1"/>
    <col min="8953" max="8953" width="30.5703125" style="47" customWidth="1"/>
    <col min="8954" max="8958" width="10.5703125" style="47" customWidth="1"/>
    <col min="8959" max="9204" width="11.42578125" style="47"/>
    <col min="9205" max="9205" width="0.140625" style="47" customWidth="1"/>
    <col min="9206" max="9206" width="2.5703125" style="47" customWidth="1"/>
    <col min="9207" max="9207" width="18.5703125" style="47" customWidth="1"/>
    <col min="9208" max="9208" width="1.42578125" style="47" customWidth="1"/>
    <col min="9209" max="9209" width="30.5703125" style="47" customWidth="1"/>
    <col min="9210" max="9214" width="10.5703125" style="47" customWidth="1"/>
    <col min="9215" max="9460" width="11.42578125" style="47"/>
    <col min="9461" max="9461" width="0.140625" style="47" customWidth="1"/>
    <col min="9462" max="9462" width="2.5703125" style="47" customWidth="1"/>
    <col min="9463" max="9463" width="18.5703125" style="47" customWidth="1"/>
    <col min="9464" max="9464" width="1.42578125" style="47" customWidth="1"/>
    <col min="9465" max="9465" width="30.5703125" style="47" customWidth="1"/>
    <col min="9466" max="9470" width="10.5703125" style="47" customWidth="1"/>
    <col min="9471" max="9716" width="11.42578125" style="47"/>
    <col min="9717" max="9717" width="0.140625" style="47" customWidth="1"/>
    <col min="9718" max="9718" width="2.5703125" style="47" customWidth="1"/>
    <col min="9719" max="9719" width="18.5703125" style="47" customWidth="1"/>
    <col min="9720" max="9720" width="1.42578125" style="47" customWidth="1"/>
    <col min="9721" max="9721" width="30.5703125" style="47" customWidth="1"/>
    <col min="9722" max="9726" width="10.5703125" style="47" customWidth="1"/>
    <col min="9727" max="9972" width="11.42578125" style="47"/>
    <col min="9973" max="9973" width="0.140625" style="47" customWidth="1"/>
    <col min="9974" max="9974" width="2.5703125" style="47" customWidth="1"/>
    <col min="9975" max="9975" width="18.5703125" style="47" customWidth="1"/>
    <col min="9976" max="9976" width="1.42578125" style="47" customWidth="1"/>
    <col min="9977" max="9977" width="30.5703125" style="47" customWidth="1"/>
    <col min="9978" max="9982" width="10.5703125" style="47" customWidth="1"/>
    <col min="9983" max="10228" width="11.42578125" style="47"/>
    <col min="10229" max="10229" width="0.140625" style="47" customWidth="1"/>
    <col min="10230" max="10230" width="2.5703125" style="47" customWidth="1"/>
    <col min="10231" max="10231" width="18.5703125" style="47" customWidth="1"/>
    <col min="10232" max="10232" width="1.42578125" style="47" customWidth="1"/>
    <col min="10233" max="10233" width="30.5703125" style="47" customWidth="1"/>
    <col min="10234" max="10238" width="10.5703125" style="47" customWidth="1"/>
    <col min="10239" max="10484" width="11.42578125" style="47"/>
    <col min="10485" max="10485" width="0.140625" style="47" customWidth="1"/>
    <col min="10486" max="10486" width="2.5703125" style="47" customWidth="1"/>
    <col min="10487" max="10487" width="18.5703125" style="47" customWidth="1"/>
    <col min="10488" max="10488" width="1.42578125" style="47" customWidth="1"/>
    <col min="10489" max="10489" width="30.5703125" style="47" customWidth="1"/>
    <col min="10490" max="10494" width="10.5703125" style="47" customWidth="1"/>
    <col min="10495" max="10740" width="11.42578125" style="47"/>
    <col min="10741" max="10741" width="0.140625" style="47" customWidth="1"/>
    <col min="10742" max="10742" width="2.5703125" style="47" customWidth="1"/>
    <col min="10743" max="10743" width="18.5703125" style="47" customWidth="1"/>
    <col min="10744" max="10744" width="1.42578125" style="47" customWidth="1"/>
    <col min="10745" max="10745" width="30.5703125" style="47" customWidth="1"/>
    <col min="10746" max="10750" width="10.5703125" style="47" customWidth="1"/>
    <col min="10751" max="10996" width="11.42578125" style="47"/>
    <col min="10997" max="10997" width="0.140625" style="47" customWidth="1"/>
    <col min="10998" max="10998" width="2.5703125" style="47" customWidth="1"/>
    <col min="10999" max="10999" width="18.5703125" style="47" customWidth="1"/>
    <col min="11000" max="11000" width="1.42578125" style="47" customWidth="1"/>
    <col min="11001" max="11001" width="30.5703125" style="47" customWidth="1"/>
    <col min="11002" max="11006" width="10.5703125" style="47" customWidth="1"/>
    <col min="11007" max="11252" width="11.42578125" style="47"/>
    <col min="11253" max="11253" width="0.140625" style="47" customWidth="1"/>
    <col min="11254" max="11254" width="2.5703125" style="47" customWidth="1"/>
    <col min="11255" max="11255" width="18.5703125" style="47" customWidth="1"/>
    <col min="11256" max="11256" width="1.42578125" style="47" customWidth="1"/>
    <col min="11257" max="11257" width="30.5703125" style="47" customWidth="1"/>
    <col min="11258" max="11262" width="10.5703125" style="47" customWidth="1"/>
    <col min="11263" max="11508" width="11.42578125" style="47"/>
    <col min="11509" max="11509" width="0.140625" style="47" customWidth="1"/>
    <col min="11510" max="11510" width="2.5703125" style="47" customWidth="1"/>
    <col min="11511" max="11511" width="18.5703125" style="47" customWidth="1"/>
    <col min="11512" max="11512" width="1.42578125" style="47" customWidth="1"/>
    <col min="11513" max="11513" width="30.5703125" style="47" customWidth="1"/>
    <col min="11514" max="11518" width="10.5703125" style="47" customWidth="1"/>
    <col min="11519" max="11764" width="11.42578125" style="47"/>
    <col min="11765" max="11765" width="0.140625" style="47" customWidth="1"/>
    <col min="11766" max="11766" width="2.5703125" style="47" customWidth="1"/>
    <col min="11767" max="11767" width="18.5703125" style="47" customWidth="1"/>
    <col min="11768" max="11768" width="1.42578125" style="47" customWidth="1"/>
    <col min="11769" max="11769" width="30.5703125" style="47" customWidth="1"/>
    <col min="11770" max="11774" width="10.5703125" style="47" customWidth="1"/>
    <col min="11775" max="12020" width="11.42578125" style="47"/>
    <col min="12021" max="12021" width="0.140625" style="47" customWidth="1"/>
    <col min="12022" max="12022" width="2.5703125" style="47" customWidth="1"/>
    <col min="12023" max="12023" width="18.5703125" style="47" customWidth="1"/>
    <col min="12024" max="12024" width="1.42578125" style="47" customWidth="1"/>
    <col min="12025" max="12025" width="30.5703125" style="47" customWidth="1"/>
    <col min="12026" max="12030" width="10.5703125" style="47" customWidth="1"/>
    <col min="12031" max="12276" width="11.42578125" style="47"/>
    <col min="12277" max="12277" width="0.140625" style="47" customWidth="1"/>
    <col min="12278" max="12278" width="2.5703125" style="47" customWidth="1"/>
    <col min="12279" max="12279" width="18.5703125" style="47" customWidth="1"/>
    <col min="12280" max="12280" width="1.42578125" style="47" customWidth="1"/>
    <col min="12281" max="12281" width="30.5703125" style="47" customWidth="1"/>
    <col min="12282" max="12286" width="10.5703125" style="47" customWidth="1"/>
    <col min="12287" max="12532" width="11.42578125" style="47"/>
    <col min="12533" max="12533" width="0.140625" style="47" customWidth="1"/>
    <col min="12534" max="12534" width="2.5703125" style="47" customWidth="1"/>
    <col min="12535" max="12535" width="18.5703125" style="47" customWidth="1"/>
    <col min="12536" max="12536" width="1.42578125" style="47" customWidth="1"/>
    <col min="12537" max="12537" width="30.5703125" style="47" customWidth="1"/>
    <col min="12538" max="12542" width="10.5703125" style="47" customWidth="1"/>
    <col min="12543" max="12788" width="11.42578125" style="47"/>
    <col min="12789" max="12789" width="0.140625" style="47" customWidth="1"/>
    <col min="12790" max="12790" width="2.5703125" style="47" customWidth="1"/>
    <col min="12791" max="12791" width="18.5703125" style="47" customWidth="1"/>
    <col min="12792" max="12792" width="1.42578125" style="47" customWidth="1"/>
    <col min="12793" max="12793" width="30.5703125" style="47" customWidth="1"/>
    <col min="12794" max="12798" width="10.5703125" style="47" customWidth="1"/>
    <col min="12799" max="13044" width="11.42578125" style="47"/>
    <col min="13045" max="13045" width="0.140625" style="47" customWidth="1"/>
    <col min="13046" max="13046" width="2.5703125" style="47" customWidth="1"/>
    <col min="13047" max="13047" width="18.5703125" style="47" customWidth="1"/>
    <col min="13048" max="13048" width="1.42578125" style="47" customWidth="1"/>
    <col min="13049" max="13049" width="30.5703125" style="47" customWidth="1"/>
    <col min="13050" max="13054" width="10.5703125" style="47" customWidth="1"/>
    <col min="13055" max="13300" width="11.42578125" style="47"/>
    <col min="13301" max="13301" width="0.140625" style="47" customWidth="1"/>
    <col min="13302" max="13302" width="2.5703125" style="47" customWidth="1"/>
    <col min="13303" max="13303" width="18.5703125" style="47" customWidth="1"/>
    <col min="13304" max="13304" width="1.42578125" style="47" customWidth="1"/>
    <col min="13305" max="13305" width="30.5703125" style="47" customWidth="1"/>
    <col min="13306" max="13310" width="10.5703125" style="47" customWidth="1"/>
    <col min="13311" max="13556" width="11.42578125" style="47"/>
    <col min="13557" max="13557" width="0.140625" style="47" customWidth="1"/>
    <col min="13558" max="13558" width="2.5703125" style="47" customWidth="1"/>
    <col min="13559" max="13559" width="18.5703125" style="47" customWidth="1"/>
    <col min="13560" max="13560" width="1.42578125" style="47" customWidth="1"/>
    <col min="13561" max="13561" width="30.5703125" style="47" customWidth="1"/>
    <col min="13562" max="13566" width="10.5703125" style="47" customWidth="1"/>
    <col min="13567" max="13812" width="11.42578125" style="47"/>
    <col min="13813" max="13813" width="0.140625" style="47" customWidth="1"/>
    <col min="13814" max="13814" width="2.5703125" style="47" customWidth="1"/>
    <col min="13815" max="13815" width="18.5703125" style="47" customWidth="1"/>
    <col min="13816" max="13816" width="1.42578125" style="47" customWidth="1"/>
    <col min="13817" max="13817" width="30.5703125" style="47" customWidth="1"/>
    <col min="13818" max="13822" width="10.5703125" style="47" customWidth="1"/>
    <col min="13823" max="14068" width="11.42578125" style="47"/>
    <col min="14069" max="14069" width="0.140625" style="47" customWidth="1"/>
    <col min="14070" max="14070" width="2.5703125" style="47" customWidth="1"/>
    <col min="14071" max="14071" width="18.5703125" style="47" customWidth="1"/>
    <col min="14072" max="14072" width="1.42578125" style="47" customWidth="1"/>
    <col min="14073" max="14073" width="30.5703125" style="47" customWidth="1"/>
    <col min="14074" max="14078" width="10.5703125" style="47" customWidth="1"/>
    <col min="14079" max="14324" width="11.42578125" style="47"/>
    <col min="14325" max="14325" width="0.140625" style="47" customWidth="1"/>
    <col min="14326" max="14326" width="2.5703125" style="47" customWidth="1"/>
    <col min="14327" max="14327" width="18.5703125" style="47" customWidth="1"/>
    <col min="14328" max="14328" width="1.42578125" style="47" customWidth="1"/>
    <col min="14329" max="14329" width="30.5703125" style="47" customWidth="1"/>
    <col min="14330" max="14334" width="10.5703125" style="47" customWidth="1"/>
    <col min="14335" max="14580" width="11.42578125" style="47"/>
    <col min="14581" max="14581" width="0.140625" style="47" customWidth="1"/>
    <col min="14582" max="14582" width="2.5703125" style="47" customWidth="1"/>
    <col min="14583" max="14583" width="18.5703125" style="47" customWidth="1"/>
    <col min="14584" max="14584" width="1.42578125" style="47" customWidth="1"/>
    <col min="14585" max="14585" width="30.5703125" style="47" customWidth="1"/>
    <col min="14586" max="14590" width="10.5703125" style="47" customWidth="1"/>
    <col min="14591" max="14836" width="11.42578125" style="47"/>
    <col min="14837" max="14837" width="0.140625" style="47" customWidth="1"/>
    <col min="14838" max="14838" width="2.5703125" style="47" customWidth="1"/>
    <col min="14839" max="14839" width="18.5703125" style="47" customWidth="1"/>
    <col min="14840" max="14840" width="1.42578125" style="47" customWidth="1"/>
    <col min="14841" max="14841" width="30.5703125" style="47" customWidth="1"/>
    <col min="14842" max="14846" width="10.5703125" style="47" customWidth="1"/>
    <col min="14847" max="15092" width="11.42578125" style="47"/>
    <col min="15093" max="15093" width="0.140625" style="47" customWidth="1"/>
    <col min="15094" max="15094" width="2.5703125" style="47" customWidth="1"/>
    <col min="15095" max="15095" width="18.5703125" style="47" customWidth="1"/>
    <col min="15096" max="15096" width="1.42578125" style="47" customWidth="1"/>
    <col min="15097" max="15097" width="30.5703125" style="47" customWidth="1"/>
    <col min="15098" max="15102" width="10.5703125" style="47" customWidth="1"/>
    <col min="15103" max="15348" width="11.42578125" style="47"/>
    <col min="15349" max="15349" width="0.140625" style="47" customWidth="1"/>
    <col min="15350" max="15350" width="2.5703125" style="47" customWidth="1"/>
    <col min="15351" max="15351" width="18.5703125" style="47" customWidth="1"/>
    <col min="15352" max="15352" width="1.42578125" style="47" customWidth="1"/>
    <col min="15353" max="15353" width="30.5703125" style="47" customWidth="1"/>
    <col min="15354" max="15358" width="10.5703125" style="47" customWidth="1"/>
    <col min="15359" max="15604" width="11.42578125" style="47"/>
    <col min="15605" max="15605" width="0.140625" style="47" customWidth="1"/>
    <col min="15606" max="15606" width="2.5703125" style="47" customWidth="1"/>
    <col min="15607" max="15607" width="18.5703125" style="47" customWidth="1"/>
    <col min="15608" max="15608" width="1.42578125" style="47" customWidth="1"/>
    <col min="15609" max="15609" width="30.5703125" style="47" customWidth="1"/>
    <col min="15610" max="15614" width="10.5703125" style="47" customWidth="1"/>
    <col min="15615" max="15860" width="11.42578125" style="47"/>
    <col min="15861" max="15861" width="0.140625" style="47" customWidth="1"/>
    <col min="15862" max="15862" width="2.5703125" style="47" customWidth="1"/>
    <col min="15863" max="15863" width="18.5703125" style="47" customWidth="1"/>
    <col min="15864" max="15864" width="1.42578125" style="47" customWidth="1"/>
    <col min="15865" max="15865" width="30.5703125" style="47" customWidth="1"/>
    <col min="15866" max="15870" width="10.5703125" style="47" customWidth="1"/>
    <col min="15871" max="16116" width="11.42578125" style="47"/>
    <col min="16117" max="16117" width="0.140625" style="47" customWidth="1"/>
    <col min="16118" max="16118" width="2.5703125" style="47" customWidth="1"/>
    <col min="16119" max="16119" width="18.5703125" style="47" customWidth="1"/>
    <col min="16120" max="16120" width="1.42578125" style="47" customWidth="1"/>
    <col min="16121" max="16121" width="30.5703125" style="47" customWidth="1"/>
    <col min="16122" max="16126" width="10.5703125" style="47" customWidth="1"/>
    <col min="16127" max="16384" width="11.42578125" style="47"/>
  </cols>
  <sheetData>
    <row r="1" spans="1:20" ht="0.75" customHeight="1"/>
    <row r="2" spans="1:20" ht="21" customHeight="1">
      <c r="E2" s="27" t="s">
        <v>19</v>
      </c>
      <c r="F2" s="63"/>
      <c r="G2" s="63"/>
    </row>
    <row r="3" spans="1:20" ht="15" customHeight="1">
      <c r="E3" s="43" t="str">
        <f>Indice!E3</f>
        <v>Julio 2026</v>
      </c>
      <c r="F3" s="62"/>
      <c r="G3" s="62"/>
    </row>
    <row r="4" spans="1:20" s="58" customFormat="1" ht="20.25" customHeight="1">
      <c r="B4" s="57"/>
      <c r="C4" s="25" t="s">
        <v>39</v>
      </c>
    </row>
    <row r="5" spans="1:20" s="58" customFormat="1" ht="12.75" customHeight="1">
      <c r="B5" s="57"/>
      <c r="C5" s="61"/>
    </row>
    <row r="6" spans="1:20" s="58" customFormat="1" ht="13.5" customHeight="1">
      <c r="B6" s="57"/>
      <c r="C6" s="56"/>
      <c r="D6" s="55"/>
      <c r="E6" s="55"/>
      <c r="G6" s="45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1:20" s="58" customFormat="1" ht="12.75" customHeight="1">
      <c r="B7" s="57"/>
      <c r="C7" s="264" t="s">
        <v>102</v>
      </c>
      <c r="D7" s="55"/>
      <c r="E7" s="59"/>
    </row>
    <row r="8" spans="1:20" ht="12.75" customHeight="1">
      <c r="A8" s="58"/>
      <c r="B8" s="57"/>
      <c r="C8" s="264"/>
      <c r="D8" s="55"/>
      <c r="E8" s="59"/>
      <c r="F8" s="54"/>
    </row>
    <row r="9" spans="1:20" ht="12.75" customHeight="1">
      <c r="A9" s="58"/>
      <c r="B9" s="57"/>
      <c r="C9" s="264"/>
      <c r="D9" s="55"/>
      <c r="E9" s="59"/>
      <c r="F9" s="54"/>
    </row>
    <row r="10" spans="1:20" ht="12.75" customHeight="1">
      <c r="A10" s="58"/>
      <c r="B10" s="57"/>
      <c r="C10" s="173" t="s">
        <v>13</v>
      </c>
      <c r="D10" s="55"/>
      <c r="E10" s="59"/>
      <c r="F10" s="54"/>
    </row>
    <row r="11" spans="1:20" ht="12.75" customHeight="1">
      <c r="A11" s="58"/>
      <c r="B11" s="57"/>
      <c r="D11" s="55"/>
      <c r="E11" s="55"/>
      <c r="F11" s="54"/>
    </row>
    <row r="12" spans="1:20" ht="12.75" customHeight="1">
      <c r="A12" s="58"/>
      <c r="B12" s="57"/>
      <c r="D12" s="55"/>
      <c r="E12" s="55"/>
      <c r="F12" s="54"/>
    </row>
    <row r="13" spans="1:20" ht="12.75" customHeight="1">
      <c r="A13" s="58"/>
      <c r="B13" s="57"/>
      <c r="C13" s="56"/>
      <c r="D13" s="55"/>
      <c r="E13" s="55"/>
      <c r="F13" s="54"/>
    </row>
    <row r="14" spans="1:20" ht="12.75" customHeight="1">
      <c r="A14" s="58"/>
      <c r="B14" s="57"/>
      <c r="C14" s="56"/>
      <c r="D14" s="55"/>
      <c r="E14" s="55"/>
      <c r="F14" s="54"/>
    </row>
    <row r="15" spans="1:20" ht="12.75" customHeight="1">
      <c r="A15" s="58"/>
      <c r="B15" s="57"/>
      <c r="C15" s="56"/>
      <c r="D15" s="55"/>
      <c r="E15" s="55"/>
      <c r="F15" s="54"/>
    </row>
    <row r="16" spans="1:20" ht="12.75" customHeight="1">
      <c r="A16" s="58"/>
      <c r="B16" s="57"/>
      <c r="C16" s="56"/>
      <c r="D16" s="55"/>
      <c r="E16" s="55"/>
      <c r="F16" s="54"/>
    </row>
    <row r="17" spans="1:7" ht="12.75" customHeight="1">
      <c r="A17" s="58"/>
      <c r="B17" s="57"/>
      <c r="C17" s="56"/>
      <c r="D17" s="55"/>
      <c r="E17" s="55"/>
      <c r="F17" s="54"/>
    </row>
    <row r="18" spans="1:7" ht="12.75" customHeight="1">
      <c r="A18" s="58"/>
      <c r="B18" s="57"/>
      <c r="C18" s="56"/>
      <c r="D18" s="55"/>
      <c r="E18" s="55"/>
      <c r="F18" s="141"/>
    </row>
    <row r="19" spans="1:7" ht="12.75" customHeight="1">
      <c r="A19" s="58"/>
      <c r="B19" s="57"/>
      <c r="C19" s="56"/>
      <c r="D19" s="55"/>
      <c r="E19" s="55"/>
      <c r="F19" s="54"/>
    </row>
    <row r="20" spans="1:7" ht="12.75" customHeight="1">
      <c r="A20" s="58"/>
      <c r="B20" s="57"/>
      <c r="C20" s="56"/>
      <c r="D20" s="55"/>
      <c r="E20" s="55"/>
      <c r="F20" s="54"/>
    </row>
    <row r="21" spans="1:7" ht="12.75" customHeight="1"/>
    <row r="22" spans="1:7" ht="12.75" customHeight="1"/>
    <row r="23" spans="1:7" ht="12.75" customHeight="1"/>
    <row r="24" spans="1:7" ht="12.75" customHeight="1">
      <c r="E24" s="51"/>
      <c r="F24" s="51"/>
      <c r="G24" s="51"/>
    </row>
    <row r="25" spans="1:7" ht="12.75" customHeight="1">
      <c r="E25" s="48" t="s">
        <v>115</v>
      </c>
      <c r="F25" s="53"/>
      <c r="G25" s="53"/>
    </row>
    <row r="26" spans="1:7" ht="12.75" customHeight="1">
      <c r="F26" s="53"/>
      <c r="G26" s="53"/>
    </row>
    <row r="27" spans="1:7" ht="12.75" customHeight="1">
      <c r="E27" s="52"/>
      <c r="F27" s="51"/>
      <c r="G27" s="51"/>
    </row>
    <row r="28" spans="1:7" ht="12.75" customHeight="1">
      <c r="F28" s="51"/>
      <c r="G28" s="51"/>
    </row>
    <row r="29" spans="1:7" ht="12.75" customHeight="1">
      <c r="F29" s="51"/>
      <c r="G29" s="51"/>
    </row>
    <row r="30" spans="1:7" ht="12.75" customHeight="1">
      <c r="E30" s="50"/>
    </row>
    <row r="31" spans="1:7" ht="12.75" customHeight="1"/>
    <row r="32" spans="1:7" ht="12.75" customHeight="1"/>
    <row r="33" spans="5:5" ht="12.75" customHeight="1"/>
    <row r="34" spans="5:5" ht="12.75" customHeight="1"/>
    <row r="35" spans="5:5" ht="12.75" customHeight="1"/>
    <row r="36" spans="5:5" ht="12.75" customHeight="1"/>
    <row r="37" spans="5:5" ht="12.75" customHeight="1"/>
    <row r="38" spans="5:5" ht="12.75" customHeight="1"/>
    <row r="39" spans="5:5" ht="12.75" customHeight="1"/>
    <row r="40" spans="5:5" ht="12.75" customHeight="1"/>
    <row r="41" spans="5:5" ht="12.75" customHeight="1"/>
    <row r="42" spans="5:5" ht="12.75" customHeight="1"/>
    <row r="43" spans="5:5" ht="12.75" customHeight="1"/>
    <row r="44" spans="5:5" ht="12.75" customHeight="1">
      <c r="E44" s="48"/>
    </row>
    <row r="45" spans="5:5">
      <c r="E45" s="48"/>
    </row>
  </sheetData>
  <mergeCells count="1">
    <mergeCell ref="C7:C9"/>
  </mergeCells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Indice</vt:lpstr>
      <vt:lpstr>SN1</vt:lpstr>
      <vt:lpstr>SN2</vt:lpstr>
      <vt:lpstr>SN3</vt:lpstr>
      <vt:lpstr>SN4</vt:lpstr>
      <vt:lpstr>SN5</vt:lpstr>
      <vt:lpstr>SN5 FUEL GAS</vt:lpstr>
      <vt:lpstr>SN6</vt:lpstr>
      <vt:lpstr>SN7</vt:lpstr>
      <vt:lpstr>SN7 FUEL GAS</vt:lpstr>
      <vt:lpstr>SN8</vt:lpstr>
      <vt:lpstr>SN9</vt:lpstr>
      <vt:lpstr>SN10</vt:lpstr>
      <vt:lpstr>SN11</vt:lpstr>
      <vt:lpstr>SN12</vt:lpstr>
      <vt:lpstr>SN13</vt:lpstr>
      <vt:lpstr>SN14</vt:lpstr>
      <vt:lpstr>SN15</vt:lpstr>
      <vt:lpstr>SN16</vt:lpstr>
      <vt:lpstr>SN17</vt:lpstr>
      <vt:lpstr>Dat_01</vt:lpstr>
      <vt:lpstr>Dat_02</vt:lpstr>
    </vt:vector>
  </TitlesOfParts>
  <Company>Red Electrica de España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SEVPENMA</dc:creator>
  <cp:lastModifiedBy>De La Fuente Perez, Roberto</cp:lastModifiedBy>
  <cp:lastPrinted>2021-10-14T14:51:00Z</cp:lastPrinted>
  <dcterms:created xsi:type="dcterms:W3CDTF">2016-11-17T11:02:48Z</dcterms:created>
  <dcterms:modified xsi:type="dcterms:W3CDTF">2026-08-17T17:39:26Z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