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ml.chartshapes+xml"/>
  <Override PartName="/xl/charts/chart16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ml.chartshapes+xml"/>
  <Override PartName="/xl/charts/chart20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4.xml" ContentType="application/vnd.openxmlformats-officedocument.drawing+xml"/>
  <Override PartName="/xl/charts/chart2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2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7.xml" ContentType="application/vnd.openxmlformats-officedocument.drawing+xml"/>
  <Override PartName="/xl/charts/chart2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6\ABR\INF_ELABORADA\"/>
    </mc:Choice>
  </mc:AlternateContent>
  <xr:revisionPtr revIDLastSave="0" documentId="13_ncr:1_{7336538D-4EDC-4C56-88B9-CFD55E2E5F9F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" sheetId="16" r:id="rId1"/>
    <sheet name="SN1" sheetId="8" r:id="rId2"/>
    <sheet name="SN2" sheetId="10" r:id="rId3"/>
    <sheet name="SN3" sheetId="22" r:id="rId4"/>
    <sheet name="SN4" sheetId="2" r:id="rId5"/>
    <sheet name="SN5" sheetId="25" r:id="rId6"/>
    <sheet name="SN5 FUEL GAS" sheetId="13" state="hidden" r:id="rId7"/>
    <sheet name="SN6" sheetId="5" r:id="rId8"/>
    <sheet name="SN7" sheetId="7" r:id="rId9"/>
    <sheet name="SN7 FUEL GAS" sheetId="26" state="hidden" r:id="rId10"/>
    <sheet name="SN8" sheetId="27" r:id="rId11"/>
    <sheet name="SN9" sheetId="28" r:id="rId12"/>
    <sheet name="SN10" sheetId="29" r:id="rId13"/>
    <sheet name="SN11" sheetId="30" r:id="rId14"/>
    <sheet name="SN12" sheetId="32" r:id="rId15"/>
    <sheet name="SN13" sheetId="31" r:id="rId16"/>
    <sheet name="SN14" sheetId="33" r:id="rId17"/>
    <sheet name="SN15" sheetId="34" r:id="rId18"/>
    <sheet name="SN16" sheetId="35" r:id="rId19"/>
    <sheet name="SN17" sheetId="36" r:id="rId20"/>
    <sheet name="Dat_01" sheetId="18" r:id="rId21"/>
    <sheet name="Dat_02" sheetId="37" r:id="rId22"/>
    <sheet name="Mozart Reports" sheetId="19" state="veryHidden" r:id="rId23"/>
  </sheets>
  <definedNames>
    <definedName name="_xlnm.Print_Area" localSheetId="3">#REF!</definedName>
    <definedName name="_xlnm.Print_Area">#REF!</definedName>
    <definedName name="_xlnm.Database" localSheetId="3">#REF!</definedName>
    <definedName name="_xlnm.Database">#REF!</definedName>
    <definedName name="cc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c" localSheetId="12">#REF!</definedName>
    <definedName name="ccc" localSheetId="13">#REF!</definedName>
    <definedName name="ccc" localSheetId="14">#N/A</definedName>
    <definedName name="ccc" localSheetId="15">#REF!</definedName>
    <definedName name="ccc" localSheetId="10">#REF!</definedName>
    <definedName name="ccc" localSheetId="11">#N/A</definedName>
    <definedName name="ccc">#N/A</definedName>
    <definedName name="CCCCV" localSheetId="3">#REF!</definedName>
    <definedName name="CCCCV">#REF!</definedName>
    <definedName name="CUADRO_ANTERIOR" localSheetId="12">#REF!</definedName>
    <definedName name="CUADRO_ANTERIOR" localSheetId="13">#REF!</definedName>
    <definedName name="CUADRO_ANTERIOR" localSheetId="14">#N/A</definedName>
    <definedName name="CUADRO_ANTERIOR" localSheetId="15">#REF!</definedName>
    <definedName name="CUADRO_ANTERIOR" localSheetId="10">#REF!</definedName>
    <definedName name="CUADRO_ANTERIOR" localSheetId="11">#N/A</definedName>
    <definedName name="CUADRO_ANTERIOR">#N/A</definedName>
    <definedName name="cuadro_anterior_jcol">#N/A</definedName>
    <definedName name="CUADRO_PROXIMO" localSheetId="12">#REF!</definedName>
    <definedName name="CUADRO_PROXIMO" localSheetId="13">#REF!</definedName>
    <definedName name="CUADRO_PROXIMO" localSheetId="14">#N/A</definedName>
    <definedName name="CUADRO_PROXIMO" localSheetId="15">#REF!</definedName>
    <definedName name="CUADRO_PROXIMO" localSheetId="10">#REF!</definedName>
    <definedName name="CUADRO_PROXIMO" localSheetId="11">#N/A</definedName>
    <definedName name="CUADRO_PROXIMO">#N/A</definedName>
    <definedName name="cuadro_proximo_jcol">#N/A</definedName>
    <definedName name="DATOS" localSheetId="3">#REF!</definedName>
    <definedName name="DATOS">#REF!</definedName>
    <definedName name="DD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emanda" localSheetId="21">#REF!</definedName>
    <definedName name="Demanda" localSheetId="14">#REF!</definedName>
    <definedName name="Demanda" localSheetId="11">#REF!</definedName>
    <definedName name="Demanda">#REF!</definedName>
    <definedName name="Eol_Dia" localSheetId="21">OFFSET(#REF!,0,0,COUNT(#REF!),1)</definedName>
    <definedName name="Eol_Dia" localSheetId="16">OFFSET(#REF!,0,0,COUNT(#REF!),1)</definedName>
    <definedName name="Eol_Dia" localSheetId="17">OFFSET(#REF!,0,0,COUNT(#REF!),1)</definedName>
    <definedName name="Eol_Dia" localSheetId="18">OFFSET(#REF!,0,0,COUNT(#REF!),1)</definedName>
    <definedName name="Eol_Dia" localSheetId="19">OFFSET(#REF!,0,0,COUNT(#REF!),1)</definedName>
    <definedName name="Eol_Dia">OFFSET(#REF!,0,0,COUNT(#REF!),1)</definedName>
    <definedName name="Eol_Fechas" localSheetId="21">OFFSET(#REF!,0,0,COUNT(#REF!),1)</definedName>
    <definedName name="Eol_Fechas" localSheetId="16">OFFSET(#REF!,0,0,COUNT(#REF!),1)</definedName>
    <definedName name="Eol_Fechas" localSheetId="17">OFFSET(#REF!,0,0,COUNT(#REF!),1)</definedName>
    <definedName name="Eol_Fechas" localSheetId="18">OFFSET(#REF!,0,0,COUNT(#REF!),1)</definedName>
    <definedName name="Eol_Fechas" localSheetId="19">OFFSET(#REF!,0,0,COUNT(#REF!),1)</definedName>
    <definedName name="Eol_Fechas">OFFSET(#REF!,0,0,COUNT(#REF!),1)</definedName>
    <definedName name="Eol_Porcentaje" localSheetId="21">OFFSET(#REF!,0,0,COUNT(#REF!),1)</definedName>
    <definedName name="Eol_Porcentaje" localSheetId="16">OFFSET(#REF!,0,0,COUNT(#REF!),1)</definedName>
    <definedName name="Eol_Porcentaje" localSheetId="17">OFFSET(#REF!,0,0,COUNT(#REF!),1)</definedName>
    <definedName name="Eol_Porcentaje" localSheetId="18">OFFSET(#REF!,0,0,COUNT(#REF!),1)</definedName>
    <definedName name="Eol_Porcentaje" localSheetId="19">OFFSET(#REF!,0,0,COUNT(#REF!),1)</definedName>
    <definedName name="Eol_Porcentaje">OFFSET(#REF!,0,0,COUNT(#REF!),1)</definedName>
    <definedName name="Fecha" localSheetId="21">#REF!</definedName>
    <definedName name="Fecha" localSheetId="14">#REF!</definedName>
    <definedName name="Fecha" localSheetId="11">#REF!</definedName>
    <definedName name="Fecha">#REF!</definedName>
    <definedName name="FINALIZAR" localSheetId="12">#REF!</definedName>
    <definedName name="FINALIZAR" localSheetId="13">#REF!</definedName>
    <definedName name="FINALIZAR" localSheetId="14">#N/A</definedName>
    <definedName name="FINALIZAR" localSheetId="15">#REF!</definedName>
    <definedName name="FINALIZAR" localSheetId="10">#REF!</definedName>
    <definedName name="FINALIZAR" localSheetId="11">#N/A</definedName>
    <definedName name="FINALIZAR">#N/A</definedName>
    <definedName name="finalizar_jcol">#N/A</definedName>
    <definedName name="fl">#N/A</definedName>
    <definedName name="H_Eol" localSheetId="21">OFFSET(#REF!,0,0,COUNT(#REF!),1)</definedName>
    <definedName name="H_Eol" localSheetId="16">OFFSET(#REF!,0,0,COUNT(#REF!),1)</definedName>
    <definedName name="H_Eol" localSheetId="17">OFFSET(#REF!,0,0,COUNT(#REF!),1)</definedName>
    <definedName name="H_Eol" localSheetId="18">OFFSET(#REF!,0,0,COUNT(#REF!),1)</definedName>
    <definedName name="H_Eol" localSheetId="19">OFFSET(#REF!,0,0,COUNT(#REF!),1)</definedName>
    <definedName name="H_Eol">OFFSET(#REF!,0,0,COUNT(#REF!),1)</definedName>
    <definedName name="H_Gen" localSheetId="21">OFFSET(#REF!,0,0,COUNT(#REF!),1)</definedName>
    <definedName name="H_Gen" localSheetId="16">OFFSET(#REF!,0,0,COUNT(#REF!),1)</definedName>
    <definedName name="H_Gen" localSheetId="17">OFFSET(#REF!,0,0,COUNT(#REF!),1)</definedName>
    <definedName name="H_Gen" localSheetId="18">OFFSET(#REF!,0,0,COUNT(#REF!),1)</definedName>
    <definedName name="H_Gen" localSheetId="19">OFFSET(#REF!,0,0,COUNT(#REF!),1)</definedName>
    <definedName name="H_Gen">OFFSET(#REF!,0,0,COUNT(#REF!),1)</definedName>
    <definedName name="H_Porcentaje" localSheetId="21">OFFSET(#REF!,0,0,COUNT(#REF!),1)</definedName>
    <definedName name="H_Porcentaje" localSheetId="16">OFFSET(#REF!,0,0,COUNT(#REF!),1)</definedName>
    <definedName name="H_Porcentaje" localSheetId="17">OFFSET(#REF!,0,0,COUNT(#REF!),1)</definedName>
    <definedName name="H_Porcentaje" localSheetId="18">OFFSET(#REF!,0,0,COUNT(#REF!),1)</definedName>
    <definedName name="H_Porcentaje" localSheetId="19">OFFSET(#REF!,0,0,COUNT(#REF!),1)</definedName>
    <definedName name="H_Porcentaje">OFFSET(#REF!,0,0,COUNT(#REF!),1)</definedName>
    <definedName name="hola">#N/A</definedName>
    <definedName name="Horas">#REF!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IMPRESION" localSheetId="12">#REF!</definedName>
    <definedName name="IMPRESION" localSheetId="13">#REF!</definedName>
    <definedName name="IMPRESION" localSheetId="14">#N/A</definedName>
    <definedName name="IMPRESION" localSheetId="15">#REF!</definedName>
    <definedName name="IMPRESION" localSheetId="10">#REF!</definedName>
    <definedName name="IMPRESION" localSheetId="11">#N/A</definedName>
    <definedName name="IMPRESION">#N/A</definedName>
    <definedName name="impresion_jcol">#N/A</definedName>
    <definedName name="Índice" localSheetId="21">[0]!INDICE</definedName>
    <definedName name="Índice" localSheetId="12">[0]!INDICE</definedName>
    <definedName name="Índice" localSheetId="13">[0]!INDICE</definedName>
    <definedName name="Índice" localSheetId="14">[0]!INDICE</definedName>
    <definedName name="Índice" localSheetId="15">[0]!INDICE</definedName>
    <definedName name="Índice" localSheetId="16">[0]!INDICE</definedName>
    <definedName name="Índice" localSheetId="17">[0]!INDICE</definedName>
    <definedName name="Índice" localSheetId="18">[0]!INDICE</definedName>
    <definedName name="Índice" localSheetId="19">[0]!INDICE</definedName>
    <definedName name="Índice" localSheetId="11">[0]!INDICE</definedName>
    <definedName name="Índice">[0]!INDICE</definedName>
    <definedName name="indice_jcol" localSheetId="21">[0]!INDICE</definedName>
    <definedName name="indice_jcol" localSheetId="12">[0]!INDICE</definedName>
    <definedName name="indice_jcol" localSheetId="13">[0]!INDICE</definedName>
    <definedName name="indice_jcol" localSheetId="14">[0]!INDICE</definedName>
    <definedName name="indice_jcol" localSheetId="15">[0]!INDICE</definedName>
    <definedName name="indice_jcol" localSheetId="16">[0]!INDICE</definedName>
    <definedName name="indice_jcol" localSheetId="17">[0]!INDICE</definedName>
    <definedName name="indice_jcol" localSheetId="18">[0]!INDICE</definedName>
    <definedName name="indice_jcol" localSheetId="19">[0]!INDICE</definedName>
    <definedName name="indice_jcol" localSheetId="11">[0]!INDICE</definedName>
    <definedName name="indice_jcol">[0]!INDICE</definedName>
    <definedName name="Int_CFraExp" localSheetId="21">OFFSET(#REF!,0,0,COUNT(#REF!),1)</definedName>
    <definedName name="Int_CFraExp">OFFSET(#REF!,0,0,COUNT(#REF!),1)</definedName>
    <definedName name="Int_CFraImp" localSheetId="21">OFFSET(#REF!,0,0,COUNT(#REF!),1)</definedName>
    <definedName name="Int_CFraImp">OFFSET(#REF!,0,0,COUNT(#REF!),1)</definedName>
    <definedName name="Int_CPorExp" localSheetId="21">OFFSET(#REF!,0,0,COUNT(#REF!),1)</definedName>
    <definedName name="Int_CPorExp">OFFSET(#REF!,0,0,COUNT(#REF!),1)</definedName>
    <definedName name="Int_CPorImp" localSheetId="21">OFFSET(#REF!,0,0,COUNT(#REF!),1)</definedName>
    <definedName name="Int_CPorImp">OFFSET(#REF!,0,0,COUNT(#REF!),1)</definedName>
    <definedName name="Int_Meses" localSheetId="21">OFFSET(#REF!,0,0,COUNT(#REF!),1)</definedName>
    <definedName name="Int_Meses">OFFSET(#REF!,0,0,COUNT(#REF!),1)</definedName>
    <definedName name="Int_SFra" localSheetId="21">OFFSET(#REF!,0,0,COUNT(#REF!),1)</definedName>
    <definedName name="Int_SFra">OFFSET(#REF!,0,0,COUNT(#REF!),1)</definedName>
    <definedName name="Int_SPor" localSheetId="21">OFFSET(#REF!,0,0,COUNT(#REF!),1)</definedName>
    <definedName name="Int_SPor">OFFSET(#REF!,0,0,COUNT(#REF!),1)</definedName>
    <definedName name="jkhjklhjkhjkl">#N/A</definedName>
    <definedName name="MSTR.Balance._Día_máx_generación_renovable._Histórico" localSheetId="21">#REF!</definedName>
    <definedName name="MSTR.Balance._Día_máx_generación_renovable._Histórico" localSheetId="16">#REF!</definedName>
    <definedName name="MSTR.Balance._Día_máx_generación_renovable._Histórico" localSheetId="17">#REF!</definedName>
    <definedName name="MSTR.Balance._Día_máx_generación_renovable._Histórico" localSheetId="18">#REF!</definedName>
    <definedName name="MSTR.Balance._Día_máx_generación_renovable._Histórico" localSheetId="19">#REF!</definedName>
    <definedName name="MSTR.Balance._Día_máx_generación_renovable._Histórico">#REF!</definedName>
    <definedName name="MSTR.Balance._Día_máx_generación_renovable._Mes" localSheetId="21">#REF!</definedName>
    <definedName name="MSTR.Balance._Día_máx_generación_renovable._Mes" localSheetId="16">#REF!</definedName>
    <definedName name="MSTR.Balance._Día_máx_generación_renovable._Mes" localSheetId="17">#REF!</definedName>
    <definedName name="MSTR.Balance._Día_máx_generación_renovable._Mes" localSheetId="18">#REF!</definedName>
    <definedName name="MSTR.Balance._Día_máx_generación_renovable._Mes" localSheetId="19">#REF!</definedName>
    <definedName name="MSTR.Balance._Día_máx_generación_renovable._Mes">#REF!</definedName>
    <definedName name="MSTR.Balance_B.C._Diario_Peninsular" localSheetId="21">#REF!</definedName>
    <definedName name="MSTR.Balance_B.C._Diario_Peninsular">#REF!</definedName>
    <definedName name="MSTR.Balance_B.C._Horario_Eólico" localSheetId="21">#REF!</definedName>
    <definedName name="MSTR.Balance_B.C._Horario_Eólico">#REF!</definedName>
    <definedName name="MSTR.Balance_B.C._Mensual_Nacional" localSheetId="16">#REF!</definedName>
    <definedName name="MSTR.Balance_B.C._Mensual_Nacional" localSheetId="17">#REF!</definedName>
    <definedName name="MSTR.Balance_B.C._Mensual_Nacional" localSheetId="18">#REF!</definedName>
    <definedName name="MSTR.Balance_B.C._Mensual_Nacional" localSheetId="19">#REF!</definedName>
    <definedName name="MSTR.Balance_B.C._Mensual_Nacional">#REF!</definedName>
    <definedName name="MSTR.Balance_B.C._Mensual_Sistema_eléctrico" localSheetId="21">#REF!</definedName>
    <definedName name="MSTR.Balance_B.C._Mensual_Sistema_eléctrico" localSheetId="16">#REF!</definedName>
    <definedName name="MSTR.Balance_B.C._Mensual_Sistema_eléctrico" localSheetId="17">#REF!</definedName>
    <definedName name="MSTR.Balance_B.C._Mensual_Sistema_eléctrico" localSheetId="18">#REF!</definedName>
    <definedName name="MSTR.Balance_B.C._Mensual_Sistema_eléctrico" localSheetId="19">#REF!</definedName>
    <definedName name="MSTR.Balance_B.C._Mensual_Sistema_eléctrico">#REF!</definedName>
    <definedName name="MSTR.BANDA_PARA_CONSEJO_PROCESOS" localSheetId="3">#REF!</definedName>
    <definedName name="MSTR.BANDA_PARA_CONSEJO_PROCESOS">#REF!</definedName>
    <definedName name="MSTR.BANDA_PARA_CONSEJO_PROCESOS1" localSheetId="3">#REF!</definedName>
    <definedName name="MSTR.BANDA_PARA_CONSEJO_PROCESOS1">#REF!</definedName>
    <definedName name="MSTR.BANDA_PARA_CONSEJO_PROCESOS10" localSheetId="3">#REF!</definedName>
    <definedName name="MSTR.BANDA_PARA_CONSEJO_PROCESOS10">#REF!</definedName>
    <definedName name="MSTR.BANDA_PARA_CONSEJO_PROCESOS2" localSheetId="3">#REF!</definedName>
    <definedName name="MSTR.BANDA_PARA_CONSEJO_PROCESOS2">#REF!</definedName>
    <definedName name="MSTR.BANDA_PARA_CONSEJO_PROCESOS3" localSheetId="3">#REF!</definedName>
    <definedName name="MSTR.BANDA_PARA_CONSEJO_PROCESOS3">#REF!</definedName>
    <definedName name="MSTR.BANDA_PARA_CONSEJO_PROCESOS4" localSheetId="3">#REF!</definedName>
    <definedName name="MSTR.BANDA_PARA_CONSEJO_PROCESOS4">#REF!</definedName>
    <definedName name="MSTR.BANDA_PARA_CONSEJO_PROCESOS5" localSheetId="3">#REF!</definedName>
    <definedName name="MSTR.BANDA_PARA_CONSEJO_PROCESOS5">#REF!</definedName>
    <definedName name="MSTR.BANDA_PARA_CONSEJO_PROCESOS6" localSheetId="3">#REF!</definedName>
    <definedName name="MSTR.BANDA_PARA_CONSEJO_PROCESOS6">#REF!</definedName>
    <definedName name="MSTR.BANDA_PARA_CONSEJO_PROCESOS7" localSheetId="3">#REF!</definedName>
    <definedName name="MSTR.BANDA_PARA_CONSEJO_PROCESOS7">#REF!</definedName>
    <definedName name="MSTR.BANDA_PARA_CONSEJO_PROCESOS8" localSheetId="3">#REF!</definedName>
    <definedName name="MSTR.BANDA_PARA_CONSEJO_PROCESOS8">#REF!</definedName>
    <definedName name="MSTR.BANDA_PARA_CONSEJO_PROCESOS9" localSheetId="3">#REF!</definedName>
    <definedName name="MSTR.BANDA_PARA_CONSEJO_PROCESOS9">#REF!</definedName>
    <definedName name="MSTR.Emisiones_CO2" localSheetId="21">#REF!</definedName>
    <definedName name="MSTR.Emisiones_CO2" localSheetId="16">#REF!</definedName>
    <definedName name="MSTR.Emisiones_CO2" localSheetId="17">#REF!</definedName>
    <definedName name="MSTR.Emisiones_CO2" localSheetId="18">#REF!</definedName>
    <definedName name="MSTR.Emisiones_CO2" localSheetId="19">#REF!</definedName>
    <definedName name="MSTR.Emisiones_CO2">#REF!</definedName>
    <definedName name="MSTR.Emisiones_CO2.1" localSheetId="21">#REF!</definedName>
    <definedName name="MSTR.Emisiones_CO2.1" localSheetId="16">#REF!</definedName>
    <definedName name="MSTR.Emisiones_CO2.1" localSheetId="17">#REF!</definedName>
    <definedName name="MSTR.Emisiones_CO2.1" localSheetId="18">#REF!</definedName>
    <definedName name="MSTR.Emisiones_CO2.1" localSheetId="19">#REF!</definedName>
    <definedName name="MSTR.Emisiones_CO2.1">#REF!</definedName>
    <definedName name="MSTR.Energía_generada_y_autoconsumida" xml:space="preserve">                     Dat_02!$A$71:$C$80</definedName>
    <definedName name="MSTR.Energía_generada_y_autoconsumida.1">Dat_02!$A$71:$C$80</definedName>
    <definedName name="MSTR.Energía_generada_y_autoconsumida.2" xml:space="preserve">                     Dat_02!$A$117:$C$125</definedName>
    <definedName name="MSTR.Energía_generada_y_autoconsumida.3">Dat_02!$A$117:$C$125</definedName>
    <definedName name="MSTR.Eolica_diaria_Balance">#REF!</definedName>
    <definedName name="MSTR.Liquidación_por_Segmentos" localSheetId="3">#REF!</definedName>
    <definedName name="MSTR.Liquidación_por_Segmentos">#REF!</definedName>
    <definedName name="MSTR.Liquidación_por_Segmentos1" localSheetId="3">#REF!</definedName>
    <definedName name="MSTR.Liquidación_por_Segmentos1">#REF!</definedName>
    <definedName name="MSTR.Liquidación_por_Segmentos10" localSheetId="3">#REF!</definedName>
    <definedName name="MSTR.Liquidación_por_Segmentos10">#REF!</definedName>
    <definedName name="MSTR.Liquidación_por_Segmentos11" localSheetId="3">#REF!</definedName>
    <definedName name="MSTR.Liquidación_por_Segmentos11">#REF!</definedName>
    <definedName name="MSTR.Liquidación_por_Segmentos2" localSheetId="3">#REF!</definedName>
    <definedName name="MSTR.Liquidación_por_Segmentos2">#REF!</definedName>
    <definedName name="MSTR.Liquidación_por_Segmentos3" localSheetId="3">#REF!</definedName>
    <definedName name="MSTR.Liquidación_por_Segmentos3">#REF!</definedName>
    <definedName name="MSTR.Liquidación_por_Segmentos4" localSheetId="3">#REF!</definedName>
    <definedName name="MSTR.Liquidación_por_Segmentos4">#REF!</definedName>
    <definedName name="MSTR.Liquidación_por_Segmentos5" localSheetId="3">#REF!</definedName>
    <definedName name="MSTR.Liquidación_por_Segmentos5">#REF!</definedName>
    <definedName name="MSTR.Liquidación_por_Segmentos6" localSheetId="3">#REF!</definedName>
    <definedName name="MSTR.Liquidación_por_Segmentos6">#REF!</definedName>
    <definedName name="MSTR.Liquidación_por_Segmentos7" localSheetId="3">#REF!</definedName>
    <definedName name="MSTR.Liquidación_por_Segmentos7">#REF!</definedName>
    <definedName name="MSTR.Liquidación_por_Segmentos8" localSheetId="3">#REF!</definedName>
    <definedName name="MSTR.Liquidación_por_Segmentos8">#REF!</definedName>
    <definedName name="MSTR.Liquidación_por_Segmentos9" localSheetId="3">#REF!</definedName>
    <definedName name="MSTR.Liquidación_por_Segmentos9">#REF!</definedName>
    <definedName name="MSTR.Mes_del_informe" xml:space="preserve">                                 Dat_02!$A$1:$B$2</definedName>
    <definedName name="MSTR.Mes_del_informe.1">Dat_02!$A$1:$B$2</definedName>
    <definedName name="MSTR.Potencia_instalada">#REF!</definedName>
    <definedName name="MSTR.Potencia_instalada_Autoconsumo" xml:space="preserve">                                 Dat_02!$A$4:$N$13</definedName>
    <definedName name="MSTR.Potencia_instalada_Autoconsumo.1" xml:space="preserve">                                 Dat_02!$A$37:$N$46</definedName>
    <definedName name="MSTR.Potencia_instalada_Autoconsumo.2">Dat_02!$A$4:$N$13</definedName>
    <definedName name="MSTR.Potencia_instalada_Autoconsumo.3">Dat_02!$A$37:$N$46</definedName>
    <definedName name="MSTR.Potencia_instalada_Total" xml:space="preserve">                                 Dat_02!$A$15:$N$31</definedName>
    <definedName name="MSTR.Potencia_instalada_Total.1" xml:space="preserve">                                 Dat_02!$A$48:$N$64</definedName>
    <definedName name="MSTR.Potencia_instalada_Total.2">Dat_02!$A$15:$N$31</definedName>
    <definedName name="MSTR.Potencia_instalada_Total.3">Dat_02!$A$48:$N$64</definedName>
    <definedName name="MSTR.Serie_Balance_B.C._Mensual_Peninsular" localSheetId="21">#REF!</definedName>
    <definedName name="MSTR.Serie_Balance_B.C._Mensual_Peninsular" localSheetId="16">#REF!</definedName>
    <definedName name="MSTR.Serie_Balance_B.C._Mensual_Peninsular" localSheetId="17">#REF!</definedName>
    <definedName name="MSTR.Serie_Balance_B.C._Mensual_Peninsular" localSheetId="18">#REF!</definedName>
    <definedName name="MSTR.Serie_Balance_B.C._Mensual_Peninsular" localSheetId="19">#REF!</definedName>
    <definedName name="MSTR.Serie_Balance_B.C._Mensual_Peninsular">#REF!</definedName>
    <definedName name="MSTR.Serie_Balance_Nuevo_Energía_Eléctrica_Mensual.1" localSheetId="3">#REF!</definedName>
    <definedName name="MSTR.Serie_Balance_Nuevo_Energía_Eléctrica_Mensual.1">#REF!</definedName>
    <definedName name="MSTR.Serie_Balance_Nuevo_Energía_Eléctrica_Mes_Baleares" localSheetId="3">#REF!</definedName>
    <definedName name="MSTR.Serie_Balance_Nuevo_Energía_Eléctrica_Mes_Baleares">#REF!</definedName>
    <definedName name="MSTR.Variación_y_componentes_mensual_de_la_demanda" localSheetId="21">#REF!</definedName>
    <definedName name="MSTR.Variación_y_componentes_mensual_de_la_demanda" xml:space="preserve">                                   Dat_01!$A$158:$N$161</definedName>
    <definedName name="MSTR.Variación_y_componentes_mensual_de_la_demanda.1" localSheetId="21">#REF!</definedName>
    <definedName name="MSTR.Variación_y_componentes_mensual_de_la_demanda.1" xml:space="preserve">                                   Dat_01!$A$164:$N$167</definedName>
    <definedName name="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n" localSheetId="12">#REF!</definedName>
    <definedName name="nnn" localSheetId="13">#REF!</definedName>
    <definedName name="nnn" localSheetId="14">#N/A</definedName>
    <definedName name="nnn" localSheetId="15">#REF!</definedName>
    <definedName name="nnn" localSheetId="10">#REF!</definedName>
    <definedName name="nnn" localSheetId="11">#N/A</definedName>
    <definedName name="nnn">#N/A</definedName>
    <definedName name="nnnn" localSheetId="12">#REF!</definedName>
    <definedName name="nnnn" localSheetId="13">#REF!</definedName>
    <definedName name="nnnn" localSheetId="14">#N/A</definedName>
    <definedName name="nnnn" localSheetId="15">#REF!</definedName>
    <definedName name="nnnn" localSheetId="10">#REF!</definedName>
    <definedName name="nnnn" localSheetId="11">#N/A</definedName>
    <definedName name="nnnn">#N/A</definedName>
    <definedName name="nu" localSheetId="12">#REF!</definedName>
    <definedName name="nu" localSheetId="13">#REF!</definedName>
    <definedName name="nu" localSheetId="14">#N/A</definedName>
    <definedName name="nu" localSheetId="15">#REF!</definedName>
    <definedName name="nu" localSheetId="10">#REF!</definedName>
    <definedName name="nu" localSheetId="11">#N/A</definedName>
    <definedName name="nu">#N/A</definedName>
    <definedName name="nuevo">#N/A</definedName>
    <definedName name="PRINCIPAL" localSheetId="12">#REF!</definedName>
    <definedName name="PRINCIPAL" localSheetId="13">#REF!</definedName>
    <definedName name="PRINCIPAL" localSheetId="14">#N/A</definedName>
    <definedName name="PRINCIPAL" localSheetId="15">#REF!</definedName>
    <definedName name="PRINCIPAL" localSheetId="10">#REF!</definedName>
    <definedName name="PRINCIPAL" localSheetId="11">#N/A</definedName>
    <definedName name="PRINCIPAL">#N/A</definedName>
    <definedName name="principal_jcol">#N/A</definedName>
    <definedName name="Prod" localSheetId="21">OFFSET(#REF!,0,0,COUNT(#REF!),1)</definedName>
    <definedName name="Prod" localSheetId="16">OFFSET(#REF!,0,0,COUNT(#REF!),1)</definedName>
    <definedName name="Prod" localSheetId="17">OFFSET(#REF!,0,0,COUNT(#REF!),1)</definedName>
    <definedName name="Prod" localSheetId="18">OFFSET(#REF!,0,0,COUNT(#REF!),1)</definedName>
    <definedName name="Prod" localSheetId="19">OFFSET(#REF!,0,0,COUNT(#REF!),1)</definedName>
    <definedName name="Prod">OFFSET(#REF!,0,0,COUNT(#REF!),1)</definedName>
    <definedName name="Prod_Dia" localSheetId="21">OFFSET(#REF!,0,0,COUNT(#REF!),1)</definedName>
    <definedName name="Prod_Dia" localSheetId="16">OFFSET(#REF!,0,0,COUNT(#REF!),1)</definedName>
    <definedName name="Prod_Dia" localSheetId="17">OFFSET(#REF!,0,0,COUNT(#REF!),1)</definedName>
    <definedName name="Prod_Dia" localSheetId="18">OFFSET(#REF!,0,0,COUNT(#REF!),1)</definedName>
    <definedName name="Prod_Dia" localSheetId="19">OFFSET(#REF!,0,0,COUNT(#REF!),1)</definedName>
    <definedName name="Prod_Dia">OFFSET(#REF!,0,0,COUNT(#REF!),1)</definedName>
    <definedName name="Prod_Inter" localSheetId="21">OFFSET(#REF!,0,0,COUNT(#REF!),1)</definedName>
    <definedName name="Prod_Inter">OFFSET(#REF!,0,0,COUNT(#REF!),1)</definedName>
    <definedName name="Prod_Med" localSheetId="21">OFFSET(#REF!,0,0,COUNT(#REF!),1)</definedName>
    <definedName name="Prod_Med" localSheetId="16">OFFSET(#REF!,0,0,COUNT(#REF!),1)</definedName>
    <definedName name="Prod_Med" localSheetId="17">OFFSET(#REF!,0,0,COUNT(#REF!),1)</definedName>
    <definedName name="Prod_Med" localSheetId="18">OFFSET(#REF!,0,0,COUNT(#REF!),1)</definedName>
    <definedName name="Prod_Med" localSheetId="19">OFFSET(#REF!,0,0,COUNT(#REF!),1)</definedName>
    <definedName name="Prod_Med">OFFSET(#REF!,0,0,COUNT(#REF!),1)</definedName>
    <definedName name="Rango">#REF!</definedName>
    <definedName name="rosa" localSheetId="12">#REF!</definedName>
    <definedName name="rosa" localSheetId="13">#REF!</definedName>
    <definedName name="rosa" localSheetId="14">#N/A</definedName>
    <definedName name="rosa" localSheetId="15">#REF!</definedName>
    <definedName name="rosa" localSheetId="10">#REF!</definedName>
    <definedName name="rosa" localSheetId="11">#N/A</definedName>
    <definedName name="rosa">#N/A</definedName>
    <definedName name="rosa2" localSheetId="12">#REF!</definedName>
    <definedName name="rosa2" localSheetId="13">#REF!</definedName>
    <definedName name="rosa2" localSheetId="14">#N/A</definedName>
    <definedName name="rosa2" localSheetId="15">#REF!</definedName>
    <definedName name="rosa2" localSheetId="10">#REF!</definedName>
    <definedName name="rosa2" localSheetId="11">#N/A</definedName>
    <definedName name="rosa2">#N/A</definedName>
    <definedName name="sfasfasf" localSheetId="21">[0]!INDICE</definedName>
    <definedName name="sfasfasf" localSheetId="12">[0]!INDICE</definedName>
    <definedName name="sfasfasf" localSheetId="13">[0]!INDICE</definedName>
    <definedName name="sfasfasf" localSheetId="14">[0]!INDICE</definedName>
    <definedName name="sfasfasf" localSheetId="15">[0]!INDICE</definedName>
    <definedName name="sfasfasf" localSheetId="16">[0]!INDICE</definedName>
    <definedName name="sfasfasf" localSheetId="17">[0]!INDICE</definedName>
    <definedName name="sfasfasf" localSheetId="18">[0]!INDICE</definedName>
    <definedName name="sfasfasf" localSheetId="19">[0]!INDICE</definedName>
    <definedName name="sfasfasf" localSheetId="11">[0]!INDICE</definedName>
    <definedName name="sfasfasf">[0]!INDICE</definedName>
    <definedName name="v">#N/A</definedName>
    <definedName name="VV" localSheetId="12">#REF!</definedName>
    <definedName name="VV" localSheetId="13">#REF!</definedName>
    <definedName name="VV" localSheetId="14">#N/A</definedName>
    <definedName name="VV" localSheetId="15">#REF!</definedName>
    <definedName name="VV" localSheetId="10">#REF!</definedName>
    <definedName name="VV" localSheetId="11">#N/A</definedName>
    <definedName name="VV">#N/A</definedName>
    <definedName name="wrn.Completo.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6" hidden="1">#REF!</definedName>
    <definedName name="WW" localSheetId="17" hidden="1">#REF!</definedName>
    <definedName name="WW" localSheetId="18" hidden="1">#REF!</definedName>
    <definedName name="WW" localSheetId="19" hidden="1">#REF!</definedName>
    <definedName name="WW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x">#N/A</definedName>
    <definedName name="XX">#N/A</definedName>
    <definedName name="xxx">#N/A</definedName>
    <definedName name="XXXX">#N/A</definedName>
    <definedName name="xxxxx" localSheetId="21">#REF!</definedName>
    <definedName name="xxxxx" localSheetId="12">#N/A</definedName>
    <definedName name="xxxxx" localSheetId="13">#N/A</definedName>
    <definedName name="xxxxx" localSheetId="14">#N/A</definedName>
    <definedName name="xxxxx" localSheetId="15">#N/A</definedName>
    <definedName name="xxxxx" localSheetId="10">#N/A</definedName>
    <definedName name="xxxxx" localSheetId="11">#N/A</definedName>
    <definedName name="xxxxx" xml:space="preserve">                                               Dat_01!$A$85:$S$116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5" i="18" l="1"/>
  <c r="E175" i="18"/>
  <c r="F175" i="18"/>
  <c r="G175" i="18"/>
  <c r="H175" i="18"/>
  <c r="I175" i="18"/>
  <c r="J175" i="18"/>
  <c r="K175" i="18"/>
  <c r="L175" i="18"/>
  <c r="M175" i="18"/>
  <c r="N175" i="18"/>
  <c r="O175" i="18"/>
  <c r="D176" i="18"/>
  <c r="E176" i="18"/>
  <c r="F176" i="18"/>
  <c r="G176" i="18"/>
  <c r="H176" i="18"/>
  <c r="I176" i="18"/>
  <c r="J176" i="18"/>
  <c r="K176" i="18"/>
  <c r="L176" i="18"/>
  <c r="M176" i="18"/>
  <c r="N176" i="18"/>
  <c r="O176" i="18"/>
  <c r="C176" i="18"/>
  <c r="C175" i="18"/>
  <c r="D172" i="18"/>
  <c r="E172" i="18"/>
  <c r="F172" i="18"/>
  <c r="G172" i="18"/>
  <c r="H172" i="18"/>
  <c r="I172" i="18"/>
  <c r="J172" i="18"/>
  <c r="K172" i="18"/>
  <c r="L172" i="18"/>
  <c r="M172" i="18"/>
  <c r="N172" i="18"/>
  <c r="O172" i="18"/>
  <c r="D173" i="18"/>
  <c r="E173" i="18"/>
  <c r="F173" i="18"/>
  <c r="G173" i="18"/>
  <c r="H173" i="18"/>
  <c r="I173" i="18"/>
  <c r="J173" i="18"/>
  <c r="K173" i="18"/>
  <c r="L173" i="18"/>
  <c r="M173" i="18"/>
  <c r="N173" i="18"/>
  <c r="O173" i="18"/>
  <c r="C172" i="18"/>
  <c r="C173" i="18"/>
  <c r="I27" i="22" l="1"/>
  <c r="C159" i="37"/>
  <c r="B159" i="37"/>
  <c r="C114" i="37"/>
  <c r="B114" i="37"/>
  <c r="N35" i="37"/>
  <c r="G142" i="37" l="1"/>
  <c r="G139" i="37"/>
  <c r="F139" i="37"/>
  <c r="G138" i="37"/>
  <c r="F138" i="37"/>
  <c r="G137" i="37"/>
  <c r="F137" i="37"/>
  <c r="D130" i="37"/>
  <c r="B130" i="37"/>
  <c r="C130" i="37" s="1"/>
  <c r="D129" i="37"/>
  <c r="B129" i="37"/>
  <c r="D128" i="37"/>
  <c r="B128" i="37"/>
  <c r="C128" i="37" s="1"/>
  <c r="G97" i="37"/>
  <c r="G93" i="37"/>
  <c r="F93" i="37"/>
  <c r="G92" i="37"/>
  <c r="F92" i="37"/>
  <c r="D85" i="37"/>
  <c r="B85" i="37"/>
  <c r="D84" i="37"/>
  <c r="B84" i="37"/>
  <c r="D83" i="37"/>
  <c r="C83" i="37" s="1"/>
  <c r="B83" i="37"/>
  <c r="N68" i="37"/>
  <c r="M68" i="37"/>
  <c r="L68" i="37"/>
  <c r="K68" i="37"/>
  <c r="J68" i="37"/>
  <c r="I68" i="37"/>
  <c r="H68" i="37"/>
  <c r="G68" i="37"/>
  <c r="F68" i="37"/>
  <c r="E68" i="37"/>
  <c r="D68" i="37"/>
  <c r="C68" i="37"/>
  <c r="B68" i="37"/>
  <c r="N67" i="37"/>
  <c r="M67" i="37"/>
  <c r="L67" i="37"/>
  <c r="K67" i="37"/>
  <c r="J67" i="37"/>
  <c r="I67" i="37"/>
  <c r="H67" i="37"/>
  <c r="G67" i="37"/>
  <c r="F67" i="37"/>
  <c r="E67" i="37"/>
  <c r="D67" i="37"/>
  <c r="C67" i="37"/>
  <c r="B67" i="37"/>
  <c r="O46" i="37"/>
  <c r="M35" i="37"/>
  <c r="L35" i="37"/>
  <c r="K35" i="37"/>
  <c r="J35" i="37"/>
  <c r="I35" i="37"/>
  <c r="H35" i="37"/>
  <c r="G35" i="37"/>
  <c r="F35" i="37"/>
  <c r="E35" i="37"/>
  <c r="D35" i="37"/>
  <c r="C35" i="37"/>
  <c r="B35" i="37"/>
  <c r="N34" i="37"/>
  <c r="M34" i="37"/>
  <c r="L34" i="37"/>
  <c r="K34" i="37"/>
  <c r="J34" i="37"/>
  <c r="I34" i="37"/>
  <c r="H34" i="37"/>
  <c r="G34" i="37"/>
  <c r="F34" i="37"/>
  <c r="E34" i="37"/>
  <c r="D34" i="37"/>
  <c r="C34" i="37"/>
  <c r="B34" i="37"/>
  <c r="O13" i="37"/>
  <c r="D133" i="37" l="1"/>
  <c r="C85" i="37"/>
  <c r="B88" i="37"/>
  <c r="C84" i="37"/>
  <c r="C88" i="37" s="1"/>
  <c r="B133" i="37"/>
  <c r="E129" i="37" s="1"/>
  <c r="D88" i="37"/>
  <c r="C129" i="37"/>
  <c r="C133" i="37" s="1"/>
  <c r="E130" i="37" l="1"/>
  <c r="E128" i="37"/>
  <c r="E133" i="37" s="1"/>
  <c r="E83" i="37"/>
  <c r="E85" i="37"/>
  <c r="E84" i="37"/>
  <c r="E88" i="37" l="1"/>
  <c r="K80" i="18"/>
  <c r="N80" i="18" s="1"/>
  <c r="L73" i="18"/>
  <c r="F23" i="31" l="1"/>
  <c r="F23" i="29"/>
  <c r="F10" i="31"/>
  <c r="E8" i="31"/>
  <c r="C10" i="30"/>
  <c r="I26" i="22" a="1"/>
  <c r="I26" i="22"/>
  <c r="I25" i="22" a="1"/>
  <c r="I25" i="22" s="1"/>
  <c r="H26" i="22"/>
  <c r="H25" i="22"/>
  <c r="F29" i="22"/>
  <c r="G26" i="22"/>
  <c r="H27" i="22" l="1"/>
  <c r="L80" i="18"/>
  <c r="M80" i="18" s="1"/>
  <c r="L79" i="18"/>
  <c r="K79" i="18" s="1"/>
  <c r="N79" i="18" s="1"/>
  <c r="O79" i="18" s="1"/>
  <c r="K73" i="18"/>
  <c r="E47" i="18"/>
  <c r="D47" i="18"/>
  <c r="F47" i="18" s="1"/>
  <c r="D48" i="18"/>
  <c r="F48" i="18" s="1"/>
  <c r="C10" i="5"/>
  <c r="C10" i="2"/>
  <c r="M79" i="18" l="1"/>
  <c r="O80" i="18"/>
  <c r="B48" i="18"/>
  <c r="C48" i="18" l="1"/>
  <c r="O170" i="18" l="1"/>
  <c r="F10" i="29"/>
  <c r="E8" i="29"/>
  <c r="M73" i="18"/>
  <c r="L74" i="18"/>
  <c r="M74" i="18" s="1"/>
  <c r="G68" i="18"/>
  <c r="K74" i="18" l="1"/>
  <c r="N74" i="18" s="1"/>
  <c r="O74" i="18" s="1"/>
  <c r="N73" i="18"/>
  <c r="O73" i="18" s="1"/>
  <c r="O177" i="18" l="1"/>
  <c r="O122" i="18"/>
  <c r="O121" i="18"/>
  <c r="E48" i="18"/>
  <c r="O153" i="18" l="1"/>
  <c r="O150" i="18"/>
  <c r="O152" i="18"/>
  <c r="O151" i="18"/>
  <c r="O174" i="18"/>
  <c r="N170" i="18"/>
  <c r="O171" i="18"/>
  <c r="O120" i="18" l="1"/>
  <c r="C10" i="27"/>
  <c r="N177" i="18" l="1"/>
  <c r="K15" i="22"/>
  <c r="K12" i="22"/>
  <c r="G25" i="22" l="1" a="1"/>
  <c r="G25" i="22" s="1"/>
  <c r="G27" i="22" l="1"/>
  <c r="D79" i="18" l="1"/>
  <c r="D78" i="18"/>
  <c r="D69" i="18"/>
  <c r="D68" i="18"/>
  <c r="G24" i="22" l="1"/>
  <c r="F26" i="22"/>
  <c r="F25" i="22"/>
  <c r="M29" i="22"/>
  <c r="L29" i="22"/>
  <c r="K29" i="22"/>
  <c r="J29" i="22"/>
  <c r="I29" i="22"/>
  <c r="H29" i="22"/>
  <c r="G29" i="22"/>
  <c r="G28" i="22"/>
  <c r="F28" i="22"/>
  <c r="F27" i="22" l="1"/>
  <c r="K9" i="10"/>
  <c r="J9" i="10"/>
  <c r="I9" i="10"/>
  <c r="H9" i="10"/>
  <c r="G9" i="10"/>
  <c r="F9" i="10"/>
  <c r="K9" i="8"/>
  <c r="J9" i="8"/>
  <c r="I9" i="8"/>
  <c r="H9" i="8"/>
  <c r="G9" i="8"/>
  <c r="F9" i="8"/>
  <c r="G77" i="18"/>
  <c r="G76" i="18"/>
  <c r="G75" i="18"/>
  <c r="G74" i="18"/>
  <c r="G73" i="18"/>
  <c r="G72" i="18"/>
  <c r="G71" i="18"/>
  <c r="G70" i="18"/>
  <c r="G69" i="18"/>
  <c r="L69" i="18" l="1"/>
  <c r="L68" i="18"/>
  <c r="M12" i="22"/>
  <c r="M15" i="22"/>
  <c r="J12" i="22"/>
  <c r="J15" i="22" s="1"/>
  <c r="F11" i="22"/>
  <c r="G13" i="22"/>
  <c r="G22" i="22"/>
  <c r="G11" i="22"/>
  <c r="I11" i="22"/>
  <c r="I17" i="22" l="1"/>
  <c r="G17" i="22"/>
  <c r="H17" i="22"/>
  <c r="I13" i="22"/>
  <c r="M20" i="22"/>
  <c r="K20" i="22"/>
  <c r="M18" i="22"/>
  <c r="I9" i="22"/>
  <c r="K18" i="22" l="1"/>
  <c r="B56" i="18" l="1"/>
  <c r="D72" i="18" l="1"/>
  <c r="G52" i="18" l="1"/>
  <c r="B52" i="18" l="1"/>
  <c r="D71" i="18" l="1"/>
  <c r="D77" i="18"/>
  <c r="D76" i="18"/>
  <c r="D75" i="18"/>
  <c r="D74" i="18"/>
  <c r="D73" i="18"/>
  <c r="D70" i="18"/>
  <c r="C68" i="18" l="1"/>
  <c r="C78" i="18"/>
  <c r="C76" i="18"/>
  <c r="C70" i="18"/>
  <c r="C69" i="18"/>
  <c r="C75" i="18"/>
  <c r="C71" i="18"/>
  <c r="C73" i="18"/>
  <c r="C77" i="18"/>
  <c r="C74" i="18"/>
  <c r="D80" i="18"/>
  <c r="B68" i="18" s="1"/>
  <c r="K68" i="18" l="1"/>
  <c r="K69" i="18"/>
  <c r="C80" i="18"/>
  <c r="B79" i="18"/>
  <c r="B73" i="18"/>
  <c r="B72" i="18"/>
  <c r="B78" i="18"/>
  <c r="B71" i="18"/>
  <c r="B74" i="18"/>
  <c r="B76" i="18"/>
  <c r="B75" i="18"/>
  <c r="B77" i="18"/>
  <c r="B70" i="18"/>
  <c r="B69" i="18"/>
  <c r="B62" i="18"/>
  <c r="B61" i="18"/>
  <c r="B60" i="18"/>
  <c r="B59" i="18"/>
  <c r="B58" i="18"/>
  <c r="B57" i="18"/>
  <c r="B55" i="18"/>
  <c r="B53" i="18"/>
  <c r="B54" i="18"/>
  <c r="G53" i="18"/>
  <c r="G54" i="18"/>
  <c r="G55" i="18"/>
  <c r="B63" i="18" l="1"/>
  <c r="B80" i="18"/>
  <c r="O135" i="18" l="1"/>
  <c r="O137" i="18"/>
  <c r="O142" i="18"/>
  <c r="O144" i="18"/>
  <c r="O146" i="18"/>
  <c r="O148" i="18"/>
  <c r="O136" i="18"/>
  <c r="O138" i="18"/>
  <c r="O141" i="18"/>
  <c r="O143" i="18"/>
  <c r="O145" i="18"/>
  <c r="O147" i="18"/>
  <c r="O149" i="18"/>
  <c r="O123" i="18"/>
  <c r="O155" i="18" l="1"/>
  <c r="O119" i="18"/>
  <c r="M24" i="22" l="1"/>
  <c r="B29" i="18" l="1"/>
  <c r="K14" i="10" l="1"/>
  <c r="K13" i="10"/>
  <c r="K12" i="10"/>
  <c r="I14" i="10"/>
  <c r="I13" i="10"/>
  <c r="I12" i="10"/>
  <c r="G14" i="10"/>
  <c r="G13" i="10"/>
  <c r="G12" i="10"/>
  <c r="K14" i="8"/>
  <c r="K13" i="8"/>
  <c r="K12" i="8"/>
  <c r="I14" i="8"/>
  <c r="I13" i="8"/>
  <c r="I12" i="8"/>
  <c r="G14" i="8"/>
  <c r="G13" i="8"/>
  <c r="G12" i="8"/>
  <c r="G61" i="18" l="1"/>
  <c r="G60" i="18"/>
  <c r="G59" i="18"/>
  <c r="G58" i="18"/>
  <c r="G57" i="18"/>
  <c r="G56" i="18"/>
  <c r="F17" i="22" l="1"/>
  <c r="K24" i="22" l="1"/>
  <c r="I24" i="22"/>
  <c r="M23" i="22"/>
  <c r="L23" i="22"/>
  <c r="G23" i="22"/>
  <c r="F23" i="22"/>
  <c r="H22" i="22"/>
  <c r="F22" i="22"/>
  <c r="I21" i="22"/>
  <c r="H21" i="22"/>
  <c r="G21" i="22"/>
  <c r="F21" i="22"/>
  <c r="G20" i="22"/>
  <c r="I19" i="22"/>
  <c r="H19" i="22"/>
  <c r="L18" i="22"/>
  <c r="J18" i="22"/>
  <c r="I18" i="22"/>
  <c r="H18" i="22"/>
  <c r="G18" i="22"/>
  <c r="F18" i="22"/>
  <c r="F20" i="22" s="1"/>
  <c r="M17" i="22"/>
  <c r="L17" i="22"/>
  <c r="K17" i="22"/>
  <c r="J17" i="22"/>
  <c r="F16" i="22"/>
  <c r="I15" i="22"/>
  <c r="G15" i="22"/>
  <c r="M14" i="22"/>
  <c r="L14" i="22"/>
  <c r="G14" i="22"/>
  <c r="F14" i="22"/>
  <c r="H13" i="22"/>
  <c r="F13" i="22"/>
  <c r="L12" i="22"/>
  <c r="I12" i="22"/>
  <c r="H12" i="22"/>
  <c r="G12" i="22"/>
  <c r="F12" i="22"/>
  <c r="H11" i="22"/>
  <c r="I10" i="22"/>
  <c r="H10" i="22"/>
  <c r="H9" i="22"/>
  <c r="F15" i="22" l="1"/>
  <c r="H15" i="22"/>
  <c r="J20" i="22"/>
  <c r="J24" i="22" s="1"/>
  <c r="L20" i="22"/>
  <c r="L24" i="22" s="1"/>
  <c r="L15" i="22"/>
  <c r="F24" i="22"/>
  <c r="H20" i="22"/>
  <c r="I20" i="22" l="1"/>
  <c r="H24" i="22"/>
  <c r="O140" i="18" l="1"/>
  <c r="N140" i="18"/>
  <c r="M140" i="18"/>
  <c r="L140" i="18"/>
  <c r="K140" i="18"/>
  <c r="J140" i="18"/>
  <c r="I140" i="18"/>
  <c r="H140" i="18"/>
  <c r="G140" i="18"/>
  <c r="F140" i="18"/>
  <c r="E140" i="18"/>
  <c r="D140" i="18"/>
  <c r="C140" i="18"/>
  <c r="N122" i="18"/>
  <c r="M122" i="18"/>
  <c r="L122" i="18"/>
  <c r="K122" i="18"/>
  <c r="J122" i="18"/>
  <c r="I122" i="18"/>
  <c r="H122" i="18"/>
  <c r="G122" i="18"/>
  <c r="F122" i="18"/>
  <c r="E122" i="18"/>
  <c r="D122" i="18"/>
  <c r="C122" i="18"/>
  <c r="O127" i="18" l="1"/>
  <c r="O124" i="18"/>
  <c r="N121" i="18"/>
  <c r="O125" i="18"/>
  <c r="O126" i="18"/>
  <c r="O128" i="18"/>
  <c r="O129" i="18"/>
  <c r="O130" i="18"/>
  <c r="O131" i="18"/>
  <c r="O132" i="18"/>
  <c r="O133" i="18"/>
  <c r="O134" i="18"/>
  <c r="N153" i="18" l="1"/>
  <c r="N150" i="18"/>
  <c r="N152" i="18"/>
  <c r="N151" i="18"/>
  <c r="N174" i="18"/>
  <c r="M170" i="18"/>
  <c r="N171" i="18"/>
  <c r="N135" i="18"/>
  <c r="N137" i="18"/>
  <c r="N142" i="18"/>
  <c r="N144" i="18"/>
  <c r="N146" i="18"/>
  <c r="N148" i="18"/>
  <c r="N136" i="18"/>
  <c r="N141" i="18"/>
  <c r="N143" i="18"/>
  <c r="N145" i="18"/>
  <c r="N147" i="18"/>
  <c r="N149" i="18"/>
  <c r="N138" i="18"/>
  <c r="O139" i="18"/>
  <c r="N124" i="18"/>
  <c r="N127" i="18"/>
  <c r="M121" i="18"/>
  <c r="N123" i="18"/>
  <c r="N125" i="18"/>
  <c r="N126" i="18"/>
  <c r="N128" i="18"/>
  <c r="N129" i="18"/>
  <c r="N130" i="18"/>
  <c r="N131" i="18"/>
  <c r="N132" i="18"/>
  <c r="N134" i="18"/>
  <c r="N133" i="18"/>
  <c r="N155" i="18" l="1"/>
  <c r="N120" i="18"/>
  <c r="M153" i="18"/>
  <c r="M151" i="18"/>
  <c r="M150" i="18"/>
  <c r="M152" i="18"/>
  <c r="N119" i="18"/>
  <c r="L170" i="18"/>
  <c r="M171" i="18"/>
  <c r="M135" i="18"/>
  <c r="M137" i="18"/>
  <c r="M142" i="18"/>
  <c r="M144" i="18"/>
  <c r="M146" i="18"/>
  <c r="M148" i="18"/>
  <c r="M136" i="18"/>
  <c r="M138" i="18"/>
  <c r="M141" i="18"/>
  <c r="M143" i="18"/>
  <c r="M145" i="18"/>
  <c r="M147" i="18"/>
  <c r="M149" i="18"/>
  <c r="M124" i="18"/>
  <c r="M127" i="18"/>
  <c r="N139" i="18"/>
  <c r="L121" i="18"/>
  <c r="M123" i="18"/>
  <c r="M125" i="18"/>
  <c r="M126" i="18"/>
  <c r="M128" i="18"/>
  <c r="M129" i="18"/>
  <c r="M130" i="18"/>
  <c r="M131" i="18"/>
  <c r="M132" i="18"/>
  <c r="M133" i="18"/>
  <c r="M134" i="18"/>
  <c r="M155" i="18" l="1"/>
  <c r="M177" i="18"/>
  <c r="L153" i="18"/>
  <c r="L151" i="18"/>
  <c r="L150" i="18"/>
  <c r="L152" i="18"/>
  <c r="M174" i="18"/>
  <c r="M120" i="18"/>
  <c r="K170" i="18"/>
  <c r="L171" i="18"/>
  <c r="M119" i="18"/>
  <c r="L142" i="18"/>
  <c r="L149" i="18"/>
  <c r="L143" i="18"/>
  <c r="L144" i="18"/>
  <c r="L146" i="18"/>
  <c r="L148" i="18"/>
  <c r="L136" i="18"/>
  <c r="L138" i="18"/>
  <c r="L145" i="18"/>
  <c r="L141" i="18"/>
  <c r="L135" i="18"/>
  <c r="L137" i="18"/>
  <c r="L147" i="18"/>
  <c r="L127" i="18"/>
  <c r="L124" i="18"/>
  <c r="M139" i="18"/>
  <c r="K121" i="18"/>
  <c r="L123" i="18"/>
  <c r="L126" i="18"/>
  <c r="L130" i="18"/>
  <c r="L125" i="18"/>
  <c r="L129" i="18"/>
  <c r="L133" i="18"/>
  <c r="L128" i="18"/>
  <c r="L132" i="18"/>
  <c r="L131" i="18"/>
  <c r="L134" i="18"/>
  <c r="E3" i="16"/>
  <c r="L177" i="18" l="1"/>
  <c r="L155" i="18"/>
  <c r="L174" i="18"/>
  <c r="K153" i="18"/>
  <c r="K151" i="18"/>
  <c r="K150" i="18"/>
  <c r="K152" i="18"/>
  <c r="L120" i="18"/>
  <c r="E3" i="30"/>
  <c r="D2" i="28"/>
  <c r="G3" i="29"/>
  <c r="E3" i="27"/>
  <c r="G3" i="31"/>
  <c r="D2" i="32"/>
  <c r="J170" i="18"/>
  <c r="K171" i="18"/>
  <c r="L119" i="18"/>
  <c r="M3" i="22"/>
  <c r="G8" i="22" s="1"/>
  <c r="I8" i="22" s="1"/>
  <c r="K8" i="22" s="1"/>
  <c r="M8" i="22" s="1"/>
  <c r="E3" i="25"/>
  <c r="E3" i="26"/>
  <c r="K136" i="18"/>
  <c r="K138" i="18"/>
  <c r="K141" i="18"/>
  <c r="K143" i="18"/>
  <c r="K145" i="18"/>
  <c r="K147" i="18"/>
  <c r="K149" i="18"/>
  <c r="K135" i="18"/>
  <c r="K137" i="18"/>
  <c r="K142" i="18"/>
  <c r="K144" i="18"/>
  <c r="K146" i="18"/>
  <c r="K148" i="18"/>
  <c r="K124" i="18"/>
  <c r="K127" i="18"/>
  <c r="L139" i="18"/>
  <c r="E3" i="13"/>
  <c r="J121" i="18"/>
  <c r="K123" i="18"/>
  <c r="K125" i="18"/>
  <c r="K126" i="18"/>
  <c r="K128" i="18"/>
  <c r="K129" i="18"/>
  <c r="K130" i="18"/>
  <c r="K131" i="18"/>
  <c r="K132" i="18"/>
  <c r="K133" i="18"/>
  <c r="K134" i="18"/>
  <c r="K3" i="10"/>
  <c r="F7" i="10" s="1"/>
  <c r="G8" i="10" s="1"/>
  <c r="E3" i="5"/>
  <c r="E3" i="7"/>
  <c r="E3" i="2"/>
  <c r="K3" i="8"/>
  <c r="F7" i="8" s="1"/>
  <c r="G8" i="8" s="1"/>
  <c r="G62" i="18"/>
  <c r="G78" i="18"/>
  <c r="K155" i="18" l="1"/>
  <c r="K177" i="18"/>
  <c r="K120" i="18"/>
  <c r="K174" i="18"/>
  <c r="J153" i="18"/>
  <c r="J151" i="18"/>
  <c r="J150" i="18"/>
  <c r="J152" i="18"/>
  <c r="K119" i="18"/>
  <c r="I170" i="18"/>
  <c r="J171" i="18"/>
  <c r="C56" i="18"/>
  <c r="C62" i="18"/>
  <c r="C60" i="18"/>
  <c r="J138" i="18"/>
  <c r="J137" i="18"/>
  <c r="J143" i="18"/>
  <c r="J149" i="18"/>
  <c r="J141" i="18"/>
  <c r="J145" i="18"/>
  <c r="J147" i="18"/>
  <c r="J135" i="18"/>
  <c r="J142" i="18"/>
  <c r="J144" i="18"/>
  <c r="J146" i="18"/>
  <c r="J148" i="18"/>
  <c r="J136" i="18"/>
  <c r="H55" i="18"/>
  <c r="H59" i="18"/>
  <c r="H56" i="18"/>
  <c r="H54" i="18"/>
  <c r="H58" i="18"/>
  <c r="H52" i="18"/>
  <c r="H60" i="18"/>
  <c r="H53" i="18"/>
  <c r="H61" i="18"/>
  <c r="H57" i="18"/>
  <c r="C58" i="18"/>
  <c r="C59" i="18"/>
  <c r="C53" i="18"/>
  <c r="C55" i="18"/>
  <c r="C54" i="18"/>
  <c r="C52" i="18"/>
  <c r="C57" i="18"/>
  <c r="C61" i="18"/>
  <c r="J124" i="18"/>
  <c r="J127" i="18"/>
  <c r="K139" i="18"/>
  <c r="I121" i="18"/>
  <c r="J123" i="18"/>
  <c r="J125" i="18"/>
  <c r="J126" i="18"/>
  <c r="J128" i="18"/>
  <c r="J129" i="18"/>
  <c r="J130" i="18"/>
  <c r="J131" i="18"/>
  <c r="J132" i="18"/>
  <c r="J133" i="18"/>
  <c r="J134" i="18"/>
  <c r="J177" i="18" l="1"/>
  <c r="J155" i="18"/>
  <c r="J174" i="18"/>
  <c r="J120" i="18"/>
  <c r="I153" i="18"/>
  <c r="I150" i="18"/>
  <c r="I152" i="18"/>
  <c r="I151" i="18"/>
  <c r="H170" i="18"/>
  <c r="I171" i="18"/>
  <c r="J119" i="18"/>
  <c r="K52" i="18"/>
  <c r="K53" i="18"/>
  <c r="L53" i="18"/>
  <c r="L52" i="18"/>
  <c r="I141" i="18"/>
  <c r="I143" i="18"/>
  <c r="I145" i="18"/>
  <c r="I147" i="18"/>
  <c r="I149" i="18"/>
  <c r="I135" i="18"/>
  <c r="I137" i="18"/>
  <c r="I142" i="18"/>
  <c r="I144" i="18"/>
  <c r="I146" i="18"/>
  <c r="I148" i="18"/>
  <c r="I136" i="18"/>
  <c r="I138" i="18"/>
  <c r="I124" i="18"/>
  <c r="I127" i="18"/>
  <c r="J139" i="18"/>
  <c r="H121" i="18"/>
  <c r="I123" i="18"/>
  <c r="I125" i="18"/>
  <c r="I126" i="18"/>
  <c r="I128" i="18"/>
  <c r="I129" i="18"/>
  <c r="I130" i="18"/>
  <c r="I131" i="18"/>
  <c r="I132" i="18"/>
  <c r="I133" i="18"/>
  <c r="I134" i="18"/>
  <c r="H62" i="18"/>
  <c r="C63" i="18"/>
  <c r="I177" i="18" l="1"/>
  <c r="I155" i="18"/>
  <c r="I120" i="18"/>
  <c r="H177" i="18"/>
  <c r="H153" i="18"/>
  <c r="H150" i="18"/>
  <c r="H152" i="18"/>
  <c r="H151" i="18"/>
  <c r="I174" i="18"/>
  <c r="I119" i="18"/>
  <c r="H171" i="18"/>
  <c r="G170" i="18"/>
  <c r="H174" i="18"/>
  <c r="H147" i="18"/>
  <c r="H149" i="18"/>
  <c r="H141" i="18"/>
  <c r="H143" i="18"/>
  <c r="H145" i="18"/>
  <c r="H144" i="18"/>
  <c r="H135" i="18"/>
  <c r="H137" i="18"/>
  <c r="H148" i="18"/>
  <c r="H136" i="18"/>
  <c r="H138" i="18"/>
  <c r="H142" i="18"/>
  <c r="H146" i="18"/>
  <c r="H127" i="18"/>
  <c r="H124" i="18"/>
  <c r="I139" i="18"/>
  <c r="G121" i="18"/>
  <c r="H123" i="18"/>
  <c r="H125" i="18"/>
  <c r="H129" i="18"/>
  <c r="H133" i="18"/>
  <c r="H130" i="18"/>
  <c r="H128" i="18"/>
  <c r="H132" i="18"/>
  <c r="H134" i="18"/>
  <c r="H131" i="18"/>
  <c r="H126" i="18"/>
  <c r="K8" i="10"/>
  <c r="I8" i="10"/>
  <c r="H155" i="18" l="1"/>
  <c r="H120" i="18"/>
  <c r="G153" i="18"/>
  <c r="G150" i="18"/>
  <c r="G152" i="18"/>
  <c r="G151" i="18"/>
  <c r="H119" i="18"/>
  <c r="G171" i="18"/>
  <c r="F170" i="18"/>
  <c r="G141" i="18"/>
  <c r="G135" i="18"/>
  <c r="G137" i="18"/>
  <c r="G142" i="18"/>
  <c r="G144" i="18"/>
  <c r="G146" i="18"/>
  <c r="G148" i="18"/>
  <c r="G136" i="18"/>
  <c r="G138" i="18"/>
  <c r="G143" i="18"/>
  <c r="G145" i="18"/>
  <c r="G147" i="18"/>
  <c r="G149" i="18"/>
  <c r="G127" i="18"/>
  <c r="G124" i="18"/>
  <c r="H139" i="18"/>
  <c r="F121" i="18"/>
  <c r="G123" i="18"/>
  <c r="G125" i="18"/>
  <c r="G126" i="18"/>
  <c r="G128" i="18"/>
  <c r="G129" i="18"/>
  <c r="G130" i="18"/>
  <c r="G131" i="18"/>
  <c r="G132" i="18"/>
  <c r="G133" i="18"/>
  <c r="G134" i="18"/>
  <c r="K8" i="8"/>
  <c r="I8" i="8"/>
  <c r="G155" i="18" l="1"/>
  <c r="G177" i="18"/>
  <c r="G120" i="18"/>
  <c r="F153" i="18"/>
  <c r="F150" i="18"/>
  <c r="F152" i="18"/>
  <c r="F151" i="18"/>
  <c r="G174" i="18"/>
  <c r="G119" i="18"/>
  <c r="F171" i="18"/>
  <c r="E170" i="18"/>
  <c r="F141" i="18"/>
  <c r="F137" i="18"/>
  <c r="F138" i="18"/>
  <c r="F135" i="18"/>
  <c r="F142" i="18"/>
  <c r="F144" i="18"/>
  <c r="F146" i="18"/>
  <c r="F148" i="18"/>
  <c r="F143" i="18"/>
  <c r="F145" i="18"/>
  <c r="F147" i="18"/>
  <c r="F149" i="18"/>
  <c r="F136" i="18"/>
  <c r="F124" i="18"/>
  <c r="F127" i="18"/>
  <c r="G139" i="18"/>
  <c r="E121" i="18"/>
  <c r="F123" i="18"/>
  <c r="F125" i="18"/>
  <c r="F126" i="18"/>
  <c r="F128" i="18"/>
  <c r="F129" i="18"/>
  <c r="F130" i="18"/>
  <c r="F131" i="18"/>
  <c r="F132" i="18"/>
  <c r="F133" i="18"/>
  <c r="F134" i="18"/>
  <c r="E12" i="16"/>
  <c r="E16" i="16"/>
  <c r="E15" i="16"/>
  <c r="E14" i="16"/>
  <c r="E13" i="16"/>
  <c r="E11" i="16"/>
  <c r="E9" i="16"/>
  <c r="E8" i="16"/>
  <c r="F177" i="18" l="1"/>
  <c r="F120" i="18"/>
  <c r="F155" i="18"/>
  <c r="E153" i="18"/>
  <c r="E151" i="18"/>
  <c r="E152" i="18"/>
  <c r="E150" i="18"/>
  <c r="E177" i="18"/>
  <c r="F174" i="18"/>
  <c r="F119" i="18"/>
  <c r="D170" i="18"/>
  <c r="E171" i="18"/>
  <c r="E142" i="18"/>
  <c r="E144" i="18"/>
  <c r="E146" i="18"/>
  <c r="E148" i="18"/>
  <c r="E136" i="18"/>
  <c r="E138" i="18"/>
  <c r="E141" i="18"/>
  <c r="E143" i="18"/>
  <c r="E145" i="18"/>
  <c r="E147" i="18"/>
  <c r="E149" i="18"/>
  <c r="E135" i="18"/>
  <c r="E137" i="18"/>
  <c r="E124" i="18"/>
  <c r="E127" i="18"/>
  <c r="F139" i="18"/>
  <c r="D121" i="18"/>
  <c r="E123" i="18"/>
  <c r="E125" i="18"/>
  <c r="E126" i="18"/>
  <c r="E128" i="18"/>
  <c r="E129" i="18"/>
  <c r="E130" i="18"/>
  <c r="E131" i="18"/>
  <c r="E132" i="18"/>
  <c r="E133" i="18"/>
  <c r="E134" i="18"/>
  <c r="E155" i="18" l="1"/>
  <c r="D153" i="18"/>
  <c r="D151" i="18"/>
  <c r="D152" i="18"/>
  <c r="D150" i="18"/>
  <c r="E174" i="18"/>
  <c r="E120" i="18"/>
  <c r="D171" i="18"/>
  <c r="C170" i="18"/>
  <c r="C121" i="18"/>
  <c r="E119" i="18"/>
  <c r="D146" i="18"/>
  <c r="D143" i="18"/>
  <c r="D142" i="18"/>
  <c r="D136" i="18"/>
  <c r="D138" i="18"/>
  <c r="D141" i="18"/>
  <c r="D147" i="18"/>
  <c r="D135" i="18"/>
  <c r="D137" i="18"/>
  <c r="D144" i="18"/>
  <c r="D148" i="18"/>
  <c r="D145" i="18"/>
  <c r="D149" i="18"/>
  <c r="D127" i="18"/>
  <c r="D124" i="18"/>
  <c r="E139" i="18"/>
  <c r="D123" i="18"/>
  <c r="D125" i="18"/>
  <c r="D128" i="18"/>
  <c r="D132" i="18"/>
  <c r="D133" i="18"/>
  <c r="D131" i="18"/>
  <c r="D126" i="18"/>
  <c r="D130" i="18"/>
  <c r="D129" i="18"/>
  <c r="D134" i="18"/>
  <c r="D155" i="18" l="1"/>
  <c r="D177" i="18"/>
  <c r="C135" i="18"/>
  <c r="C153" i="18"/>
  <c r="C152" i="18"/>
  <c r="C151" i="18"/>
  <c r="C150" i="18"/>
  <c r="C149" i="18"/>
  <c r="C134" i="18"/>
  <c r="C177" i="18"/>
  <c r="D174" i="18"/>
  <c r="D120" i="18"/>
  <c r="C136" i="18"/>
  <c r="C171" i="18"/>
  <c r="D119" i="18"/>
  <c r="C146" i="18"/>
  <c r="C123" i="18"/>
  <c r="C145" i="18"/>
  <c r="C133" i="18"/>
  <c r="C144" i="18"/>
  <c r="C142" i="18"/>
  <c r="C143" i="18"/>
  <c r="C141" i="18"/>
  <c r="C148" i="18"/>
  <c r="C138" i="18"/>
  <c r="C147" i="18"/>
  <c r="C137" i="18"/>
  <c r="C124" i="18"/>
  <c r="C126" i="18"/>
  <c r="D139" i="18"/>
  <c r="C127" i="18"/>
  <c r="C129" i="18"/>
  <c r="C125" i="18"/>
  <c r="C131" i="18"/>
  <c r="C130" i="18"/>
  <c r="C128" i="18"/>
  <c r="C132" i="18"/>
  <c r="C174" i="18" l="1"/>
  <c r="C120" i="18"/>
  <c r="C155" i="18"/>
  <c r="C119" i="18"/>
  <c r="C139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<sst xmlns="http://schemas.openxmlformats.org/spreadsheetml/2006/main" count="773" uniqueCount="221">
  <si>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</si>
  <si>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>Demanda (b.c.)</t>
  </si>
  <si>
    <t>Generación</t>
  </si>
  <si>
    <t>-</t>
  </si>
  <si>
    <t>Solar fotovoltaica</t>
  </si>
  <si>
    <t>Eólica</t>
  </si>
  <si>
    <t>Hidroeólica</t>
  </si>
  <si>
    <t xml:space="preserve">Fuel/gas </t>
  </si>
  <si>
    <t>Turbina de vapor</t>
  </si>
  <si>
    <t>Turbina de gas</t>
  </si>
  <si>
    <t>Motores diésel</t>
  </si>
  <si>
    <t>Carbón</t>
  </si>
  <si>
    <t>Hidráulica</t>
  </si>
  <si>
    <t>GWh</t>
  </si>
  <si>
    <t>Melilla</t>
  </si>
  <si>
    <t>Ceuta</t>
  </si>
  <si>
    <t>Islas Canarias</t>
  </si>
  <si>
    <t>Islas Baleares</t>
  </si>
  <si>
    <r>
      <t xml:space="preserve">Balance de energía eléctrica sistemas no peninsulares </t>
    </r>
    <r>
      <rPr>
        <b/>
        <vertAlign val="superscript"/>
        <sz val="8"/>
        <color rgb="FF004563"/>
        <rFont val="Arial"/>
        <family val="2"/>
      </rPr>
      <t>(1)</t>
    </r>
  </si>
  <si>
    <t>Boletín mensual</t>
  </si>
  <si>
    <t>Total</t>
  </si>
  <si>
    <t>Enlace Península-Baleares</t>
  </si>
  <si>
    <t>Otras renovables</t>
  </si>
  <si>
    <t>Cogeneración</t>
  </si>
  <si>
    <t>Generación auxiliar</t>
  </si>
  <si>
    <t>Ciclo combinado</t>
  </si>
  <si>
    <t>%</t>
  </si>
  <si>
    <t>MW</t>
  </si>
  <si>
    <t>Estructura de potencia instalada mensual. Islas Baleares</t>
  </si>
  <si>
    <t>Estructura de potencia instalada mensual. Islas Canarias</t>
  </si>
  <si>
    <t>Acumulado anual</t>
  </si>
  <si>
    <t>Año móvil</t>
  </si>
  <si>
    <t>Variación mensual</t>
  </si>
  <si>
    <r>
      <t xml:space="preserve">Componentes </t>
    </r>
    <r>
      <rPr>
        <vertAlign val="superscript"/>
        <sz val="8"/>
        <color rgb="FF004563"/>
        <rFont val="Arial"/>
        <family val="2"/>
      </rPr>
      <t>(1)</t>
    </r>
  </si>
  <si>
    <t>Laboralidad</t>
  </si>
  <si>
    <r>
      <t xml:space="preserve">Temperatura </t>
    </r>
    <r>
      <rPr>
        <vertAlign val="superscript"/>
        <sz val="8"/>
        <color rgb="FF004563"/>
        <rFont val="Arial"/>
        <family val="2"/>
      </rPr>
      <t>(2)</t>
    </r>
  </si>
  <si>
    <t>Demanda corregida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</si>
  <si>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La suma de los componentes es igual al tanto por ciento de variación de la demanda total.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</si>
  <si>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Una media de las temperaturas máximas diarias por debajo o por encima de los umbrales de invierno y verano respectivamente, produce aumento de la demanda.</t>
    </r>
  </si>
  <si>
    <t>Sistemas no peninsulares</t>
  </si>
  <si>
    <t>Componentes de la variación de la demanda Islas Baleares</t>
  </si>
  <si>
    <t>Componentes de la variación de la demanda Islas Canarias</t>
  </si>
  <si>
    <t xml:space="preserve"> </t>
  </si>
  <si>
    <t xml:space="preserve">• 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</si>
  <si>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funcionamiento en ciclo abierto.</t>
    </r>
  </si>
  <si>
    <t>Balance de energía eléctrica sistemas no peninsulares</t>
  </si>
  <si>
    <t>Residuos renovables</t>
  </si>
  <si>
    <t>Residuos no renovables</t>
  </si>
  <si>
    <t>Nota: Todos los porcentajes de variación están refereridos al mismo período del año anterior.</t>
  </si>
  <si>
    <t>Baleares</t>
  </si>
  <si>
    <t>Canarias</t>
  </si>
  <si>
    <t>Mes (MWh)</t>
  </si>
  <si>
    <t>Mes año anterior (MWh)</t>
  </si>
  <si>
    <t>% Incr. Mes</t>
  </si>
  <si>
    <t>Año (MWh)</t>
  </si>
  <si>
    <t>Año anterior (MWh)</t>
  </si>
  <si>
    <t>% Incr. Año</t>
  </si>
  <si>
    <t>Año móvil (MWh)</t>
  </si>
  <si>
    <t>% Incr. Año móvil</t>
  </si>
  <si>
    <t>Mes</t>
  </si>
  <si>
    <t>Sistema Eléctrico</t>
  </si>
  <si>
    <t>Indicadores</t>
  </si>
  <si>
    <t>Balance</t>
  </si>
  <si>
    <t>Último día mes</t>
  </si>
  <si>
    <t>Potencia Instalada UFI (MW)</t>
  </si>
  <si>
    <t>Últimos 13 meses</t>
  </si>
  <si>
    <r>
      <t xml:space="preserve">Fuel/gas </t>
    </r>
    <r>
      <rPr>
        <vertAlign val="superscript"/>
        <sz val="9"/>
        <color rgb="FF004563"/>
        <rFont val="Segoe UI"/>
        <family val="2"/>
      </rPr>
      <t>(1)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</si>
  <si>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Baleares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</si>
  <si>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Canarias</t>
    </r>
  </si>
  <si>
    <t>Motores diesel</t>
  </si>
  <si>
    <t>Demanda transporte (b.c.)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</si>
  <si>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</si>
  <si>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</si>
  <si>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(2)</t>
    </r>
  </si>
  <si>
    <r>
      <t xml:space="preserve">Ciclo combinado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</si>
  <si>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funcionamiento en ciclo abierto. En el sistema eléctrico de Canarias utiliza gasoil como combustible principal.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</si>
  <si>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</si>
  <si>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</si>
  <si>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 y turbina de gas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</si>
  <si>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diésel, turbina de gas y vapor.</t>
    </r>
  </si>
  <si>
    <t>Variación Demanda B.C. Mes (%)</t>
  </si>
  <si>
    <t>Efecto Laboralidad Mes (%)</t>
  </si>
  <si>
    <t>Efecto Temperatura Mes (%)</t>
  </si>
  <si>
    <t>Variación Demanda Corregida Mes Móvil (%)</t>
  </si>
  <si>
    <t>Variación Demanda B.C. Año (%)</t>
  </si>
  <si>
    <t>Efecto Laboralidad Año (%)</t>
  </si>
  <si>
    <t>Efecto Temperatura Año (%)</t>
  </si>
  <si>
    <t>Variación Demanda Corregida Año (%)</t>
  </si>
  <si>
    <t>Variación Demanda B.C. Año Móvil (%)</t>
  </si>
  <si>
    <t>Efecto Laboralidad Año Movil (%)</t>
  </si>
  <si>
    <t>Efecto Temperatura Año Movil (%)</t>
  </si>
  <si>
    <t>Variación Demanda Corregida Año Móvil (%)</t>
  </si>
  <si>
    <t>Día</t>
  </si>
  <si>
    <t>MWh</t>
  </si>
  <si>
    <t>Enero 2025</t>
  </si>
  <si>
    <t>Entrega batería</t>
  </si>
  <si>
    <t>Carga batería</t>
  </si>
  <si>
    <t>Febrero 2025</t>
  </si>
  <si>
    <t>Saldo almacenamiento</t>
  </si>
  <si>
    <t>Estructura de potencia instalada de generación Islas Baleares</t>
  </si>
  <si>
    <t>Estructura de potencia instalada de generación Islas Canarias</t>
  </si>
  <si>
    <t xml:space="preserve">Evolución de la estructura de generación de las Islas Baleares
</t>
  </si>
  <si>
    <t xml:space="preserve">Evolución de la estructura de generación de las Islas Canarias
</t>
  </si>
  <si>
    <t>Cobertura de la demanda y estructura de generación mensual. Islas Baleares</t>
  </si>
  <si>
    <t>Estructura de generación mensual. Islas Canarias</t>
  </si>
  <si>
    <t>Estructura generación (%)</t>
  </si>
  <si>
    <t>Cobertura demanda (%)</t>
  </si>
  <si>
    <t>Estructura de generación mensual Islas Baleares</t>
  </si>
  <si>
    <t>Estructura de generación mensual Islas Canarias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</si>
  <si>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biogás.</t>
    </r>
  </si>
  <si>
    <t>Marzo 2025</t>
  </si>
  <si>
    <t>No renovables</t>
  </si>
  <si>
    <t>Renovables</t>
  </si>
  <si>
    <t>Baleares (%)</t>
  </si>
  <si>
    <t>Canarias (%)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</si>
  <si>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funcionamiento en ciclo abierto.</t>
    </r>
  </si>
  <si>
    <r>
      <t xml:space="preserve">Ciclo combinado </t>
    </r>
    <r>
      <rPr>
        <vertAlign val="superscript"/>
        <sz val="9"/>
        <color rgb="FF004563"/>
        <rFont val="Segoe UI"/>
        <family val="2"/>
      </rPr>
      <t>(1)</t>
    </r>
  </si>
  <si>
    <t>Abril 2025</t>
  </si>
  <si>
    <t>Mayo 2025</t>
  </si>
  <si>
    <t>Producción</t>
  </si>
  <si>
    <t>Estructura de potencia instalada de almacenamiento 
Islas Baleares</t>
  </si>
  <si>
    <t>Baterías</t>
  </si>
  <si>
    <t>Saldo</t>
  </si>
  <si>
    <t>Entregas a la red</t>
  </si>
  <si>
    <t>Tomas de la red</t>
  </si>
  <si>
    <t>Evolución de la energía de almacenamiento 
Islas Baleares</t>
  </si>
  <si>
    <t>Balance de energía de almacenamiento 
Islas Baleares</t>
  </si>
  <si>
    <t>Saldo total Islas Baleares</t>
  </si>
  <si>
    <t>Entrega baterías</t>
  </si>
  <si>
    <t>Estructura de energía de almacenamiento Islas Baleares</t>
  </si>
  <si>
    <t>Junio 2025</t>
  </si>
  <si>
    <t>Julio 2025</t>
  </si>
  <si>
    <t>Carga baterías</t>
  </si>
  <si>
    <t>Agosto 2025</t>
  </si>
  <si>
    <t>Septiembre 2025</t>
  </si>
  <si>
    <t>Octubre 2025</t>
  </si>
  <si>
    <t>Estructura de energía de almacenamiento Islas Canarias</t>
  </si>
  <si>
    <t>Saldo almacenamiento Baleares</t>
  </si>
  <si>
    <t>Saldo almacenamiento Canarias</t>
  </si>
  <si>
    <t>Evolución de la energía de almacenamiento (MWh)</t>
  </si>
  <si>
    <t>Estructura de potencia instalada de almacenamiento 
Islas Canarias</t>
  </si>
  <si>
    <t>Evolución de la energía de almacenamiento 
Islas Canarias</t>
  </si>
  <si>
    <t>Balance de energía de almacenamiento 
Islas Canarias</t>
  </si>
  <si>
    <t>Saldo total Islas Canarias</t>
  </si>
  <si>
    <t>Abril 2026</t>
  </si>
  <si>
    <t>30/04/2026</t>
  </si>
  <si>
    <t>&lt;mi app="e" ver="22"&gt;&lt;rptloc guid="1cd74fe626db4be0a2fcb96304e1ba6d"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ut="05/13/2026 10:35:46" si="2.000000015bd38bf0fa0186547343cb804a76568f8e6115c75235190cea619a75ab9d110d26477f25a640457631e0a1c2b17eb55f507c50ecedee5ce653921025ba247002af71d0df9b31f5934b447ce247a0a36e7e1137fc75457febc9f82a5b15999638a0e5fc732e013818fbda9ed4d18e2ac1e388dab7a9f7742bf027ed83168320eac51c4d47df11fdde749eb5773057c91bdcec634e7a6abf987401e2a23f5ae52a71ffc782d9e6b17cf98058dca73a493c7314d260e79f2840eac577a83edce15421a0890786da0969c3f35cc1365d300d6f132da63198350dcf2a651cd02be7a971f4ac3389cdf74654b027bc54cdcd45c42f7be9b924074604ddf924397fe1e3519537cf77060125d13ec83ddbe21b9bde099dc93acf04843a0264e4ea52.p-3082.0.1_-3082.0.1_0.1.Europe/Madrid.upriv*_1*_pidn2*_6*_session*-lat*_1.0000000183aabda5ffa01663ae26813f680c1e82bc6025e0ddf8b37537b0404251712a6e21d2d3b7dd932afbd8280175c9415b5166c52cef.0000000199b9667719ab619923247dbc51e4da75bc6025e0cb73bdfc7b40f75e4801f18fa124b7a361ac7a2247734a99ecb9cfecc5d6320d.0.1.1.BDEbi.A2E2948BC74B9CF051A963A6CEDDABFA.0-3082.1.1_-0.1.0_-3082.1.1_5.5.0.*0.00000001be73f4a5056128bf8a156f476c911a97c911585a1686f9657c5f4d49eeb686a839189c2e.0.23.11*.4*.1200*.00787J.e.000000013ad08b88c734b27f2e526f001fe4a733c911585ac3763360232f7c56a4383ec5e64351cf.0.10*.131*.138*.19.*0.0.0.0" msgID="C05AFB79AF4A62ABAB9A3891A8B281F2"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nrr="113"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</si>
  <si>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guid="51b9243dd4a64af3bc085fad164b8a9f" rank="0" ds="1"&gt;&lt;ri hasPG="0" name="Balance B.C. Mensual Sistemas Eléctricos no Peninsulares" id="0CD2FE5A4DC94A40A112BF8B59A83511" path="Objetos públicos\Informes\Informes macros\Boletín\Balance B.C. Mensual Sistemas Eléctricos no Peninsulares"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ut="05/13/2026 10:38:43" si="2.000000015bd38bf0fa0186547343cb804a76568f8e6115c75235190cea619a75ab9d110d26477f25a640457631e0a1c2b17eb55f507c50ecedee5ce653921025ba247002af71d0df9b31f5934b447ce247a0a36e7e1137fc75457febc9f82a5b15999638a0e5fc732e013818fbda9ed4d18e2ac1e388dab7a9f7742bf027ed83168320eac51c4d47df11fdde749eb5773057c91bdcec634e7a6abf987401e2a23f5ae52a71ffc782d9e6b17cf98058dca73a493c7314d260e79f2840eac577a83edce15421a0890786da0969c3f35cc1365d300d6f132da63198350dcf2a651cd02be7a971f4ac3389cdf74654b027bc54cdcd45c42f7be9b924074604ddf924397fe1e3519537cf77060125d13ec83ddbe21b9bde099dc93acf04843a0264e4ea52.p-3082.0.1_-3082.0.1_0.1.Europe/Madrid.upriv*_1*_pidn2*_6*_session*-lat*_1.0000000183aabda5ffa01663ae26813f680c1e82bc6025e0ddf8b37537b0404251712a6e21d2d3b7dd932afbd8280175c9415b5166c52cef.0000000199b9667719ab619923247dbc51e4da75bc6025e0cb73bdfc7b40f75e4801f18fa124b7a361ac7a2247734a99ecb9cfecc5d6320d.0.1.1.BDEbi.A2E2948BC74B9CF051A963A6CEDDABFA.0-3082.1.1_-0.1.0_-3082.1.1_5.5.0.*0.00000001be73f4a5056128bf8a156f476c911a97c911585a1686f9657c5f4d49eeb686a839189c2e.0.23.11*.4*.1200*.00787J.e.000000013ad08b88c734b27f2e526f001fe4a733c911585ac3763360232f7c56a4383ec5e64351cf.0.10*.131*.138*.19.*0.0.0.0" msgID="D63B43B3894C68826338478C2473A362"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enr="MSTR.Balance_B.C._Mensual_Sistemas_Eléctricos_no_Peninsulares" ptn="" qtn="" rows="23" cols="33" /&gt;&lt;esdo ews="" ece="" ptn="" /&gt;&lt;/excel&gt;&lt;pgs&gt;&lt;pg rows="19" cols="32" nrr="2043" nrc="3776"&gt;&lt;pg /&gt;&lt;bls&gt;&lt;bl sr="1" sc="1" rfetch="19" cfetch="32" posid="1" darows="0" dacols="1"&gt;&lt;excel&gt;&lt;epo ews="Dat_01" ece="A4" enr="MSTR.Balance_B.C._Mensual_Sistemas_Eléctricos_no_Peninsulares" ptn="" qtn="" rows="23" cols="33" /&gt;&lt;esdo ews="" ece="" ptn="" /&gt;&lt;/excel&gt;&lt;gridRng&gt;&lt;sect id="TITLE_AREA" rngprop="1:1:4:1" /&gt;&lt;sect id="ROWHEADERS_AREA" rngprop="5:1:19:1" /&gt;&lt;sect id="COLUMNHEADERS_AREA" rngprop="1:2:4:32" /&gt;&lt;sect id="DATA_AREA" rngprop="5:2:19:32" /&gt;&lt;/gridRng&gt;&lt;shapes /&gt;&lt;/bl&gt;&lt;/bls&gt;&lt;/pg&gt;&lt;/pgs&gt;&lt;/rptloc&gt;&lt;/mi&gt;</t>
  </si>
  <si>
    <t>Noviembre 2025</t>
  </si>
  <si>
    <t>Diciembre 2025</t>
  </si>
  <si>
    <t>Enero 2026</t>
  </si>
  <si>
    <t>Febrero 2026</t>
  </si>
  <si>
    <t>Marzo 2026</t>
  </si>
  <si>
    <t>Mayo 2026</t>
  </si>
  <si>
    <t>&lt;mi app="e" ver="22"&gt;&lt;rptloc guid="69137ec50e134071a0874318e64c6117" rank="0" ds="1"&gt;&lt;ri hasPG="0" name="Serie Balance B.C. Mensual Baleares y Canarias" id="DC9C734C4A624A40A9D87789D6F66867" path="Objetos públicos\Informes\Informes macros\Boletín\Serie Balance B.C. Mensual Baleares y Canarias" cf="0" prompt="0" ve="0" vm="0" flashpth="d:\Usuarios\ARACABIV\AppData\Local\Temp\" fimagepth="d:\Usuarios\ARACABIV\AppData\Local\Temp\" swfn="DashboardViewer.swf" fvars="" dvis=""&gt;&lt;ci ps="BI" srv="apbi5a" prj="BDEbi" prjid="A2E2948BC74B9CF051A963A6CEDDABFA" li="SEVPENMA" am="s" /&gt;&lt;lu ut="05/13/2026 10:55:02" si="2.000000015bd38bf0fa0186547343cb804a76568f8e6115c75235190cea619a75ab9d110d26477f25a640457631e0a1c2b17eb55f507c50ecedee5ce653921025ba247002af71d0df9b31f5934b447ce247a0a36e7e1137fc75457febc9f82a5b15999638a0e5fc732e013818fbda9ed4d18e2ac1e388dab7a9f7742bf027ed83168320eac51c4d47df11fdde749eb5773057c91bdcec634e7a6abf987401e2a23f5ae52a71ffc782d9e6b17cf98058dca73a493c7314d260e79f2840eac577a83edce15421a0890786da0969c3f35cc1365d300d6f132da63198350dcf2a651cd02be7a971f4ac3389cdf74654b027bc54cdcd45c42f7be9b924074604ddf924397fe1e3519537cf77060125d13ec83ddbe21b9bde099dc93acf04843a0264e4ea52.p-3082.0.1_-3082.0.1_0.1.Europe/Madrid.upriv*_1*_pidn2*_6*_session*-lat*_1.0000000183aabda5ffa01663ae26813f680c1e82bc6025e0ddf8b37537b0404251712a6e21d2d3b7dd932afbd8280175c9415b5166c52cef.0000000199b9667719ab619923247dbc51e4da75bc6025e0cb73bdfc7b40f75e4801f18fa124b7a361ac7a2247734a99ecb9cfecc5d6320d.0.1.1.BDEbi.A2E2948BC74B9CF051A963A6CEDDABFA.0-3082.1.1_-0.1.0_-3082.1.1_5.5.0.*0.00000001be73f4a5056128bf8a156f476c911a97c911585a1686f9657c5f4d49eeb686a839189c2e.0.23.11*.4*.1200*.00787J.e.000000013ad08b88c734b27f2e526f001fe4a733c911585ac3763360232f7c56a4383ec5e64351cf.0.10*.131*.138*.19.*0.0.0.0" msgID="9AB208CC7B4EE0EBABF9B9A11B17B203"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ece="A85" enr="MSTR.Serie_Balance_B.C._Mensual_Baleares_y_Canarias" ptn="" qtn="" rows="32" cols="19" /&gt;&lt;esdo ews="" ece="" ptn="" /&gt;&lt;/excel&gt;&lt;pgs&gt;&lt;pg rows="29" cols="17" nrr="2895" nrc="2184"&gt;&lt;pg /&gt;&lt;bls&gt;&lt;bl sr="1" sc="1" rfetch="29" cfetch="17" posid="1" darows="0" dacols="1"&gt;&lt;excel&gt;&lt;epo ews="Dat_01" ece="A85" enr="MSTR.Serie_Balance_B.C._Mensual_Baleares_y_Canarias" ptn="" qtn="" rows="32" cols="19" /&gt;&lt;esdo ews="" ece="" ptn="" /&gt;&lt;/excel&gt;&lt;gridRng&gt;&lt;sect id="TITLE_AREA" rngprop="1:1:3:2" /&gt;&lt;sect id="ROWHEADERS_AREA" rngprop="4:1:29:2" /&gt;&lt;sect id="COLUMNHEADERS_AREA" rngprop="1:3:3:17" /&gt;&lt;sect id="DATA_AREA" rngprop="4:3:29:17" /&gt;&lt;/gridRng&gt;&lt;shapes /&gt;&lt;/bl&gt;&lt;/bls&gt;&lt;/pg&gt;&lt;/pgs&gt;&lt;/rptloc&gt;&lt;/mi&gt;</t>
  </si>
  <si>
    <t>&lt;mi app="e" ver="22"&gt;&lt;rptloc guid="2eac5bc28b7e4820873260efe39a6a01"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srv="apbi6a" prj="BDEbi" prjid="A2E2948BC74B9CF051A963A6CEDDABFA" li="SEVPENMA" am="s" /&gt;&lt;lu ut="05/13/2026 11:03:58" si="2.00000001ecee8aed5241c0ae5c5803852985061df764bcb0e39e5aded086f2acfb261388de17907dd33a6c09bfb38b6823facd0e56c16c54cee120e848275a676ee7822a061684fd3e179e34c634baddeef06c903b93cdfae223857c8bc0a1c8dc26e8deb0c1d8b74bec6cb9b2dedb797b4299257bddd173379ee34ca1dd6947c67bd74feb1d2f590ee17c830bffa5330c670fa61c3fbd3ad99c3998c41d5670e0b3b46b90349128d88af94fdd4405cba23ace7677342035a8ce4589c75754aaeb5c5e1701d743c46b20142d6b2d9d7e00b6715490fbd759fafb0f4be19d1ccff0a9140c8695a52528c9e9eca3cf56d904b8d9d9e679d2724759f078b9905801df9f48394fa570246ed344abf41211ceaa86e4ba0b3cdaa045f3db88a877ba4f4446.p-3082.0.1_-3082.0.1_0.1.Europe/Madrid.upriv*_1*_pidn2*_6*_session*-lat*_1.0000000119c5d4f831c4cb63af14f69eef9fcecebc6025e092d5561cc2ab87e7e77ce7d6dbc696f6f2646c3d8a8599b8296c5ae3709c10c8.00000001d272844e55d16b875f9e6a53245b4a7ebc6025e0dd3d73b0829d18ccabb019bd6783eb7b3143aa6a91f2126893990104aefb8098.0.1.1.BDEbi.A2E2948BC74B9CF051A963A6CEDDABFA.0-3082.1.1_-0.1.0_-3082.1.1_5.5.0.*0.000000011ca349f14ced03038a3aabd7734510eec911585a3004ecea03da7bca169e71a9c159a411.0.23.11*.4*.1200*.00787J.e.00000001f8d8888f9a70bc098d4908c2d7842531c911585a50185058d0e8437de3da3bf9fc31b280.0.10*.131*.138*.19.*0.0.0.0" msgID="64C26FC0514AB7069F388A94D421A961"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ece="A158" enr="MSTR.Variación_y_componentes_mensual_de_la_demanda" ptn="" qtn="" rows="4" cols="14" /&gt;&lt;esdo ews="" ece="" ptn="" /&gt;&lt;/excel&gt;&lt;pgs&gt;&lt;pg rows="1" cols="12" nrr="2" nrc="24"&gt;&lt;pg /&gt;&lt;bls&gt;&lt;bl sr="1" sc="1" rfetch="1" cfetch="12" posid="1" darows="0" dacols="1"&gt;&lt;excel&gt;&lt;epo ews="Dat_01" ece="A158" enr="MSTR.Variación_y_componentes_mensual_de_la_demanda"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</si>
  <si>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guid="0eff69de833b422c8e8b7dee026eaa25"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srv="apbi6a" prj="BDEbi" prjid="A2E2948BC74B9CF051A963A6CEDDABFA" li="SEVPENMA" am="s" /&gt;&lt;lu ut="05/13/2026 11:04:33" si="2.00000001ecee8aed5241c0ae5c5803852985061df764bcb0e39e5aded086f2acfb261388de17907dd33a6c09bfb38b6823facd0e56c16c54cee120e848275a676ee7822a061684fd3e179e34c634baddeef06c903b93cdfae223857c8bc0a1c8dc26e8deb0c1d8b74bec6cb9b2dedb797b4299257bddd173379ee34ca1dd6947c67bd74feb1d2f590ee17c830bffa5330c670fa61c3fbd3ad99c3998c41d5670e0b3b46b90349128d88af94fdd4405cba23ace7677342035a8ce4589c75754aaeb5c5e1701d743c46b20142d6b2d9d7e00b6715490fbd759fafb0f4be19d1ccff0a9140c8695a52528c9e9eca3cf56d904b8d9d9e679d2724759f078b9905801df9f48394fa570246ed344abf41211ceaa86e4ba0b3cdaa045f3db88a877ba4f4446.p-3082.0.1_-3082.0.1_0.1.Europe/Madrid.upriv*_1*_pidn2*_6*_session*-lat*_1.0000000119c5d4f831c4cb63af14f69eef9fcecebc6025e092d5561cc2ab87e7e77ce7d6dbc696f6f2646c3d8a8599b8296c5ae3709c10c8.00000001d272844e55d16b875f9e6a53245b4a7ebc6025e0dd3d73b0829d18ccabb019bd6783eb7b3143aa6a91f2126893990104aefb8098.0.1.1.BDEbi.A2E2948BC74B9CF051A963A6CEDDABFA.0-3082.1.1_-0.1.0_-3082.1.1_5.5.0.*0.000000011ca349f14ced03038a3aabd7734510eec911585a3004ecea03da7bca169e71a9c159a411.0.23.11*.4*.1200*.00787J.e.00000001f8d8888f9a70bc098d4908c2d7842531c911585a50185058d0e8437de3da3bf9fc31b280.0.10*.131*.138*.19.*0.0.0.0" msgID="4D077FB0D0409BA33B6E8DBB646F4494"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ece="A164" enr="MSTR.Variación_y_componentes_mensual_de_la_demanda.1" ptn="" qtn="" rows="4" cols="14" /&gt;&lt;esdo ews="" ece="" ptn="" /&gt;&lt;/excel&gt;&lt;pgs&gt;&lt;pg rows="1" cols="12" nrr="3" nrc="36"&gt;&lt;pg /&gt;&lt;bls&gt;&lt;bl sr="1" sc="1" rfetch="1" cfetch="12" posid="1" darows="0" dacols="1"&gt;&lt;excel&gt;&lt;epo ews="Dat_01" ece="A164" enr="MSTR.Variación_y_componentes_mensual_de_la_demanda.1"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</si>
  <si>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Autoconsumo</t>
  </si>
  <si>
    <t xml:space="preserve">Evolución de la potencia instalada autoconsumo 
Islas Baleares </t>
  </si>
  <si>
    <t xml:space="preserve">Generación autoconsumo 
Islas Baleares </t>
  </si>
  <si>
    <t xml:space="preserve">Evolución de la potencia instalada autoconsumo 
Islas Canarias </t>
  </si>
  <si>
    <t xml:space="preserve">Generación autoconsumo 
Islas Canarias </t>
  </si>
  <si>
    <t>Sistema Extrapeninsular</t>
  </si>
  <si>
    <t>Potencia instalada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</si>
  <si>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</si>
  <si>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</si>
  <si>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</si>
  <si>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</si>
  <si>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</si>
  <si>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</si>
  <si>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</si>
  <si>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2025 Noviembre</t>
  </si>
  <si>
    <t>2025 Diciembre</t>
  </si>
  <si>
    <t>2026 Enero</t>
  </si>
  <si>
    <t>2026 Febrero</t>
  </si>
  <si>
    <t>2026 Marzo</t>
  </si>
  <si>
    <t>Combustible</t>
  </si>
  <si>
    <t>Otras Renovables</t>
  </si>
  <si>
    <t>Solar Fotovoltaica</t>
  </si>
  <si>
    <t>Solar Térmica</t>
  </si>
  <si>
    <t>Ciclo Combinado</t>
  </si>
  <si>
    <t>Motor diésel</t>
  </si>
  <si>
    <t>Residuos no Renovables</t>
  </si>
  <si>
    <t>Residuos Renovables</t>
  </si>
  <si>
    <t>Turbina de Gas</t>
  </si>
  <si>
    <t>Potencia instalada autoconsumo Islas Baleares porcentaje sobre total</t>
  </si>
  <si>
    <t>Potencia autoconsumo/Potencia total</t>
  </si>
  <si>
    <t>Turbina de Vapor</t>
  </si>
  <si>
    <t>Potencia instalada autoconsumo Islas Canarias porcentaje sobre total</t>
  </si>
  <si>
    <t>Generación autoconsumo Islas Baleares (MWh)</t>
  </si>
  <si>
    <t>Energia Generada MWh</t>
  </si>
  <si>
    <t>Energía autoconsumida</t>
  </si>
  <si>
    <t>Combustible Desglose Autoconsumo</t>
  </si>
  <si>
    <t>BIG</t>
  </si>
  <si>
    <t>EOT</t>
  </si>
  <si>
    <t>GFP</t>
  </si>
  <si>
    <t>GSN</t>
  </si>
  <si>
    <t>SOF</t>
  </si>
  <si>
    <t>SOT</t>
  </si>
  <si>
    <t>Total MWh</t>
  </si>
  <si>
    <t>Vertida MWh</t>
  </si>
  <si>
    <t>Autoconsumida MWh</t>
  </si>
  <si>
    <t>Total %</t>
  </si>
  <si>
    <t>Generación total autoconsumo</t>
  </si>
  <si>
    <t>Solar térmica</t>
  </si>
  <si>
    <t>Generación total Islas Baleares (MWh)</t>
  </si>
  <si>
    <t>Generación total</t>
  </si>
  <si>
    <t>Renovables con autoconsumo</t>
  </si>
  <si>
    <t>Generación autoconsumo Islas Canarias (GWh)</t>
  </si>
  <si>
    <t>HID</t>
  </si>
  <si>
    <t>Generación total Islas Canarias (MWh)</t>
  </si>
  <si>
    <t>&lt;mi app="e" ver="22"&gt;&lt;rptloc guid="1efe8bfb7d4b46efaffdf77bc069c8db"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ut="05/13/2026 14:09:37" si="2.00000001b0945bca264de8a8e50e813a4c701dbcfa475f6d00484d16338b784ae714d3104e23528f2340f67908dcce7a5061f6a5bccfc7a6393c9464a4500a500ec5b8aa24d29feb64df18c89820d9fb9e3b942ac02e953dc27e65c00608c0eae2927384a6064da8cf1d846f17c1ee9f4a59a109334bc02b7de1aeb73cd5d243afb9da95c925d3b75bd0e52fe7c50172eedc308f4a8e81f08a150088afeb6ecbe8057ed8640a5eda1aea0b8333ba42f5cbb6149faa16ced436da7a17c956594065c8442730042631665de6222dea54ac2877a658b3d9a96a1c5be6ab2cad83d3c9e2ea6b2e0bd87efa5de32ba500a8863c62d351a01265c21107f6f6bf33d787fc1b42312cc9eb3c5af9d3d4b7b06dc70900710e3ecfcaa978631f70f3dd569f364a.p-3082.0.1_-3082.0.1_0.1.Europe/Madrid.upriv*_1*_pidn2*_6*_session*-lat*_1.000000010181b8c153b7ef9d0a1a2a3d69c8a574bc6025e0f7b2b3ec6b543c92f599a629ddc3d3352c30387c0feffdaaef553464845c2e36.0000000150eb3a6e9d2de9a818cb9cc9416d928cbc6025e04fdf06c481733059bbe20f068ede4e9995876e597a916e4891d7729e8f31fc30.0.1.1.BDEbi.A2E2948BC74B9CF051A963A6CEDDABFA.0-3082.1.1_-0.1.0_-3082.1.1_5.5.0.*0.00000001806d82daa8b05830f662ea3b9a60e9d2c911585a39b04510037bda8ca87cc8c4e0634be3.0.23.11*.4*.1200*.00787J.e.0000000178a2fb5d12433006080b62a1c58e4bd4c911585a4854084e670d70566f3f2cdf2a3d72e1.0.10*.131*.138*.19.*0.0.0.0" msgID="642B8944B44D02BFF68E8386DDFB6F8C"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/&gt;&lt;/do&gt;&lt;pgs&gt;&lt;pg rows="1" cols="0" nrr="1" nrc="0"&gt;&lt;pg /&gt;&lt;bls&gt;&lt;bl sr="1" sc="1" rfetch="1" cfetch="0" posid="1" darows="0" dacols="1"&gt;&lt;excel&gt;&lt;epo ews="Dat_02" ece="A1" enr="MSTR.Mes_del_informe.1"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</si>
  <si>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2026 Abril</t>
  </si>
  <si>
    <t>&lt;mi app="e" ver="22"&gt;&lt;rptloc guid="aeb5069ee23142108d1fb9df0c221df6"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ut="05/13/2026 14:11:24" si="2.0000000192a92521a48f765f9b5b44c8bc6ceb218ba8f5dea8da10d610d7fb7d9d9a9a0bcc8324a789b61226bbd0dcc8d89c69f5b661edff8f0a6b5196cbef9a7f763d391fe6cda932fc831322b3c0c15ee917233ee6474c657c08147592adab2c289a6bca38fd50d4f00459d392bb91a2d306c7cd45c1d93426e6346331736405cf4fe40af9945b8393fdf4a8c947d7dca75e533de59216977fda81c8e26d4f987b6749444cc37674336a5997ff11d149b3603d5ff0983a036f1927269ecb4d5737ba8d4560af88461cf3bbce83df357d278e372205cab8110f4f19f9ee9268489f1ab0a0bd57ef732352ada0698df679e4e023a2fb9c97a69ea109215a5474a1946c4b1eca3661ded3289ca8d392d66b66e64eec1c6ef1cdca82159c4f54144840.p-3082.0.1_-3082.0.1_0.1.Europe/Madrid.upriv*_1*_pidn2*_6*_session*-lat*_1.00000001f15f2d5a977efd5ed74b028b4b144966bc6025e0774f6ec4ff8a39d16438d7df4cb7d80006ebc72a538f1b9d1b10cf100d4f3eff.00000001668003f9cec0d948d64ed1a6e867930cbc6025e0a4db425f3402e7bf4f8a8db01061eca4901bf6b78e1f1bec6b1318daba6c135c.0.1.1.SIOSbi.80652F57504C7F8E3D7CF2B0B09EA47F.0-3082.1.1_-0.1.0_-3082.1.1_5.5.0.*0.000000017d13e6a17f2fafe93af42c38b1bcb062c911585afe4ae461b1d1f96b7530f28c50136b69.0.23.11*.4*.1200*.00787J.e.00000001de6b1350f8402b1f2df6579a4bc2e9f4c911585ae2e0e894cbcf9a77937f0052f957a04c.0.10*.131*.138*.19.*0.0.0.0" msgID="E5C194BDCD46DE413ACC9A89B66FA548"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/&gt;&lt;/do&gt;&lt;pgs&gt;&lt;pg rows="6" cols="13" nrr="6" nrc="13"&gt;&lt;pg&gt;&lt;attEl aeid="BB:771DC27940DB47705168CFB03E3D5ADD:1:2:0:2:1:3:1:Baleares" aedn="Baleares" aen="Sistema Extrapeninsular" /&gt;&lt;/pg&gt;&lt;bls&gt;&lt;bl sr="1" sc="1" rfetch="6" cfetch="13" posid="1" darows="1" dacols="1"&gt;&lt;excel&gt;&lt;epo ews="Dat_02" ece="A4" enr="MSTR.Potencia_instalada_Autoconsumo.2"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</si>
  <si>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guid="c240c808041e4cafa350b0d6b505cbfd"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ut="05/13/2026 14:11:58" si="2.0000000192a92521a48f765f9b5b44c8bc6ceb218ba8f5dea8da10d610d7fb7d9d9a9a0bcc8324a789b61226bbd0dcc8d89c69f5b661edff8f0a6b5196cbef9a7f763d391fe6cda932fc831322b3c0c15ee917233ee6474c657c08147592adab2c289a6bca38fd50d4f00459d392bb91a2d306c7cd45c1d93426e6346331736405cf4fe40af9945b8393fdf4a8c947d7dca75e533de59216977fda81c8e26d4f987b6749444cc37674336a5997ff11d149b3603d5ff0983a036f1927269ecb4d5737ba8d4560af88461cf3bbce83df357d278e372205cab8110f4f19f9ee9268489f1ab0a0bd57ef732352ada0698df679e4e023a2fb9c97a69ea109215a5474a1946c4b1eca3661ded3289ca8d392d66b66e64eec1c6ef1cdca82159c4f54144840.p-3082.0.1_-3082.0.1_0.1.Europe/Madrid.upriv*_1*_pidn2*_6*_session*-lat*_1.00000001f15f2d5a977efd5ed74b028b4b144966bc6025e0774f6ec4ff8a39d16438d7df4cb7d80006ebc72a538f1b9d1b10cf100d4f3eff.00000001668003f9cec0d948d64ed1a6e867930cbc6025e0a4db425f3402e7bf4f8a8db01061eca4901bf6b78e1f1bec6b1318daba6c135c.0.1.1.SIOSbi.80652F57504C7F8E3D7CF2B0B09EA47F.0-3082.1.1_-0.1.0_-3082.1.1_5.5.0.*0.000000017d13e6a17f2fafe93af42c38b1bcb062c911585afe4ae461b1d1f96b7530f28c50136b69.0.23.11*.4*.1200*.00787J.e.00000001de6b1350f8402b1f2df6579a4bc2e9f4c911585ae2e0e894cbcf9a77937f0052f957a04c.0.10*.131*.138*.19.*0.0.0.0" msgID="FD4FFFCC5B40F32EF87F1CA7F93517C8"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/&gt;&lt;/do&gt;&lt;pgs&gt;&lt;pg rows="13" cols="13" nrr="13" nrc="13"&gt;&lt;pg&gt;&lt;attEl aeid="BB:771DC27940DB47705168CFB03E3D5ADD:1:2:0:2:1:3:1:Baleares" aedn="Baleares" aen="Sistema Extrapeninsular" /&gt;&lt;/pg&gt;&lt;bls&gt;&lt;bl sr="1" sc="1" rfetch="13" cfetch="13" posid="1" darows="1" dacols="1"&gt;&lt;excel&gt;&lt;epo ews="Dat_02" ece="A15" enr="MSTR.Potencia_instalada_Total.2"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</si>
  <si>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guid="e3c46d034ece4d3aa6b38f514f07435d"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ut="05/13/2026 14:12:48" si="2.0000000192a92521a48f765f9b5b44c8bc6ceb218ba8f5dea8da10d610d7fb7d9d9a9a0bcc8324a789b61226bbd0dcc8d89c69f5b661edff8f0a6b5196cbef9a7f763d391fe6cda932fc831322b3c0c15ee917233ee6474c657c08147592adab2c289a6bca38fd50d4f00459d392bb91a2d306c7cd45c1d93426e6346331736405cf4fe40af9945b8393fdf4a8c947d7dca75e533de59216977fda81c8e26d4f987b6749444cc37674336a5997ff11d149b3603d5ff0983a036f1927269ecb4d5737ba8d4560af88461cf3bbce83df357d278e372205cab8110f4f19f9ee9268489f1ab0a0bd57ef732352ada0698df679e4e023a2fb9c97a69ea109215a5474a1946c4b1eca3661ded3289ca8d392d66b66e64eec1c6ef1cdca82159c4f54144840.p-3082.0.1_-3082.0.1_0.1.Europe/Madrid.upriv*_1*_pidn2*_6*_session*-lat*_1.00000001f15f2d5a977efd5ed74b028b4b144966bc6025e0774f6ec4ff8a39d16438d7df4cb7d80006ebc72a538f1b9d1b10cf100d4f3eff.00000001668003f9cec0d948d64ed1a6e867930cbc6025e0a4db425f3402e7bf4f8a8db01061eca4901bf6b78e1f1bec6b1318daba6c135c.0.1.1.SIOSbi.80652F57504C7F8E3D7CF2B0B09EA47F.0-3082.1.1_-0.1.0_-3082.1.1_5.5.0.*0.000000017d13e6a17f2fafe93af42c38b1bcb062c911585afe4ae461b1d1f96b7530f28c50136b69.0.23.11*.4*.1200*.00787J.e.00000001de6b1350f8402b1f2df6579a4bc2e9f4c911585ae2e0e894cbcf9a77937f0052f957a04c.0.10*.131*.138*.19.*0.0.0.0" msgID="0BD7E0BA044EB1AAD2349FADF45A0CA0"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/&gt;&lt;/do&gt;&lt;pgs&gt;&lt;pg rows="6" cols="13" nrr="6" nrc="13"&gt;&lt;pg&gt;&lt;attEl aeid="BB:771DC27940DB47705168CFB03E3D5ADD:1:2:0:2:1:3:2:Canarias" aedn="Canarias" aen="Sistema Extrapeninsular" /&gt;&lt;/pg&gt;&lt;bls&gt;&lt;bl sr="1" sc="1" rfetch="6" cfetch="13" posid="1" darows="1" dacols="1"&gt;&lt;excel&gt;&lt;epo ews="Dat_02" ece="A37" enr="MSTR.Potencia_instalada_Autoconsumo.3"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</si>
  <si>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guid="d8f78188505f45348b473716edc2d322"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ut="05/13/2026 14:13:06" si="2.0000000192a92521a48f765f9b5b44c8bc6ceb218ba8f5dea8da10d610d7fb7d9d9a9a0bcc8324a789b61226bbd0dcc8d89c69f5b661edff8f0a6b5196cbef9a7f763d391fe6cda932fc831322b3c0c15ee917233ee6474c657c08147592adab2c289a6bca38fd50d4f00459d392bb91a2d306c7cd45c1d93426e6346331736405cf4fe40af9945b8393fdf4a8c947d7dca75e533de59216977fda81c8e26d4f987b6749444cc37674336a5997ff11d149b3603d5ff0983a036f1927269ecb4d5737ba8d4560af88461cf3bbce83df357d278e372205cab8110f4f19f9ee9268489f1ab0a0bd57ef732352ada0698df679e4e023a2fb9c97a69ea109215a5474a1946c4b1eca3661ded3289ca8d392d66b66e64eec1c6ef1cdca82159c4f54144840.p-3082.0.1_-3082.0.1_0.1.Europe/Madrid.upriv*_1*_pidn2*_6*_session*-lat*_1.00000001f15f2d5a977efd5ed74b028b4b144966bc6025e0774f6ec4ff8a39d16438d7df4cb7d80006ebc72a538f1b9d1b10cf100d4f3eff.00000001668003f9cec0d948d64ed1a6e867930cbc6025e0a4db425f3402e7bf4f8a8db01061eca4901bf6b78e1f1bec6b1318daba6c135c.0.1.1.SIOSbi.80652F57504C7F8E3D7CF2B0B09EA47F.0-3082.1.1_-0.1.0_-3082.1.1_5.5.0.*0.000000017d13e6a17f2fafe93af42c38b1bcb062c911585afe4ae461b1d1f96b7530f28c50136b69.0.23.11*.4*.1200*.00787J.e.00000001de6b1350f8402b1f2df6579a4bc2e9f4c911585ae2e0e894cbcf9a77937f0052f957a04c.0.10*.131*.138*.19.*0.0.0.0" msgID="053828F086464DEBD178EA9347F44161"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/&gt;&lt;/do&gt;&lt;pgs&gt;&lt;pg rows="13" cols="13" nrr="13" nrc="13"&gt;&lt;pg&gt;&lt;attEl aeid="BB:771DC27940DB47705168CFB03E3D5ADD:1:2:0:2:1:3:2:Canarias" aedn="Canarias" aen="Sistema Extrapeninsular" /&gt;&lt;/pg&gt;&lt;bls&gt;&lt;bl sr="1" sc="1" rfetch="13" cfetch="13" posid="1" darows="1" dacols="1"&gt;&lt;excel&gt;&lt;epo ews="Dat_02" ece="A48" enr="MSTR.Potencia_instalada_Total.3"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</si>
  <si>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guid="912ea243f1cf47de9bccf59cc7491ac3"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 /&gt;&lt;ci ps="BI" srv="apbi6a" prj="BDEbi" prjid="A2E2948BC74B9CF051A963A6CEDDABFA" li="SEVPENMA" am="s" /&gt;&lt;lu ut="05/13/2026 14:14:59" si="2.000000013aa9ae62a29a13de437c09d0d3449ccc5a00c23742e54ef4be61f3bd9373a48d857525421331d5f7af794cb0453021908b48ca7be83cb277d8cfbe19fa193277d410dca2d67246a603b918bc00dfce816be3a416098dcecb2e960fedacf3a8c1cfa17e91f9d6019741476201c046d8e832fdfd17a121a1a12e5c63e13b55c30881048c844aa1981c24d09ef7c1458125ca2493c5d49bc0bffacf4fb1194e8fbbaaacf5fe2c43607b6dad1dbe5f351bc75cb4568287f4184dcfa62a279b0b2a1a074c7f92f86418cf0f8837c2120a4239b7e8daa67f4cfaecbef694d8f5096af097d461c9a3835b15b947f533a86f370a1f4105f2173671b95741e9b558ba115f3d83f4fd18b5b8fdfea458482b1454d09fcde246adf641df136bfdf0fe72.p-3082.0.1_-3082.0.1_0.1.Europe/Madrid.upriv*_1*_pidn2*_6*_session*-lat*_1.00000001436ddc33e20e996b10dcc33196a28945bc6025e09e12f661a5b7749e937a9641997824b7584e1533800e13a3df88c07c4c1f1fc7.0000000101f9723f1f481735c566907ea87abc5ebc6025e09bf3cbb191c2f3a7dac0eb0abc80efc2990df6995edf35cfd3bcf761bf98a549.0.1.1.BDEbi.A2E2948BC74B9CF051A963A6CEDDABFA.0-3082.1.1_-0.1.0_-3082.1.1_5.5.0.*0.0000000129c2ec964aab2888101fef9d368d4779c911585aefb9b75b83bcf9c400dab1acc77a705e.0.23.11*.4*.1200*.00787J.e.00000001e127f8532e913fff809c3a00ba9f9229c911585a253ecab575b8f22ca77ebeeee3942b32.0.10*.131*.138*.19.*0.0.0.0" msgID="BEAD989421479D71F4359F8662F1D515"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/&gt;&lt;/do&gt;&lt;pgs&gt;&lt;pg rows="6" cols="2" nrr="6" nrc="2"&gt;&lt;pg&gt;&lt;attEl aeid="BB:5EAE1F1D48ED4011B00BAC90762C13F0:1:2:0:2:1:3:4:Baleares" aedn="Baleares" aen="Sistema Eléctrico" /&gt;&lt;/pg&gt;&lt;bls&gt;&lt;bl sr="1" sc="1" rfetch="6" cfetch="2" posid="1" darows="1" dacols="1"&gt;&lt;excel&gt;&lt;epo ews="Dat_02" ece="A71" enr="MSTR.Energía_generada_y_autoconsumida.1" ptn="" qtn="" rows="10" cols="3" /&gt;&lt;esdo ews="" ece="" ptn="" /&gt;&lt;/excel&gt;&lt;gridRng&gt;&lt;sect id="TITLE_AREA" rngprop="1:1:3:1" /&gt;&lt;sect id="ROWHEADERS_AREA" rngprop="4:1:6:1" /&gt;&lt;sect id="COLUMNHEADERS_AREA" rngprop="1:2:3:2" /&gt;&lt;sect id="DATA_AREA" rngprop="4:2:6:2" /&gt;&lt;/gridRng&gt;&lt;shapes /&gt;&lt;/bl&gt;&lt;/bls&gt;&lt;/pg&gt;&lt;/pgs&gt;&lt;/rptloc&gt;&lt;/mi&gt;</t>
  </si>
  <si>
    <t>e88061ba6916490ab91e42dfb9829ac2</t>
  </si>
  <si>
    <t>&lt;mi app="e" ver="22"&gt;&lt;rptloc guid="4c4d5fce268044f6afd9f01443a2574b"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 /&gt;&lt;ci ps="BI" srv="apbi6a" prj="BDEbi" prjid="A2E2948BC74B9CF051A963A6CEDDABFA" li="SEVPENMA" am="s" /&gt;&lt;lu ut="05/13/2026 14:15:57" si="2.000000013aa9ae62a29a13de437c09d0d3449ccc5a00c23742e54ef4be61f3bd9373a48d857525421331d5f7af794cb0453021908b48ca7be83cb277d8cfbe19fa193277d410dca2d67246a603b918bc00dfce816be3a416098dcecb2e960fedacf3a8c1cfa17e91f9d6019741476201c046d8e832fdfd17a121a1a12e5c63e13b55c30881048c844aa1981c24d09ef7c1458125ca2493c5d49bc0bffacf4fb1194e8fbbaaacf5fe2c43607b6dad1dbe5f351bc75cb4568287f4184dcfa62a279b0b2a1a074c7f92f86418cf0f8837c2120a4239b7e8daa67f4cfaecbef694d8f5096af097d461c9a3835b15b947f533a86f370a1f4105f2173671b95741e9b558ba115f3d83f4fd18b5b8fdfea458482b1454d09fcde246adf641df136bfdf0fe72.p-3082.0.1_-3082.0.1_0.1.Europe/Madrid.upriv*_1*_pidn2*_6*_session*-lat*_1.00000001436ddc33e20e996b10dcc33196a28945bc6025e09e12f661a5b7749e937a9641997824b7584e1533800e13a3df88c07c4c1f1fc7.0000000101f9723f1f481735c566907ea87abc5ebc6025e09bf3cbb191c2f3a7dac0eb0abc80efc2990df6995edf35cfd3bcf761bf98a549.0.1.1.BDEbi.A2E2948BC74B9CF051A963A6CEDDABFA.0-3082.1.1_-0.1.0_-3082.1.1_5.5.0.*0.0000000129c2ec964aab2888101fef9d368d4779c911585aefb9b75b83bcf9c400dab1acc77a705e.0.23.11*.4*.1200*.00787J.e.00000001e127f8532e913fff809c3a00ba9f9229c911585a253ecab575b8f22ca77ebeeee3942b32.0.10*.131*.138*.19.*0.0.0.0" msgID="96005002B2457168542C189E3F896BAD"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/&gt;&lt;/do&gt;&lt;pgs&gt;&lt;pg rows="5" cols="2" nrr="5" nrc="2"&gt;&lt;pg&gt;&lt;attEl aeid="BB:5EAE1F1D48ED4011B00BAC90762C13F0:1:2:0:2:1:3:5:Canarias" aedn="Canarias" aen="Sistema Eléctrico" /&gt;&lt;/pg&gt;&lt;bls&gt;&lt;bl sr="1" sc="1" rfetch="5" cfetch="2" posid="1" darows="1" dacols="1"&gt;&lt;excel&gt;&lt;epo ews="Dat_02" ece="A117" enr="MSTR.Energía_generada_y_autoconsumida.3" ptn="" qtn="" rows="9" cols="3" /&gt;&lt;esdo ews="" ece="" ptn="" /&gt;&lt;/excel&gt;&lt;gridRng&gt;&lt;sect id="TITLE_AREA" rngprop="1:1:3:1" /&gt;&lt;sect id="ROWHEADERS_AREA" rngprop="4:1:5:1" /&gt;&lt;sect id="COLUMNHEADERS_AREA" rngprop="1:2:3:2" /&gt;&lt;sect id="DATA_AREA" rngprop="4:2:5:2" /&gt;&lt;/gridRng&gt;&lt;shapes /&gt;&lt;/bl&gt;&lt;/bls&gt;&lt;/pg&gt;&lt;/pgs&gt;&lt;/rptloc&gt;&lt;/mi&gt;</t>
  </si>
  <si>
    <t>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</si>
</sst>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00"/>
    <numFmt numFmtId="165" formatCode="#,##0.0"/>
    <numFmt numFmtId="166" formatCode="0_)"/>
    <numFmt numFmtId="167" formatCode="0.0\ \ \ \ _)"/>
    <numFmt numFmtId="168" formatCode="0.0"/>
    <numFmt numFmtId="169" formatCode="0.0_)"/>
    <numFmt numFmtId="170" formatCode="0.000_)"/>
    <numFmt numFmtId="171" formatCode="#,##0.00000"/>
    <numFmt numFmtId="172" formatCode="0.000"/>
    <numFmt numFmtId="173" formatCode="0.0%"/>
    <numFmt numFmtId="174" formatCode="[$-C0A]mmm\-yy;@"/>
    <numFmt numFmtId="175" formatCode="[$-C0A]mmmmm;@"/>
    <numFmt numFmtId="176" formatCode="#,##0;\(#,##0\)"/>
  </numFmts>
  <fonts count="60">
    <font>
      <sz val="11"/>
      <color theme="1"/>
      <name val="Calibri"/>
      <family val="2"/>
      <scheme val="minor"/>
    </font>
    <font>
      <sz val="10"/>
      <name val="Geneva"/>
      <family val="2"/>
    </font>
    <font>
      <sz val="8"/>
      <color indexed="8"/>
      <name val="Arial"/>
      <family val="2"/>
    </font>
    <font>
      <sz val="10"/>
      <name val="Geneva"/>
    </font>
    <font>
      <sz val="8"/>
      <name val="Arial"/>
      <family val="2"/>
    </font>
    <font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sz val="8"/>
      <color rgb="FF004563"/>
      <name val="Arial"/>
      <family val="2"/>
    </font>
    <font>
      <b/>
      <sz val="8"/>
      <color indexed="8"/>
      <name val="Arial"/>
      <family val="2"/>
    </font>
    <font>
      <sz val="8"/>
      <color theme="0" tint="-0.499984740745262"/>
      <name val="Arial"/>
      <family val="2"/>
    </font>
    <font>
      <sz val="8"/>
      <color indexed="56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sz val="10"/>
      <name val="Arial"/>
      <family val="2"/>
    </font>
    <font>
      <sz val="10"/>
      <color indexed="32"/>
      <name val="Avant Garde"/>
    </font>
    <font>
      <sz val="10"/>
      <color indexed="56"/>
      <name val="Geneva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indexed="8"/>
      <name val="Geneva"/>
    </font>
    <font>
      <b/>
      <sz val="10"/>
      <color indexed="8"/>
      <name val="Arial"/>
      <family val="2"/>
    </font>
    <font>
      <u/>
      <sz val="10"/>
      <color indexed="12"/>
      <name val="Geneva"/>
    </font>
    <font>
      <b/>
      <sz val="8"/>
      <color theme="0"/>
      <name val="Arial"/>
      <family val="2"/>
    </font>
    <font>
      <b/>
      <sz val="9"/>
      <color rgb="FF004563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i/>
      <sz val="8"/>
      <color rgb="FF4E5E78"/>
      <name val="Verdana"/>
      <family val="2"/>
    </font>
    <font>
      <b/>
      <sz val="8"/>
      <color rgb="FF4E5E78"/>
      <name val="Verdana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i/>
      <sz val="8"/>
      <color rgb="FF4E5E78"/>
      <name val="Verdana"/>
      <family val="2"/>
    </font>
    <font>
      <b/>
      <i/>
      <sz val="8"/>
      <color rgb="FF000000"/>
      <name val="Verdana"/>
      <family val="2"/>
    </font>
    <font>
      <b/>
      <sz val="9"/>
      <name val="Segoe UI"/>
      <family val="2"/>
    </font>
    <font>
      <b/>
      <sz val="9"/>
      <color rgb="FF004563"/>
      <name val="Segoe UI"/>
      <family val="2"/>
    </font>
    <font>
      <sz val="9"/>
      <color rgb="FF004563"/>
      <name val="Segoe UI"/>
      <family val="2"/>
    </font>
    <font>
      <sz val="9"/>
      <color theme="1"/>
      <name val="Segoe UI"/>
      <family val="2"/>
    </font>
    <font>
      <vertAlign val="superscript"/>
      <sz val="9"/>
      <color rgb="FF004563"/>
      <name val="Segoe UI"/>
      <family val="2"/>
    </font>
    <font>
      <b/>
      <sz val="8"/>
      <color rgb="FF0B428E"/>
      <name val="Arial"/>
      <family val="2"/>
    </font>
    <font>
      <sz val="8"/>
      <color rgb="FF25396E"/>
      <name val="Arial"/>
      <family val="2"/>
    </font>
    <font>
      <sz val="9"/>
      <color rgb="FFFF0000"/>
      <name val="Segoe UI"/>
      <family val="2"/>
    </font>
    <font>
      <sz val="11"/>
      <color theme="1"/>
      <name val="Calibri"/>
      <family val="2"/>
      <scheme val="minor"/>
    </font>
    <font>
      <b/>
      <sz val="8"/>
      <color rgb="FF003366"/>
      <name val="Arial"/>
      <family val="2"/>
    </font>
    <font>
      <sz val="10"/>
      <name val="Avant Garde"/>
    </font>
    <font>
      <sz val="10"/>
      <color indexed="9"/>
      <name val="Geneva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9"/>
      <color indexed="32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sz val="9"/>
      <color rgb="FF4E5E78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0045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FDFD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rgb="FFFFFFFF"/>
      </patternFill>
    </fill>
  </fills>
  <borders count="42">
    <border>
      <left/>
      <right/>
      <top/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A6A6A6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/>
      <right style="thin">
        <color auto="1"/>
      </right>
      <top style="thin">
        <color rgb="FFA6A6A6"/>
      </top>
      <bottom style="thin">
        <color rgb="FFA6A6A6"/>
      </bottom>
      <diagonal/>
    </border>
    <border>
      <left/>
      <right style="thin">
        <color rgb="FFC0C0C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2">
    <xf numFmtId="0" fontId="0" fillId="0" borderId="0"/>
    <xf numFmtId="0" fontId="1" fillId="0" borderId="0"/>
    <xf numFmtId="0" fontId="3" fillId="0" borderId="0"/>
    <xf numFmtId="0" fontId="1" fillId="0" borderId="0"/>
    <xf numFmtId="166" fontId="3" fillId="0" borderId="0"/>
    <xf numFmtId="0" fontId="15" fillId="0" borderId="0"/>
    <xf numFmtId="0" fontId="15" fillId="0" borderId="0"/>
    <xf numFmtId="166" fontId="3" fillId="0" borderId="0"/>
    <xf numFmtId="0" fontId="15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3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32" fillId="6" borderId="10">
      <alignment horizontal="right" vertical="center"/>
    </xf>
    <xf numFmtId="0" fontId="33" fillId="7" borderId="10">
      <alignment vertical="center" wrapText="1"/>
    </xf>
    <xf numFmtId="10" fontId="32" fillId="6" borderId="10">
      <alignment horizontal="right" vertical="center"/>
    </xf>
    <xf numFmtId="165" fontId="34" fillId="5" borderId="10">
      <alignment horizontal="right" vertical="center"/>
    </xf>
    <xf numFmtId="10" fontId="34" fillId="5" borderId="10">
      <alignment horizontal="right" vertical="center"/>
    </xf>
    <xf numFmtId="0" fontId="35" fillId="5" borderId="10">
      <alignment horizontal="left" vertical="center" wrapText="1"/>
    </xf>
    <xf numFmtId="0" fontId="33" fillId="7" borderId="10">
      <alignment horizontal="center" vertical="center" wrapText="1"/>
    </xf>
    <xf numFmtId="0" fontId="36" fillId="5" borderId="10">
      <alignment horizontal="left" vertical="center" wrapText="1"/>
    </xf>
    <xf numFmtId="0" fontId="37" fillId="6" borderId="10">
      <alignment horizontal="left" vertical="center" wrapText="1"/>
    </xf>
    <xf numFmtId="0" fontId="38" fillId="8" borderId="14"/>
    <xf numFmtId="0" fontId="33" fillId="7" borderId="10">
      <alignment horizontal="center" wrapText="1"/>
    </xf>
    <xf numFmtId="0" fontId="33" fillId="7" borderId="14">
      <alignment vertical="center" wrapText="1"/>
    </xf>
    <xf numFmtId="0" fontId="39" fillId="0" borderId="0" applyNumberFormat="0" applyFont="0" applyBorder="0" applyAlignment="0" applyProtection="0">
      <alignment horizontal="centerContinuous"/>
    </xf>
    <xf numFmtId="0" fontId="40" fillId="5" borderId="10">
      <alignment horizontal="left" vertical="center" wrapText="1"/>
    </xf>
    <xf numFmtId="165" fontId="41" fillId="5" borderId="10">
      <alignment horizontal="right" vertical="center"/>
    </xf>
    <xf numFmtId="164" fontId="34" fillId="5" borderId="10">
      <alignment horizontal="right" vertical="center"/>
    </xf>
    <xf numFmtId="164" fontId="32" fillId="6" borderId="10">
      <alignment horizontal="right" vertical="center"/>
    </xf>
    <xf numFmtId="0" fontId="47" fillId="10" borderId="10">
      <alignment vertical="center" wrapText="1"/>
    </xf>
    <xf numFmtId="0" fontId="47" fillId="10" borderId="10">
      <alignment horizontal="center" wrapText="1"/>
    </xf>
    <xf numFmtId="0" fontId="48" fillId="5" borderId="10">
      <alignment horizontal="left" vertical="center" wrapText="1"/>
    </xf>
    <xf numFmtId="10" fontId="19" fillId="5" borderId="10">
      <alignment horizontal="right" vertical="center"/>
    </xf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164" fontId="19" fillId="5" borderId="10">
      <alignment horizontal="right" vertical="center"/>
    </xf>
    <xf numFmtId="0" fontId="47" fillId="12" borderId="10">
      <alignment horizontal="left" vertical="center"/>
    </xf>
    <xf numFmtId="164" fontId="47" fillId="12" borderId="10">
      <alignment horizontal="right" vertical="center"/>
    </xf>
    <xf numFmtId="166" fontId="35" fillId="5" borderId="10">
      <alignment horizontal="left" vertical="center" wrapText="1"/>
    </xf>
    <xf numFmtId="176" fontId="19" fillId="5" borderId="10">
      <alignment horizontal="right" vertical="center"/>
    </xf>
  </cellStyleXfs>
  <cellXfs count="286">
    <xf numFmtId="0" fontId="0" fillId="0" borderId="0" xfId="0"/>
    <xf numFmtId="0" fontId="2" fillId="0" borderId="0" xfId="1" applyFont="1"/>
    <xf numFmtId="0" fontId="4" fillId="0" borderId="0" xfId="2" applyFont="1"/>
    <xf numFmtId="0" fontId="3" fillId="0" borderId="0" xfId="2"/>
    <xf numFmtId="0" fontId="3" fillId="0" borderId="0" xfId="2" applyAlignment="1">
      <alignment wrapText="1"/>
    </xf>
    <xf numFmtId="0" fontId="5" fillId="0" borderId="0" xfId="2" applyFont="1" applyAlignment="1">
      <alignment vertical="center" wrapText="1"/>
    </xf>
    <xf numFmtId="3" fontId="2" fillId="0" borderId="0" xfId="1" applyNumberFormat="1" applyFont="1"/>
    <xf numFmtId="164" fontId="4" fillId="0" borderId="0" xfId="1" applyNumberFormat="1" applyFont="1"/>
    <xf numFmtId="165" fontId="7" fillId="2" borderId="1" xfId="3" applyNumberFormat="1" applyFont="1" applyFill="1" applyBorder="1" applyAlignment="1">
      <alignment horizontal="right" indent="1"/>
    </xf>
    <xf numFmtId="3" fontId="7" fillId="2" borderId="1" xfId="1" applyNumberFormat="1" applyFont="1" applyFill="1" applyBorder="1" applyAlignment="1">
      <alignment horizontal="left"/>
    </xf>
    <xf numFmtId="0" fontId="2" fillId="0" borderId="0" xfId="1" applyFont="1" applyAlignment="1">
      <alignment vertical="top"/>
    </xf>
    <xf numFmtId="0" fontId="2" fillId="0" borderId="0" xfId="1" applyFont="1" applyAlignment="1">
      <alignment vertical="center"/>
    </xf>
    <xf numFmtId="165" fontId="5" fillId="2" borderId="0" xfId="3" applyNumberFormat="1" applyFont="1" applyFill="1" applyAlignment="1">
      <alignment horizontal="right" indent="1"/>
    </xf>
    <xf numFmtId="166" fontId="5" fillId="2" borderId="0" xfId="4" applyFont="1" applyFill="1" applyAlignment="1">
      <alignment horizontal="left"/>
    </xf>
    <xf numFmtId="165" fontId="2" fillId="0" borderId="0" xfId="1" applyNumberFormat="1" applyFont="1"/>
    <xf numFmtId="165" fontId="5" fillId="2" borderId="0" xfId="2" applyNumberFormat="1" applyFont="1" applyFill="1" applyAlignment="1">
      <alignment horizontal="left"/>
    </xf>
    <xf numFmtId="3" fontId="4" fillId="0" borderId="0" xfId="1" applyNumberFormat="1" applyFont="1"/>
    <xf numFmtId="0" fontId="8" fillId="0" borderId="0" xfId="1" applyFont="1" applyAlignment="1">
      <alignment vertical="top" wrapText="1"/>
    </xf>
    <xf numFmtId="165" fontId="9" fillId="2" borderId="0" xfId="3" applyNumberFormat="1" applyFont="1" applyFill="1" applyAlignment="1">
      <alignment horizontal="right" indent="1"/>
    </xf>
    <xf numFmtId="0" fontId="9" fillId="2" borderId="0" xfId="2" applyFont="1" applyFill="1" applyAlignment="1">
      <alignment horizontal="left" indent="1"/>
    </xf>
    <xf numFmtId="0" fontId="10" fillId="0" borderId="0" xfId="1" applyFont="1"/>
    <xf numFmtId="0" fontId="4" fillId="0" borderId="0" xfId="1" applyFont="1"/>
    <xf numFmtId="3" fontId="11" fillId="3" borderId="2" xfId="1" applyNumberFormat="1" applyFont="1" applyFill="1" applyBorder="1" applyAlignment="1">
      <alignment horizontal="right" indent="1"/>
    </xf>
    <xf numFmtId="0" fontId="12" fillId="3" borderId="2" xfId="2" applyFont="1" applyFill="1" applyBorder="1" applyAlignment="1">
      <alignment horizontal="center"/>
    </xf>
    <xf numFmtId="0" fontId="12" fillId="3" borderId="0" xfId="2" applyFont="1" applyFill="1" applyAlignment="1">
      <alignment horizontal="center"/>
    </xf>
    <xf numFmtId="166" fontId="14" fillId="0" borderId="0" xfId="4" applyFont="1"/>
    <xf numFmtId="166" fontId="14" fillId="0" borderId="0" xfId="4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0" xfId="6" applyFont="1"/>
    <xf numFmtId="0" fontId="15" fillId="0" borderId="0" xfId="6"/>
    <xf numFmtId="166" fontId="10" fillId="0" borderId="0" xfId="4" applyFont="1"/>
    <xf numFmtId="0" fontId="17" fillId="0" borderId="0" xfId="6" applyFont="1"/>
    <xf numFmtId="0" fontId="8" fillId="0" borderId="0" xfId="2" applyFont="1" applyAlignment="1">
      <alignment vertical="center"/>
    </xf>
    <xf numFmtId="0" fontId="7" fillId="0" borderId="0" xfId="6" applyFont="1" applyAlignment="1">
      <alignment vertical="top" wrapText="1"/>
    </xf>
    <xf numFmtId="0" fontId="2" fillId="0" borderId="0" xfId="6" applyFont="1" applyAlignment="1">
      <alignment horizontal="justify" vertical="center" wrapText="1"/>
    </xf>
    <xf numFmtId="0" fontId="2" fillId="0" borderId="0" xfId="6" applyFont="1" applyAlignment="1">
      <alignment vertical="center" wrapText="1"/>
    </xf>
    <xf numFmtId="166" fontId="19" fillId="0" borderId="0" xfId="7" applyFont="1" applyAlignment="1">
      <alignment horizontal="left" readingOrder="1"/>
    </xf>
    <xf numFmtId="0" fontId="17" fillId="0" borderId="0" xfId="6" applyFont="1" applyAlignment="1">
      <alignment horizontal="left" indent="1"/>
    </xf>
    <xf numFmtId="0" fontId="8" fillId="0" borderId="0" xfId="6" applyFont="1" applyAlignment="1">
      <alignment horizontal="left" vertical="center" indent="1"/>
    </xf>
    <xf numFmtId="0" fontId="20" fillId="0" borderId="0" xfId="6" applyFont="1"/>
    <xf numFmtId="0" fontId="2" fillId="0" borderId="0" xfId="6" applyFont="1" applyAlignment="1">
      <alignment horizontal="left" vertical="top"/>
    </xf>
    <xf numFmtId="0" fontId="8" fillId="0" borderId="0" xfId="6" applyFont="1" applyAlignment="1">
      <alignment horizontal="left"/>
    </xf>
    <xf numFmtId="0" fontId="8" fillId="0" borderId="0" xfId="6" applyFont="1"/>
    <xf numFmtId="166" fontId="14" fillId="0" borderId="0" xfId="4" quotePrefix="1" applyFont="1" applyAlignment="1">
      <alignment horizontal="right"/>
    </xf>
    <xf numFmtId="0" fontId="2" fillId="0" borderId="0" xfId="6" applyFont="1"/>
    <xf numFmtId="166" fontId="8" fillId="0" borderId="0" xfId="4" applyFont="1"/>
    <xf numFmtId="0" fontId="21" fillId="0" borderId="0" xfId="5" applyFont="1" applyAlignment="1">
      <alignment horizontal="right"/>
    </xf>
    <xf numFmtId="166" fontId="0" fillId="0" borderId="0" xfId="4" applyFont="1"/>
    <xf numFmtId="0" fontId="5" fillId="0" borderId="0" xfId="8" applyFont="1" applyAlignment="1">
      <alignment wrapText="1"/>
    </xf>
    <xf numFmtId="0" fontId="5" fillId="0" borderId="0" xfId="8" applyFont="1" applyAlignment="1">
      <alignment horizontal="justify" wrapText="1"/>
    </xf>
    <xf numFmtId="0" fontId="2" fillId="0" borderId="0" xfId="4" applyNumberFormat="1" applyFont="1"/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justify" wrapText="1"/>
    </xf>
    <xf numFmtId="3" fontId="0" fillId="0" borderId="0" xfId="4" applyNumberFormat="1" applyFont="1"/>
    <xf numFmtId="166" fontId="3" fillId="0" borderId="0" xfId="4"/>
    <xf numFmtId="166" fontId="17" fillId="0" borderId="0" xfId="4" applyFont="1" applyAlignment="1">
      <alignment horizontal="left" indent="1"/>
    </xf>
    <xf numFmtId="166" fontId="8" fillId="0" borderId="0" xfId="4" applyFont="1" applyAlignment="1">
      <alignment horizontal="left" vertical="center" indent="1"/>
    </xf>
    <xf numFmtId="166" fontId="20" fillId="0" borderId="0" xfId="4" applyFont="1"/>
    <xf numFmtId="166" fontId="17" fillId="0" borderId="0" xfId="4" applyFont="1"/>
    <xf numFmtId="166" fontId="8" fillId="0" borderId="0" xfId="4" applyFont="1" applyAlignment="1">
      <alignment horizontal="left"/>
    </xf>
    <xf numFmtId="166" fontId="17" fillId="0" borderId="0" xfId="4" applyFont="1" applyAlignment="1">
      <alignment horizontal="right"/>
    </xf>
    <xf numFmtId="0" fontId="8" fillId="0" borderId="0" xfId="9" applyFont="1" applyFill="1" applyBorder="1" applyAlignment="1" applyProtection="1"/>
    <xf numFmtId="166" fontId="21" fillId="0" borderId="0" xfId="4" applyFont="1"/>
    <xf numFmtId="0" fontId="21" fillId="0" borderId="0" xfId="5" applyFont="1"/>
    <xf numFmtId="0" fontId="8" fillId="0" borderId="0" xfId="6" applyFont="1" applyAlignment="1">
      <alignment vertical="top" wrapText="1"/>
    </xf>
    <xf numFmtId="166" fontId="21" fillId="0" borderId="0" xfId="4" applyFont="1" applyAlignment="1">
      <alignment horizontal="right"/>
    </xf>
    <xf numFmtId="0" fontId="23" fillId="4" borderId="0" xfId="10" applyFont="1" applyFill="1" applyAlignment="1">
      <alignment horizontal="left"/>
    </xf>
    <xf numFmtId="166" fontId="23" fillId="4" borderId="5" xfId="4" applyFont="1" applyFill="1" applyBorder="1"/>
    <xf numFmtId="167" fontId="23" fillId="4" borderId="5" xfId="4" applyNumberFormat="1" applyFont="1" applyFill="1" applyBorder="1" applyAlignment="1">
      <alignment horizontal="right"/>
    </xf>
    <xf numFmtId="2" fontId="23" fillId="4" borderId="5" xfId="4" applyNumberFormat="1" applyFont="1" applyFill="1" applyBorder="1" applyAlignment="1">
      <alignment horizontal="right" indent="1"/>
    </xf>
    <xf numFmtId="0" fontId="7" fillId="0" borderId="0" xfId="10" applyFont="1" applyAlignment="1">
      <alignment vertical="top" wrapText="1"/>
    </xf>
    <xf numFmtId="166" fontId="24" fillId="2" borderId="0" xfId="4" applyFont="1" applyFill="1" applyAlignment="1">
      <alignment horizontal="left"/>
    </xf>
    <xf numFmtId="3" fontId="7" fillId="2" borderId="0" xfId="4" applyNumberFormat="1" applyFont="1" applyFill="1" applyAlignment="1">
      <alignment horizontal="right"/>
    </xf>
    <xf numFmtId="167" fontId="5" fillId="2" borderId="0" xfId="4" applyNumberFormat="1" applyFont="1" applyFill="1" applyAlignment="1">
      <alignment horizontal="right"/>
    </xf>
    <xf numFmtId="166" fontId="5" fillId="2" borderId="0" xfId="4" applyFont="1" applyFill="1" applyAlignment="1">
      <alignment horizontal="left" indent="1"/>
    </xf>
    <xf numFmtId="166" fontId="5" fillId="2" borderId="5" xfId="4" applyFont="1" applyFill="1" applyBorder="1" applyAlignment="1">
      <alignment horizontal="left" indent="1"/>
    </xf>
    <xf numFmtId="167" fontId="5" fillId="2" borderId="5" xfId="4" applyNumberFormat="1" applyFont="1" applyFill="1" applyBorder="1" applyAlignment="1">
      <alignment horizontal="right"/>
    </xf>
    <xf numFmtId="165" fontId="2" fillId="0" borderId="0" xfId="3" applyNumberFormat="1" applyFont="1" applyAlignment="1">
      <alignment horizontal="right" indent="1"/>
    </xf>
    <xf numFmtId="166" fontId="2" fillId="0" borderId="0" xfId="4" applyFont="1" applyAlignment="1">
      <alignment horizontal="left"/>
    </xf>
    <xf numFmtId="1" fontId="18" fillId="0" borderId="0" xfId="4" applyNumberFormat="1" applyFont="1" applyAlignment="1">
      <alignment horizontal="right" indent="1"/>
    </xf>
    <xf numFmtId="0" fontId="2" fillId="0" borderId="0" xfId="4" applyNumberFormat="1" applyFont="1" applyAlignment="1">
      <alignment horizontal="left"/>
    </xf>
    <xf numFmtId="0" fontId="3" fillId="0" borderId="0" xfId="11"/>
    <xf numFmtId="0" fontId="1" fillId="0" borderId="0" xfId="11" applyFont="1"/>
    <xf numFmtId="0" fontId="25" fillId="0" borderId="0" xfId="11" applyFont="1"/>
    <xf numFmtId="0" fontId="26" fillId="0" borderId="0" xfId="11" applyFont="1"/>
    <xf numFmtId="0" fontId="8" fillId="0" borderId="0" xfId="11" applyFont="1"/>
    <xf numFmtId="0" fontId="8" fillId="0" borderId="0" xfId="11" applyFont="1" applyAlignment="1">
      <alignment horizontal="right" vertical="center"/>
    </xf>
    <xf numFmtId="0" fontId="26" fillId="2" borderId="0" xfId="11" applyFont="1" applyFill="1" applyAlignment="1">
      <alignment horizontal="left" indent="1"/>
    </xf>
    <xf numFmtId="0" fontId="27" fillId="2" borderId="0" xfId="11" applyFont="1" applyFill="1" applyAlignment="1">
      <alignment horizontal="right" vertical="center"/>
    </xf>
    <xf numFmtId="0" fontId="7" fillId="2" borderId="0" xfId="12" applyFont="1" applyFill="1" applyBorder="1" applyAlignment="1" applyProtection="1">
      <alignment horizontal="left"/>
    </xf>
    <xf numFmtId="0" fontId="29" fillId="0" borderId="0" xfId="11" applyFont="1" applyAlignment="1">
      <alignment horizontal="right"/>
    </xf>
    <xf numFmtId="168" fontId="5" fillId="2" borderId="0" xfId="4" applyNumberFormat="1" applyFont="1" applyFill="1" applyAlignment="1">
      <alignment horizontal="right"/>
    </xf>
    <xf numFmtId="168" fontId="5" fillId="2" borderId="5" xfId="4" applyNumberFormat="1" applyFont="1" applyFill="1" applyBorder="1" applyAlignment="1">
      <alignment horizontal="right"/>
    </xf>
    <xf numFmtId="0" fontId="11" fillId="3" borderId="2" xfId="1" quotePrefix="1" applyFont="1" applyFill="1" applyBorder="1" applyAlignment="1">
      <alignment horizontal="right" indent="1"/>
    </xf>
    <xf numFmtId="0" fontId="23" fillId="4" borderId="5" xfId="4" quotePrefix="1" applyNumberFormat="1" applyFont="1" applyFill="1" applyBorder="1" applyAlignment="1">
      <alignment horizontal="right" indent="1"/>
    </xf>
    <xf numFmtId="0" fontId="23" fillId="4" borderId="5" xfId="4" applyNumberFormat="1" applyFont="1" applyFill="1" applyBorder="1" applyAlignment="1">
      <alignment horizontal="right" indent="1"/>
    </xf>
    <xf numFmtId="11" fontId="0" fillId="0" borderId="0" xfId="0" applyNumberFormat="1"/>
    <xf numFmtId="166" fontId="43" fillId="0" borderId="0" xfId="4" applyFont="1"/>
    <xf numFmtId="0" fontId="44" fillId="0" borderId="0" xfId="6" applyFont="1"/>
    <xf numFmtId="0" fontId="45" fillId="0" borderId="0" xfId="0" applyFont="1"/>
    <xf numFmtId="166" fontId="44" fillId="2" borderId="3" xfId="4" applyFont="1" applyFill="1" applyBorder="1" applyAlignment="1">
      <alignment horizontal="left"/>
    </xf>
    <xf numFmtId="1" fontId="43" fillId="2" borderId="3" xfId="4" applyNumberFormat="1" applyFont="1" applyFill="1" applyBorder="1" applyAlignment="1">
      <alignment horizontal="right" indent="1"/>
    </xf>
    <xf numFmtId="0" fontId="44" fillId="2" borderId="0" xfId="4" applyNumberFormat="1" applyFont="1" applyFill="1" applyAlignment="1">
      <alignment horizontal="left"/>
    </xf>
    <xf numFmtId="3" fontId="44" fillId="2" borderId="0" xfId="3" applyNumberFormat="1" applyFont="1" applyFill="1" applyAlignment="1">
      <alignment horizontal="right" indent="1"/>
    </xf>
    <xf numFmtId="165" fontId="44" fillId="2" borderId="0" xfId="3" applyNumberFormat="1" applyFont="1" applyFill="1" applyAlignment="1">
      <alignment horizontal="right" indent="1"/>
    </xf>
    <xf numFmtId="166" fontId="43" fillId="2" borderId="3" xfId="4" applyFont="1" applyFill="1" applyBorder="1" applyAlignment="1">
      <alignment horizontal="left"/>
    </xf>
    <xf numFmtId="3" fontId="43" fillId="2" borderId="3" xfId="3" applyNumberFormat="1" applyFont="1" applyFill="1" applyBorder="1" applyAlignment="1">
      <alignment horizontal="right" indent="1"/>
    </xf>
    <xf numFmtId="165" fontId="43" fillId="2" borderId="3" xfId="3" applyNumberFormat="1" applyFont="1" applyFill="1" applyBorder="1" applyAlignment="1">
      <alignment horizontal="right" indent="1"/>
    </xf>
    <xf numFmtId="0" fontId="42" fillId="9" borderId="21" xfId="0" applyFont="1" applyFill="1" applyBorder="1" applyAlignment="1">
      <alignment horizontal="center"/>
    </xf>
    <xf numFmtId="0" fontId="42" fillId="9" borderId="22" xfId="0" applyFont="1" applyFill="1" applyBorder="1" applyAlignment="1">
      <alignment horizontal="center"/>
    </xf>
    <xf numFmtId="166" fontId="44" fillId="2" borderId="0" xfId="4" applyFont="1" applyFill="1" applyAlignment="1">
      <alignment horizontal="left"/>
    </xf>
    <xf numFmtId="0" fontId="43" fillId="2" borderId="2" xfId="4" applyNumberFormat="1" applyFont="1" applyFill="1" applyBorder="1" applyAlignment="1">
      <alignment horizontal="left"/>
    </xf>
    <xf numFmtId="3" fontId="43" fillId="2" borderId="1" xfId="3" applyNumberFormat="1" applyFont="1" applyFill="1" applyBorder="1"/>
    <xf numFmtId="165" fontId="43" fillId="2" borderId="1" xfId="3" applyNumberFormat="1" applyFont="1" applyFill="1" applyBorder="1" applyAlignment="1">
      <alignment horizontal="right" indent="1"/>
    </xf>
    <xf numFmtId="3" fontId="43" fillId="0" borderId="4" xfId="3" applyNumberFormat="1" applyFont="1" applyBorder="1"/>
    <xf numFmtId="3" fontId="43" fillId="0" borderId="4" xfId="3" applyNumberFormat="1" applyFont="1" applyBorder="1" applyAlignment="1">
      <alignment horizontal="right" indent="1"/>
    </xf>
    <xf numFmtId="0" fontId="42" fillId="9" borderId="19" xfId="0" applyFont="1" applyFill="1" applyBorder="1" applyAlignment="1">
      <alignment horizontal="center"/>
    </xf>
    <xf numFmtId="0" fontId="44" fillId="2" borderId="11" xfId="4" applyNumberFormat="1" applyFont="1" applyFill="1" applyBorder="1" applyAlignment="1">
      <alignment horizontal="left"/>
    </xf>
    <xf numFmtId="165" fontId="44" fillId="2" borderId="11" xfId="3" applyNumberFormat="1" applyFont="1" applyFill="1" applyBorder="1" applyAlignment="1">
      <alignment horizontal="right" indent="1"/>
    </xf>
    <xf numFmtId="165" fontId="44" fillId="2" borderId="26" xfId="3" applyNumberFormat="1" applyFont="1" applyFill="1" applyBorder="1" applyAlignment="1">
      <alignment horizontal="right" indent="1"/>
    </xf>
    <xf numFmtId="165" fontId="44" fillId="0" borderId="8" xfId="2" applyNumberFormat="1" applyFont="1" applyBorder="1" applyAlignment="1">
      <alignment horizontal="left"/>
    </xf>
    <xf numFmtId="165" fontId="44" fillId="0" borderId="8" xfId="3" applyNumberFormat="1" applyFont="1" applyBorder="1" applyAlignment="1">
      <alignment horizontal="right" indent="1"/>
    </xf>
    <xf numFmtId="166" fontId="42" fillId="9" borderId="29" xfId="4" applyFont="1" applyFill="1" applyBorder="1" applyAlignment="1">
      <alignment horizontal="center" vertical="center"/>
    </xf>
    <xf numFmtId="3" fontId="43" fillId="0" borderId="30" xfId="3" applyNumberFormat="1" applyFont="1" applyBorder="1" applyAlignment="1">
      <alignment horizontal="right" indent="1"/>
    </xf>
    <xf numFmtId="3" fontId="44" fillId="0" borderId="8" xfId="3" applyNumberFormat="1" applyFont="1" applyBorder="1" applyAlignment="1">
      <alignment horizontal="right" indent="1"/>
    </xf>
    <xf numFmtId="3" fontId="44" fillId="0" borderId="28" xfId="3" applyNumberFormat="1" applyFont="1" applyBorder="1" applyAlignment="1">
      <alignment horizontal="right" indent="1"/>
    </xf>
    <xf numFmtId="0" fontId="33" fillId="7" borderId="14" xfId="24" applyAlignment="1">
      <alignment vertical="center"/>
    </xf>
    <xf numFmtId="0" fontId="35" fillId="5" borderId="10" xfId="18" quotePrefix="1" applyAlignment="1">
      <alignment horizontal="left" vertical="center"/>
    </xf>
    <xf numFmtId="0" fontId="33" fillId="7" borderId="10" xfId="14" applyAlignment="1">
      <alignment vertical="center"/>
    </xf>
    <xf numFmtId="0" fontId="33" fillId="7" borderId="10" xfId="19" applyAlignment="1">
      <alignment horizontal="center" vertical="center"/>
    </xf>
    <xf numFmtId="0" fontId="33" fillId="7" borderId="10" xfId="23" applyAlignment="1">
      <alignment horizontal="center"/>
    </xf>
    <xf numFmtId="0" fontId="37" fillId="6" borderId="10" xfId="21" quotePrefix="1" applyAlignment="1">
      <alignment horizontal="left" vertical="center"/>
    </xf>
    <xf numFmtId="3" fontId="5" fillId="2" borderId="0" xfId="3" applyNumberFormat="1" applyFont="1" applyFill="1" applyAlignment="1">
      <alignment horizontal="right" indent="1"/>
    </xf>
    <xf numFmtId="3" fontId="9" fillId="2" borderId="0" xfId="3" applyNumberFormat="1" applyFont="1" applyFill="1" applyAlignment="1">
      <alignment horizontal="right" indent="1"/>
    </xf>
    <xf numFmtId="3" fontId="7" fillId="2" borderId="2" xfId="3" applyNumberFormat="1" applyFont="1" applyFill="1" applyBorder="1" applyAlignment="1">
      <alignment horizontal="right" indent="1"/>
    </xf>
    <xf numFmtId="3" fontId="7" fillId="2" borderId="1" xfId="3" applyNumberFormat="1" applyFont="1" applyFill="1" applyBorder="1" applyAlignment="1">
      <alignment horizontal="right" indent="1"/>
    </xf>
    <xf numFmtId="0" fontId="42" fillId="9" borderId="31" xfId="0" applyFont="1" applyFill="1" applyBorder="1" applyAlignment="1">
      <alignment horizontal="center"/>
    </xf>
    <xf numFmtId="165" fontId="44" fillId="2" borderId="32" xfId="3" applyNumberFormat="1" applyFont="1" applyFill="1" applyBorder="1" applyAlignment="1">
      <alignment horizontal="right" indent="1"/>
    </xf>
    <xf numFmtId="165" fontId="4" fillId="0" borderId="0" xfId="1" applyNumberFormat="1" applyFont="1"/>
    <xf numFmtId="4" fontId="4" fillId="0" borderId="0" xfId="1" applyNumberFormat="1" applyFont="1"/>
    <xf numFmtId="165" fontId="7" fillId="2" borderId="0" xfId="4" applyNumberFormat="1" applyFont="1" applyFill="1" applyAlignment="1">
      <alignment horizontal="right"/>
    </xf>
    <xf numFmtId="165" fontId="3" fillId="0" borderId="0" xfId="4" applyNumberFormat="1"/>
    <xf numFmtId="165" fontId="2" fillId="0" borderId="0" xfId="6" applyNumberFormat="1" applyFont="1"/>
    <xf numFmtId="165" fontId="17" fillId="0" borderId="0" xfId="6" applyNumberFormat="1" applyFont="1"/>
    <xf numFmtId="165" fontId="7" fillId="2" borderId="2" xfId="4" applyNumberFormat="1" applyFont="1" applyFill="1" applyBorder="1"/>
    <xf numFmtId="3" fontId="7" fillId="0" borderId="0" xfId="3" applyNumberFormat="1" applyFont="1" applyAlignment="1">
      <alignment horizontal="right" indent="1"/>
    </xf>
    <xf numFmtId="165" fontId="7" fillId="0" borderId="0" xfId="3" applyNumberFormat="1" applyFont="1" applyAlignment="1">
      <alignment horizontal="right" indent="1"/>
    </xf>
    <xf numFmtId="3" fontId="7" fillId="2" borderId="2" xfId="4" applyNumberFormat="1" applyFont="1" applyFill="1" applyBorder="1" applyAlignment="1">
      <alignment horizontal="right" indent="1"/>
    </xf>
    <xf numFmtId="165" fontId="7" fillId="2" borderId="2" xfId="4" applyNumberFormat="1" applyFont="1" applyFill="1" applyBorder="1" applyAlignment="1">
      <alignment horizontal="right" indent="1"/>
    </xf>
    <xf numFmtId="0" fontId="47" fillId="10" borderId="10" xfId="30" applyAlignment="1">
      <alignment vertical="center"/>
    </xf>
    <xf numFmtId="0" fontId="47" fillId="10" borderId="10" xfId="31" applyAlignment="1">
      <alignment horizontal="center"/>
    </xf>
    <xf numFmtId="0" fontId="48" fillId="5" borderId="10" xfId="32" quotePrefix="1" applyAlignment="1">
      <alignment horizontal="left" vertical="center"/>
    </xf>
    <xf numFmtId="169" fontId="3" fillId="0" borderId="0" xfId="4" applyNumberFormat="1"/>
    <xf numFmtId="0" fontId="33" fillId="7" borderId="10" xfId="19" quotePrefix="1" applyAlignment="1">
      <alignment horizontal="center" vertical="center"/>
    </xf>
    <xf numFmtId="170" fontId="10" fillId="0" borderId="0" xfId="4" applyNumberFormat="1" applyFont="1"/>
    <xf numFmtId="0" fontId="49" fillId="0" borderId="0" xfId="0" applyFont="1"/>
    <xf numFmtId="171" fontId="45" fillId="0" borderId="0" xfId="0" applyNumberFormat="1" applyFont="1"/>
    <xf numFmtId="172" fontId="34" fillId="5" borderId="10" xfId="16" applyNumberFormat="1">
      <alignment horizontal="right" vertical="center"/>
    </xf>
    <xf numFmtId="172" fontId="32" fillId="6" borderId="10" xfId="13" applyNumberFormat="1">
      <alignment horizontal="right" vertical="center"/>
    </xf>
    <xf numFmtId="165" fontId="43" fillId="2" borderId="2" xfId="3" applyNumberFormat="1" applyFont="1" applyFill="1" applyBorder="1" applyAlignment="1">
      <alignment horizontal="right" indent="1"/>
    </xf>
    <xf numFmtId="165" fontId="43" fillId="2" borderId="33" xfId="3" applyNumberFormat="1" applyFont="1" applyFill="1" applyBorder="1" applyAlignment="1">
      <alignment horizontal="right" indent="1"/>
    </xf>
    <xf numFmtId="165" fontId="44" fillId="2" borderId="2" xfId="3" applyNumberFormat="1" applyFont="1" applyFill="1" applyBorder="1" applyAlignment="1">
      <alignment horizontal="right" indent="1"/>
    </xf>
    <xf numFmtId="165" fontId="44" fillId="2" borderId="35" xfId="3" applyNumberFormat="1" applyFont="1" applyFill="1" applyBorder="1" applyAlignment="1">
      <alignment horizontal="right" indent="1"/>
    </xf>
    <xf numFmtId="165" fontId="44" fillId="2" borderId="36" xfId="3" applyNumberFormat="1" applyFont="1" applyFill="1" applyBorder="1" applyAlignment="1">
      <alignment horizontal="right" indent="1"/>
    </xf>
    <xf numFmtId="165" fontId="44" fillId="2" borderId="37" xfId="3" applyNumberFormat="1" applyFont="1" applyFill="1" applyBorder="1" applyAlignment="1">
      <alignment horizontal="right" indent="1"/>
    </xf>
    <xf numFmtId="165" fontId="43" fillId="2" borderId="34" xfId="3" applyNumberFormat="1" applyFont="1" applyFill="1" applyBorder="1" applyAlignment="1">
      <alignment horizontal="right" indent="1"/>
    </xf>
    <xf numFmtId="165" fontId="43" fillId="2" borderId="38" xfId="3" applyNumberFormat="1" applyFont="1" applyFill="1" applyBorder="1" applyAlignment="1">
      <alignment horizontal="right" indent="1"/>
    </xf>
    <xf numFmtId="165" fontId="5" fillId="2" borderId="2" xfId="2" applyNumberFormat="1" applyFont="1" applyFill="1" applyBorder="1" applyAlignment="1">
      <alignment horizontal="left"/>
    </xf>
    <xf numFmtId="3" fontId="5" fillId="2" borderId="2" xfId="3" applyNumberFormat="1" applyFont="1" applyFill="1" applyBorder="1" applyAlignment="1">
      <alignment horizontal="right" indent="1"/>
    </xf>
    <xf numFmtId="165" fontId="5" fillId="2" borderId="2" xfId="3" applyNumberFormat="1" applyFont="1" applyFill="1" applyBorder="1" applyAlignment="1">
      <alignment horizontal="right" indent="1"/>
    </xf>
    <xf numFmtId="165" fontId="5" fillId="2" borderId="0" xfId="4" applyNumberFormat="1" applyFont="1" applyFill="1" applyAlignment="1">
      <alignment horizontal="left"/>
    </xf>
    <xf numFmtId="3" fontId="5" fillId="2" borderId="4" xfId="3" applyNumberFormat="1" applyFont="1" applyFill="1" applyBorder="1" applyAlignment="1">
      <alignment horizontal="right" indent="1"/>
    </xf>
    <xf numFmtId="173" fontId="45" fillId="0" borderId="0" xfId="34" applyNumberFormat="1" applyFont="1"/>
    <xf numFmtId="166" fontId="7" fillId="0" borderId="0" xfId="4" applyFont="1" applyAlignment="1">
      <alignment vertical="top" wrapText="1"/>
    </xf>
    <xf numFmtId="0" fontId="5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1" fontId="7" fillId="0" borderId="3" xfId="4" applyNumberFormat="1" applyFont="1" applyBorder="1" applyAlignment="1">
      <alignment horizontal="right" indent="1"/>
    </xf>
    <xf numFmtId="165" fontId="5" fillId="0" borderId="0" xfId="3" applyNumberFormat="1" applyFont="1" applyAlignment="1">
      <alignment horizontal="right" indent="1"/>
    </xf>
    <xf numFmtId="0" fontId="5" fillId="0" borderId="8" xfId="0" applyFont="1" applyBorder="1" applyAlignment="1">
      <alignment horizontal="left"/>
    </xf>
    <xf numFmtId="165" fontId="5" fillId="0" borderId="8" xfId="3" applyNumberFormat="1" applyFont="1" applyBorder="1" applyAlignment="1">
      <alignment horizontal="right" indent="1"/>
    </xf>
    <xf numFmtId="9" fontId="5" fillId="0" borderId="0" xfId="2" applyNumberFormat="1" applyFont="1" applyAlignment="1">
      <alignment vertical="center" wrapText="1"/>
    </xf>
    <xf numFmtId="0" fontId="33" fillId="7" borderId="10" xfId="23" quotePrefix="1" applyAlignment="1">
      <alignment horizontal="center"/>
    </xf>
    <xf numFmtId="0" fontId="47" fillId="10" borderId="10" xfId="31" quotePrefix="1" applyAlignment="1">
      <alignment horizontal="center"/>
    </xf>
    <xf numFmtId="0" fontId="7" fillId="0" borderId="0" xfId="6" applyFont="1" applyAlignment="1">
      <alignment horizontal="left" vertical="top" wrapText="1"/>
    </xf>
    <xf numFmtId="166" fontId="7" fillId="0" borderId="0" xfId="4" applyFont="1"/>
    <xf numFmtId="0" fontId="26" fillId="0" borderId="0" xfId="2" applyFont="1"/>
    <xf numFmtId="0" fontId="25" fillId="0" borderId="0" xfId="2" applyFont="1"/>
    <xf numFmtId="0" fontId="4" fillId="0" borderId="0" xfId="10" applyFont="1"/>
    <xf numFmtId="0" fontId="8" fillId="0" borderId="0" xfId="2" applyFont="1"/>
    <xf numFmtId="0" fontId="8" fillId="0" borderId="0" xfId="2" applyFont="1" applyAlignment="1">
      <alignment horizontal="left" vertical="center" indent="1"/>
    </xf>
    <xf numFmtId="0" fontId="26" fillId="0" borderId="0" xfId="2" applyFont="1" applyAlignment="1">
      <alignment horizontal="left" indent="1"/>
    </xf>
    <xf numFmtId="0" fontId="51" fillId="0" borderId="0" xfId="10" applyFont="1"/>
    <xf numFmtId="0" fontId="10" fillId="0" borderId="0" xfId="10" applyFont="1"/>
    <xf numFmtId="0" fontId="8" fillId="0" borderId="0" xfId="2" applyFont="1" applyAlignment="1">
      <alignment horizontal="left"/>
    </xf>
    <xf numFmtId="0" fontId="5" fillId="0" borderId="0" xfId="10" applyFont="1"/>
    <xf numFmtId="174" fontId="5" fillId="11" borderId="0" xfId="2" applyNumberFormat="1" applyFont="1" applyFill="1"/>
    <xf numFmtId="0" fontId="8" fillId="0" borderId="0" xfId="2" applyFont="1" applyAlignment="1">
      <alignment vertical="top" wrapText="1"/>
    </xf>
    <xf numFmtId="0" fontId="4" fillId="0" borderId="0" xfId="2" applyFont="1" applyAlignment="1">
      <alignment wrapText="1"/>
    </xf>
    <xf numFmtId="0" fontId="52" fillId="0" borderId="0" xfId="2" applyFont="1"/>
    <xf numFmtId="1" fontId="52" fillId="0" borderId="0" xfId="2" applyNumberFormat="1" applyFont="1"/>
    <xf numFmtId="0" fontId="4" fillId="0" borderId="39" xfId="10" applyFont="1" applyBorder="1"/>
    <xf numFmtId="164" fontId="45" fillId="0" borderId="0" xfId="0" applyNumberFormat="1" applyFont="1"/>
    <xf numFmtId="4" fontId="0" fillId="0" borderId="0" xfId="0" applyNumberFormat="1"/>
    <xf numFmtId="166" fontId="53" fillId="0" borderId="0" xfId="4" applyFont="1"/>
    <xf numFmtId="165" fontId="54" fillId="0" borderId="0" xfId="4" applyNumberFormat="1" applyFont="1"/>
    <xf numFmtId="165" fontId="55" fillId="0" borderId="0" xfId="4" applyNumberFormat="1" applyFont="1"/>
    <xf numFmtId="166" fontId="8" fillId="0" borderId="0" xfId="4" applyFont="1" applyAlignment="1">
      <alignment vertical="top" wrapText="1"/>
    </xf>
    <xf numFmtId="164" fontId="15" fillId="0" borderId="0" xfId="4" applyNumberFormat="1" applyFont="1"/>
    <xf numFmtId="165" fontId="56" fillId="0" borderId="0" xfId="4" applyNumberFormat="1" applyFont="1"/>
    <xf numFmtId="173" fontId="56" fillId="0" borderId="0" xfId="35" applyNumberFormat="1" applyFont="1" applyFill="1" applyBorder="1" applyProtection="1"/>
    <xf numFmtId="165" fontId="5" fillId="0" borderId="0" xfId="4" applyNumberFormat="1" applyFont="1"/>
    <xf numFmtId="3" fontId="5" fillId="0" borderId="0" xfId="4" applyNumberFormat="1" applyFont="1"/>
    <xf numFmtId="3" fontId="55" fillId="0" borderId="0" xfId="4" applyNumberFormat="1" applyFont="1"/>
    <xf numFmtId="165" fontId="44" fillId="2" borderId="0" xfId="3" applyNumberFormat="1" applyFont="1" applyFill="1" applyAlignment="1">
      <alignment horizontal="left" indent="1"/>
    </xf>
    <xf numFmtId="0" fontId="7" fillId="0" borderId="0" xfId="0" applyFont="1"/>
    <xf numFmtId="0" fontId="57" fillId="0" borderId="0" xfId="0" applyFont="1"/>
    <xf numFmtId="4" fontId="44" fillId="2" borderId="0" xfId="3" applyNumberFormat="1" applyFont="1" applyFill="1" applyAlignment="1">
      <alignment horizontal="right" indent="1"/>
    </xf>
    <xf numFmtId="10" fontId="57" fillId="0" borderId="0" xfId="35" applyNumberFormat="1" applyFont="1"/>
    <xf numFmtId="10" fontId="44" fillId="2" borderId="0" xfId="34" applyNumberFormat="1" applyFont="1" applyFill="1" applyAlignment="1">
      <alignment horizontal="right" indent="1"/>
    </xf>
    <xf numFmtId="164" fontId="44" fillId="2" borderId="0" xfId="3" applyNumberFormat="1" applyFont="1" applyFill="1" applyAlignment="1">
      <alignment horizontal="right" indent="1"/>
    </xf>
    <xf numFmtId="164" fontId="43" fillId="2" borderId="2" xfId="3" applyNumberFormat="1" applyFont="1" applyFill="1" applyBorder="1" applyAlignment="1">
      <alignment horizontal="right" indent="1"/>
    </xf>
    <xf numFmtId="0" fontId="58" fillId="0" borderId="0" xfId="0" applyFont="1"/>
    <xf numFmtId="4" fontId="45" fillId="0" borderId="0" xfId="0" applyNumberFormat="1" applyFont="1"/>
    <xf numFmtId="10" fontId="45" fillId="0" borderId="0" xfId="0" applyNumberFormat="1" applyFont="1"/>
    <xf numFmtId="164" fontId="34" fillId="5" borderId="10" xfId="28">
      <alignment horizontal="right" vertical="center"/>
    </xf>
    <xf numFmtId="10" fontId="34" fillId="5" borderId="10" xfId="17">
      <alignment horizontal="right" vertical="center"/>
    </xf>
    <xf numFmtId="164" fontId="32" fillId="6" borderId="10" xfId="29">
      <alignment horizontal="right" vertical="center"/>
    </xf>
    <xf numFmtId="10" fontId="32" fillId="6" borderId="10" xfId="15">
      <alignment horizontal="right" vertical="center"/>
    </xf>
    <xf numFmtId="165" fontId="34" fillId="5" borderId="10" xfId="16">
      <alignment horizontal="right" vertical="center"/>
    </xf>
    <xf numFmtId="165" fontId="32" fillId="6" borderId="10" xfId="13">
      <alignment horizontal="right" vertical="center"/>
    </xf>
    <xf numFmtId="10" fontId="19" fillId="5" borderId="10" xfId="33">
      <alignment horizontal="right" vertical="center"/>
    </xf>
    <xf numFmtId="175" fontId="3" fillId="0" borderId="0" xfId="4" applyNumberFormat="1"/>
    <xf numFmtId="0" fontId="8" fillId="0" borderId="0" xfId="36" applyFont="1" applyAlignment="1">
      <alignment horizontal="left"/>
    </xf>
    <xf numFmtId="0" fontId="5" fillId="0" borderId="0" xfId="4" applyNumberFormat="1" applyFont="1" applyAlignment="1">
      <alignment wrapText="1"/>
    </xf>
    <xf numFmtId="0" fontId="5" fillId="0" borderId="0" xfId="4" applyNumberFormat="1" applyFont="1"/>
    <xf numFmtId="168" fontId="0" fillId="0" borderId="0" xfId="0" applyNumberFormat="1"/>
    <xf numFmtId="0" fontId="42" fillId="9" borderId="41" xfId="0" applyFont="1" applyFill="1" applyBorder="1" applyAlignment="1">
      <alignment horizontal="center"/>
    </xf>
    <xf numFmtId="166" fontId="59" fillId="5" borderId="0" xfId="40" quotePrefix="1" applyFont="1" applyBorder="1" applyAlignment="1">
      <alignment horizontal="left" vertical="center"/>
    </xf>
    <xf numFmtId="169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49" fontId="0" fillId="0" borderId="0" xfId="0" applyNumberFormat="1"/>
    <xf numFmtId="164" fontId="19" fillId="5" borderId="10" xfId="37">
      <alignment horizontal="right" vertical="center"/>
    </xf>
    <xf numFmtId="0" fontId="47" fillId="12" borderId="10" xfId="38" quotePrefix="1">
      <alignment horizontal="left" vertical="center"/>
    </xf>
    <xf numFmtId="164" fontId="47" fillId="12" borderId="10" xfId="39">
      <alignment horizontal="right" vertical="center"/>
    </xf>
    <xf numFmtId="176" fontId="19" fillId="5" borderId="10" xfId="41">
      <alignment horizontal="right" vertical="center"/>
    </xf>
    <xf numFmtId="166" fontId="5" fillId="0" borderId="0" xfId="4" applyFont="1" applyAlignment="1">
      <alignment horizontal="justify" wrapText="1"/>
    </xf>
    <xf numFmtId="0" fontId="7" fillId="0" borderId="0" xfId="10" applyFont="1" applyAlignment="1">
      <alignment horizontal="left" vertical="top" wrapText="1"/>
    </xf>
    <xf numFmtId="2" fontId="23" fillId="4" borderId="0" xfId="4" quotePrefix="1" applyNumberFormat="1" applyFont="1" applyFill="1" applyAlignment="1">
      <alignment horizontal="right" indent="1"/>
    </xf>
    <xf numFmtId="2" fontId="23" fillId="4" borderId="0" xfId="4" applyNumberFormat="1" applyFont="1" applyFill="1" applyAlignment="1">
      <alignment horizontal="right" indent="1"/>
    </xf>
    <xf numFmtId="166" fontId="5" fillId="0" borderId="6" xfId="4" applyFont="1" applyBorder="1" applyAlignment="1">
      <alignment horizontal="left"/>
    </xf>
    <xf numFmtId="0" fontId="7" fillId="0" borderId="0" xfId="1" applyFont="1" applyAlignment="1">
      <alignment horizontal="left" vertical="top" wrapText="1"/>
    </xf>
    <xf numFmtId="3" fontId="11" fillId="3" borderId="2" xfId="2" applyNumberFormat="1" applyFont="1" applyFill="1" applyBorder="1" applyAlignment="1">
      <alignment horizontal="center" wrapText="1"/>
    </xf>
    <xf numFmtId="0" fontId="3" fillId="3" borderId="2" xfId="2" applyFill="1" applyBorder="1" applyAlignment="1">
      <alignment horizontal="center" wrapText="1"/>
    </xf>
    <xf numFmtId="0" fontId="5" fillId="0" borderId="0" xfId="2" applyFont="1" applyAlignment="1">
      <alignment horizontal="justify" vertical="center" wrapText="1"/>
    </xf>
    <xf numFmtId="0" fontId="5" fillId="0" borderId="0" xfId="2" applyFont="1" applyAlignment="1">
      <alignment horizontal="left"/>
    </xf>
    <xf numFmtId="0" fontId="5" fillId="0" borderId="7" xfId="4" applyNumberFormat="1" applyFont="1" applyBorder="1" applyAlignment="1">
      <alignment horizontal="justify"/>
    </xf>
    <xf numFmtId="0" fontId="7" fillId="0" borderId="0" xfId="6" applyFont="1" applyAlignment="1">
      <alignment horizontal="left" vertical="top" wrapText="1"/>
    </xf>
    <xf numFmtId="166" fontId="7" fillId="0" borderId="0" xfId="4" applyFont="1" applyAlignment="1">
      <alignment horizontal="left" vertical="top" wrapText="1"/>
    </xf>
    <xf numFmtId="165" fontId="5" fillId="2" borderId="0" xfId="4" applyNumberFormat="1" applyFont="1" applyFill="1" applyAlignment="1">
      <alignment horizontal="left" vertical="center"/>
    </xf>
    <xf numFmtId="165" fontId="7" fillId="2" borderId="0" xfId="4" applyNumberFormat="1" applyFont="1" applyFill="1" applyAlignment="1">
      <alignment horizontal="right" vertical="center"/>
    </xf>
    <xf numFmtId="165" fontId="5" fillId="2" borderId="0" xfId="4" applyNumberFormat="1" applyFont="1" applyFill="1" applyAlignment="1">
      <alignment horizontal="center"/>
    </xf>
    <xf numFmtId="165" fontId="7" fillId="2" borderId="0" xfId="4" applyNumberFormat="1" applyFont="1" applyFill="1" applyAlignment="1">
      <alignment horizontal="center"/>
    </xf>
    <xf numFmtId="0" fontId="58" fillId="0" borderId="40" xfId="0" applyFont="1" applyBorder="1" applyAlignment="1">
      <alignment horizontal="center" vertical="center"/>
    </xf>
    <xf numFmtId="0" fontId="30" fillId="0" borderId="11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0" fontId="30" fillId="0" borderId="24" xfId="0" applyFont="1" applyBorder="1" applyAlignment="1">
      <alignment vertical="center" wrapText="1"/>
    </xf>
    <xf numFmtId="0" fontId="30" fillId="0" borderId="25" xfId="0" applyFont="1" applyBorder="1" applyAlignment="1">
      <alignment vertical="center" wrapText="1"/>
    </xf>
    <xf numFmtId="0" fontId="30" fillId="0" borderId="27" xfId="0" applyFont="1" applyBorder="1" applyAlignment="1">
      <alignment vertical="center" wrapText="1"/>
    </xf>
    <xf numFmtId="0" fontId="42" fillId="9" borderId="20" xfId="0" applyFont="1" applyFill="1" applyBorder="1" applyAlignment="1">
      <alignment horizontal="center" vertical="center" wrapText="1"/>
    </xf>
    <xf numFmtId="0" fontId="42" fillId="9" borderId="23" xfId="0" applyFont="1" applyFill="1" applyBorder="1" applyAlignment="1">
      <alignment horizontal="center" vertical="center" wrapText="1"/>
    </xf>
    <xf numFmtId="0" fontId="35" fillId="5" borderId="17" xfId="18" quotePrefix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3" fillId="7" borderId="13" xfId="19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5" fillId="5" borderId="16" xfId="18" quotePrefix="1" applyBorder="1" applyAlignment="1">
      <alignment horizontal="left" vertical="center"/>
    </xf>
    <xf numFmtId="0" fontId="33" fillId="7" borderId="10" xfId="23" quotePrefix="1" applyAlignment="1">
      <alignment horizontal="center"/>
    </xf>
    <xf numFmtId="0" fontId="0" fillId="0" borderId="9" xfId="0" applyBorder="1" applyAlignment="1">
      <alignment horizontal="center"/>
    </xf>
    <xf numFmtId="0" fontId="47" fillId="10" borderId="10" xfId="31" quotePrefix="1" applyAlignment="1">
      <alignment horizontal="center"/>
    </xf>
    <xf numFmtId="0" fontId="33" fillId="7" borderId="13" xfId="23" quotePrefix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33" fillId="7" borderId="10" xfId="19" quotePrefix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42">
    <cellStyle name="consejo" xfId="25" xr:uid="{00000000-0005-0000-0000-000000000000}"/>
    <cellStyle name="Hipervínculo 2" xfId="12" xr:uid="{00000000-0005-0000-0000-000001000000}"/>
    <cellStyle name="Hipervínculo 3" xfId="9" xr:uid="{00000000-0005-0000-0000-000002000000}"/>
    <cellStyle name="MSTRStyle.Todos.c1_3d3d080f-6df6-44a9-b5f1-04b3c7a77bcb" xfId="22" xr:uid="{00000000-0005-0000-0000-000003000000}"/>
    <cellStyle name="MSTRStyle.Todos.c10_f4ec6803-3c9c-42db-8e64-4a966d1fcf79" xfId="31" xr:uid="{752F4119-93EB-483F-86BA-ABFFFA183B3C}"/>
    <cellStyle name="MSTRStyle.Todos.c12_6c49ec4c-3882-473c-94ac-ae06a50856b0" xfId="37" xr:uid="{D63827E5-9C98-4354-B41F-DAA4ACB780AE}"/>
    <cellStyle name="MSTRStyle.Todos.c13_ad47ecc7-7d15-4cb6-8d9a-93aa07ca2c9c" xfId="19" xr:uid="{00000000-0005-0000-0000-000004000000}"/>
    <cellStyle name="MSTRStyle.Todos.c14_66d95eaf-7407-49b4-bb04-27d55699e9b3" xfId="41" xr:uid="{C1A85C6A-0641-4FA1-ADC7-96E668F489AA}"/>
    <cellStyle name="MSTRStyle.Todos.c16_3321957e-8d69-4b7d-b341-a61e10f4c85f" xfId="28" xr:uid="{00000000-0005-0000-0000-000005000000}"/>
    <cellStyle name="MSTRStyle.Todos.c16_992610b3-1d75-4a3b-aec2-5e10b699bccc" xfId="16" xr:uid="{00000000-0005-0000-0000-000006000000}"/>
    <cellStyle name="MSTRStyle.Todos.c18_2edb5857-a1bf-42f0-9a50-c8f838c8cf47" xfId="17" xr:uid="{00000000-0005-0000-0000-000007000000}"/>
    <cellStyle name="MSTRStyle.Todos.c19_064608f2-5935-4cf9-a2ea-5b767d2f9646" xfId="20" xr:uid="{00000000-0005-0000-0000-000008000000}"/>
    <cellStyle name="MSTRStyle.Todos.c2_e2ab52e8-4747-4d05-9824-941fa4c21d4d" xfId="14" xr:uid="{00000000-0005-0000-0000-000009000000}"/>
    <cellStyle name="MSTRStyle.Todos.c2_f50bc28b-be07-4640-987b-277588810208" xfId="30" xr:uid="{E1C143AA-C94F-45FC-8B52-0276A429C036}"/>
    <cellStyle name="MSTRStyle.Todos.c20_8265551a-eda9-4950-be81-f3edd1f706c5" xfId="26" xr:uid="{00000000-0005-0000-0000-00000A000000}"/>
    <cellStyle name="MSTRStyle.Todos.c21_3101a5c9-3ba0-4c6d-a6f9-97deae704e2f" xfId="27" xr:uid="{00000000-0005-0000-0000-00000B000000}"/>
    <cellStyle name="MSTRStyle.Todos.c21_6668c9a3-2aa2-48fb-8c2d-7bab965807c5" xfId="29" xr:uid="{00000000-0005-0000-0000-00000C000000}"/>
    <cellStyle name="MSTRStyle.Todos.c22_b4931035-0805-433b-baf6-e882aeb4ab92" xfId="21" xr:uid="{00000000-0005-0000-0000-00000D000000}"/>
    <cellStyle name="MSTRStyle.Todos.c23_da26eb4b-ec0b-4c23-ba57-a8c5e38b6641" xfId="13" xr:uid="{00000000-0005-0000-0000-00000E000000}"/>
    <cellStyle name="MSTRStyle.Todos.c24_277c111b-2fd6-40e0-9a71-ae0aed61da69" xfId="33" xr:uid="{E4E13A25-84FA-4D92-9574-DDAFD38278EB}"/>
    <cellStyle name="MSTRStyle.Todos.c24_ac422d6a-d102-4f53-b7ea-bd7f18181498" xfId="15" xr:uid="{00000000-0005-0000-0000-00000F000000}"/>
    <cellStyle name="MSTRStyle.Todos.c3_22694d2a-25c9-4a77-b7ec-578f9598a798" xfId="32" xr:uid="{6C3AFD25-FC45-4009-897D-69BFBDDBABA5}"/>
    <cellStyle name="MSTRStyle.Todos.c3_643e75d5-5bb6-4a8f-a153-5b2cbad6ca42" xfId="40" xr:uid="{27159FD7-8684-4964-AA14-36579A15D342}"/>
    <cellStyle name="MSTRStyle.Todos.c3_ee34052e-6a5a-4931-979c-9f16bd5045b9" xfId="18" xr:uid="{00000000-0005-0000-0000-000010000000}"/>
    <cellStyle name="MSTRStyle.Todos.c573E73830E4892A1D75FD189492F39EB_953e357e-0c16-4117-91b2-a8dade1161ed" xfId="38" xr:uid="{08191AD0-1A51-46D3-97DF-AB918377F83D}"/>
    <cellStyle name="MSTRStyle.Todos.c7_81c12adb-1e68-4af7-a308-cda2119f5b62" xfId="24" xr:uid="{00000000-0005-0000-0000-000011000000}"/>
    <cellStyle name="MSTRStyle.Todos.c9_caa3568f-cc2a-4a40-813f-c12ba6feac0e" xfId="23" xr:uid="{00000000-0005-0000-0000-000012000000}"/>
    <cellStyle name="MSTRStyle.Todos.c9FBA3D6104430C9B822C47B9F4581268_0953b66f-a9ab-4f9c-aba0-64ac82c25f0d" xfId="39" xr:uid="{49CEEFCE-07FB-4DB8-85C3-D6D8623F13B5}"/>
    <cellStyle name="Normal" xfId="0" builtinId="0"/>
    <cellStyle name="Normal 2" xfId="4" xr:uid="{00000000-0005-0000-0000-000014000000}"/>
    <cellStyle name="Normal 2 2" xfId="11" xr:uid="{00000000-0005-0000-0000-000015000000}"/>
    <cellStyle name="Normal 3" xfId="36" xr:uid="{6DD72B3C-4554-430B-A7E0-CD9EA750AA5E}"/>
    <cellStyle name="Normal 3 2" xfId="2" xr:uid="{00000000-0005-0000-0000-000016000000}"/>
    <cellStyle name="Normal 4 2" xfId="7" xr:uid="{00000000-0005-0000-0000-000017000000}"/>
    <cellStyle name="Normal 7" xfId="10" xr:uid="{00000000-0005-0000-0000-000018000000}"/>
    <cellStyle name="Normal_5 Regimen Especial" xfId="6" xr:uid="{00000000-0005-0000-0000-000019000000}"/>
    <cellStyle name="Normal_7 Red de Transporte - Salvo perdidas" xfId="8" xr:uid="{00000000-0005-0000-0000-00001A000000}"/>
    <cellStyle name="Normal_A1 Comparacion Internacional" xfId="5" xr:uid="{00000000-0005-0000-0000-00001B000000}"/>
    <cellStyle name="Normal_cuadro 1.1 2" xfId="3" xr:uid="{00000000-0005-0000-0000-00001C000000}"/>
    <cellStyle name="Normal_TTTTTTTT" xfId="1" xr:uid="{00000000-0005-0000-0000-00001D000000}"/>
    <cellStyle name="Porcentaje" xfId="34" builtinId="5"/>
    <cellStyle name="Porcentaje 2" xfId="35" xr:uid="{CBE1E08D-9691-4D77-A64C-2EF9DBC1D71E}"/>
  </cellStyles>
  <dxfs count="0"/>
  <tableStyles count="0" defaultTableStyle="TableStyleMedium2" defaultPivotStyle="PivotStyleLight16"/>
  <colors>
    <mruColors>
      <color rgb="FF004563"/>
      <color rgb="FF08B2AD"/>
      <color rgb="FF03738B"/>
      <color rgb="FF007CF9"/>
      <color rgb="FFAF8E00"/>
      <color rgb="FF00CCFF"/>
      <color rgb="FF8DA69F"/>
      <color rgb="FFCFA2CA"/>
      <color rgb="FFCCFF99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BCC1-4B12-8B9E-8E3CBE32E214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BCC1-4B12-8B9E-8E3CBE32E214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BCC1-4B12-8B9E-8E3CBE32E214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CC1-4B12-8B9E-8E3CBE32E214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BCC1-4B12-8B9E-8E3CBE32E214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BCC1-4B12-8B9E-8E3CBE32E214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BCC1-4B12-8B9E-8E3CBE32E214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1-BCC1-4B12-8B9E-8E3CBE32E214}"/>
              </c:ext>
            </c:extLst>
          </c:dPt>
          <c:dPt>
            <c:idx val="10"/>
            <c:bubble3D val="0"/>
            <c:spPr>
              <a:solidFill>
                <a:srgbClr val="A99BBD"/>
              </a:solidFill>
            </c:spPr>
            <c:extLst>
              <c:ext xmlns:c16="http://schemas.microsoft.com/office/drawing/2014/chart" uri="{C3380CC4-5D6E-409C-BE32-E72D297353CC}">
                <c16:uniqueId val="{00000013-BCC1-4B12-8B9E-8E3CBE32E214}"/>
              </c:ext>
            </c:extLst>
          </c:dPt>
          <c:dLbls>
            <c:dLbl>
              <c:idx val="0"/>
              <c:layout>
                <c:manualLayout>
                  <c:x val="7.8367346938775395E-2"/>
                  <c:y val="-0.141176470588235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C1-4B12-8B9E-8E3CBE32E214}"/>
                </c:ext>
              </c:extLst>
            </c:dLbl>
            <c:dLbl>
              <c:idx val="1"/>
              <c:layout>
                <c:manualLayout>
                  <c:x val="0.15346938775510205"/>
                  <c:y val="-8.8888888888888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C1-4B12-8B9E-8E3CBE32E214}"/>
                </c:ext>
              </c:extLst>
            </c:dLbl>
            <c:dLbl>
              <c:idx val="2"/>
              <c:layout>
                <c:manualLayout>
                  <c:x val="0.16326530612244897"/>
                  <c:y val="6.27450980392156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1-4B12-8B9E-8E3CBE32E214}"/>
                </c:ext>
              </c:extLst>
            </c:dLbl>
            <c:dLbl>
              <c:idx val="3"/>
              <c:layout>
                <c:manualLayout>
                  <c:x val="-0.11102040816326533"/>
                  <c:y val="0.125490196078431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1-4B12-8B9E-8E3CBE32E21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C1-4B12-8B9E-8E3CBE32E214}"/>
                </c:ext>
              </c:extLst>
            </c:dLbl>
            <c:dLbl>
              <c:idx val="5"/>
              <c:layout>
                <c:manualLayout>
                  <c:x val="-0.1436734693877551"/>
                  <c:y val="0.303267973856209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1-4B12-8B9E-8E3CBE32E214}"/>
                </c:ext>
              </c:extLst>
            </c:dLbl>
            <c:dLbl>
              <c:idx val="6"/>
              <c:layout>
                <c:manualLayout>
                  <c:x val="-0.1763265306122449"/>
                  <c:y val="0.188235294117647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1-4B12-8B9E-8E3CBE32E214}"/>
                </c:ext>
              </c:extLst>
            </c:dLbl>
            <c:dLbl>
              <c:idx val="7"/>
              <c:layout>
                <c:manualLayout>
                  <c:x val="-0.18938775510204081"/>
                  <c:y val="5.7516339869281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C1-4B12-8B9E-8E3CBE32E214}"/>
                </c:ext>
              </c:extLst>
            </c:dLbl>
            <c:dLbl>
              <c:idx val="8"/>
              <c:layout>
                <c:manualLayout>
                  <c:x val="-0.19591836734693877"/>
                  <c:y val="-6.7973856209150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C1-4B12-8B9E-8E3CBE32E214}"/>
                </c:ext>
              </c:extLst>
            </c:dLbl>
            <c:dLbl>
              <c:idx val="9"/>
              <c:layout>
                <c:manualLayout>
                  <c:x val="-0.21224489795918366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C1-4B12-8B9E-8E3CBE32E214}"/>
                </c:ext>
              </c:extLst>
            </c:dLbl>
            <c:dLbl>
              <c:idx val="10"/>
              <c:layout>
                <c:manualLayout>
                  <c:x val="-0.15020408163265311"/>
                  <c:y val="-0.125490196078431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C1-4B12-8B9E-8E3CBE32E21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Dat_01!$A$52:$A$62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Dat_01!$C$52:$C$62</c:f>
              <c:numCache>
                <c:formatCode>#,##0.0</c:formatCode>
                <c:ptCount val="11"/>
                <c:pt idx="0">
                  <c:v>10.423195591055679</c:v>
                </c:pt>
                <c:pt idx="1">
                  <c:v>6.024019342426044</c:v>
                </c:pt>
                <c:pt idx="2">
                  <c:v>25.565350380051989</c:v>
                </c:pt>
                <c:pt idx="3">
                  <c:v>35.560728241624041</c:v>
                </c:pt>
                <c:pt idx="4">
                  <c:v>0</c:v>
                </c:pt>
                <c:pt idx="5">
                  <c:v>0.45473999670264892</c:v>
                </c:pt>
                <c:pt idx="6">
                  <c:v>1.6162003113825971</c:v>
                </c:pt>
                <c:pt idx="7">
                  <c:v>1.6162003113825971</c:v>
                </c:pt>
                <c:pt idx="8">
                  <c:v>0.15373349218565746</c:v>
                </c:pt>
                <c:pt idx="9">
                  <c:v>18.243751005250125</c:v>
                </c:pt>
                <c:pt idx="10">
                  <c:v>0.34208132793862672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CC1-4B12-8B9E-8E3CBE32E2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EFEF-4A25-8F99-4A2FF524F7C5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EFEF-4A25-8F99-4A2FF524F7C5}"/>
              </c:ext>
            </c:extLst>
          </c:dPt>
          <c:dLbls>
            <c:dLbl>
              <c:idx val="0"/>
              <c:layout>
                <c:manualLayout>
                  <c:x val="-0.15204692365144692"/>
                  <c:y val="-0.1699346405228758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8855420965531"/>
                      <c:h val="0.4259482270598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FEF-4A25-8F99-4A2FF524F7C5}"/>
                </c:ext>
              </c:extLst>
            </c:dLbl>
            <c:dLbl>
              <c:idx val="1"/>
              <c:layout>
                <c:manualLayout>
                  <c:x val="0.16374284085540439"/>
                  <c:y val="0.117647058823529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FEF-4A25-8F99-4A2FF524F7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Dat_01!$L$68:$L$69</c:f>
              <c:numCache>
                <c:formatCode>#,##0.0</c:formatCode>
                <c:ptCount val="2"/>
                <c:pt idx="0">
                  <c:v>82.263159996356819</c:v>
                </c:pt>
                <c:pt idx="1">
                  <c:v>17.736840003643184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F-4A25-8F99-4A2FF524F7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Dat_01!$B$141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Dat_01!$C$141:$O$141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4520-9E59-43A6B46FC373}"/>
            </c:ext>
          </c:extLst>
        </c:ser>
        <c:ser>
          <c:idx val="8"/>
          <c:order val="1"/>
          <c:tx>
            <c:strRef>
              <c:f>Dat_01!$B$142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Dat_01!$C$142:$O$142</c:f>
              <c:numCache>
                <c:formatCode>#,##0.0</c:formatCode>
                <c:ptCount val="13"/>
                <c:pt idx="0">
                  <c:v>146.76996600000001</c:v>
                </c:pt>
                <c:pt idx="1">
                  <c:v>139.11880199999999</c:v>
                </c:pt>
                <c:pt idx="2">
                  <c:v>133.454463</c:v>
                </c:pt>
                <c:pt idx="3">
                  <c:v>138.95366799999999</c:v>
                </c:pt>
                <c:pt idx="4">
                  <c:v>156.429901</c:v>
                </c:pt>
                <c:pt idx="5">
                  <c:v>146.533942</c:v>
                </c:pt>
                <c:pt idx="6">
                  <c:v>159.05462600000001</c:v>
                </c:pt>
                <c:pt idx="7">
                  <c:v>144.58958999999999</c:v>
                </c:pt>
                <c:pt idx="8">
                  <c:v>158.02685199999999</c:v>
                </c:pt>
                <c:pt idx="9">
                  <c:v>158.381069</c:v>
                </c:pt>
                <c:pt idx="10">
                  <c:v>143.06514300000001</c:v>
                </c:pt>
                <c:pt idx="11">
                  <c:v>149.59031300000001</c:v>
                </c:pt>
                <c:pt idx="12">
                  <c:v>153.416853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0-4520-9E59-43A6B46FC373}"/>
            </c:ext>
          </c:extLst>
        </c:ser>
        <c:ser>
          <c:idx val="0"/>
          <c:order val="2"/>
          <c:tx>
            <c:strRef>
              <c:f>Dat_01!$B$143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Dat_01!$C$143:$O$143</c:f>
              <c:numCache>
                <c:formatCode>#,##0.0</c:formatCode>
                <c:ptCount val="13"/>
                <c:pt idx="0">
                  <c:v>15.002691</c:v>
                </c:pt>
                <c:pt idx="1">
                  <c:v>15.518791</c:v>
                </c:pt>
                <c:pt idx="2">
                  <c:v>14.439681999999999</c:v>
                </c:pt>
                <c:pt idx="3">
                  <c:v>17.277450000000002</c:v>
                </c:pt>
                <c:pt idx="4">
                  <c:v>21.905804</c:v>
                </c:pt>
                <c:pt idx="5">
                  <c:v>21.204673</c:v>
                </c:pt>
                <c:pt idx="6">
                  <c:v>28.975633999999999</c:v>
                </c:pt>
                <c:pt idx="7">
                  <c:v>21.440819999999999</c:v>
                </c:pt>
                <c:pt idx="8">
                  <c:v>25.811325</c:v>
                </c:pt>
                <c:pt idx="9">
                  <c:v>28.873301000000001</c:v>
                </c:pt>
                <c:pt idx="10">
                  <c:v>25.555015999999998</c:v>
                </c:pt>
                <c:pt idx="11">
                  <c:v>29.612995000000002</c:v>
                </c:pt>
                <c:pt idx="12">
                  <c:v>34.690565999999997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607-8FD2-83B343C7279A}"/>
            </c:ext>
          </c:extLst>
        </c:ser>
        <c:ser>
          <c:idx val="3"/>
          <c:order val="3"/>
          <c:tx>
            <c:strRef>
              <c:f>Dat_01!$B$144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</c:spPr>
          <c:invertIfNegative val="0"/>
          <c:val>
            <c:numRef>
              <c:f>Dat_01!$C$144:$O$144</c:f>
              <c:numCache>
                <c:formatCode>#,##0.0</c:formatCode>
                <c:ptCount val="13"/>
                <c:pt idx="0">
                  <c:v>98.063034000000002</c:v>
                </c:pt>
                <c:pt idx="1">
                  <c:v>81.823025999999999</c:v>
                </c:pt>
                <c:pt idx="2">
                  <c:v>84.304407999999995</c:v>
                </c:pt>
                <c:pt idx="3">
                  <c:v>97.398498000000004</c:v>
                </c:pt>
                <c:pt idx="4">
                  <c:v>100.21077</c:v>
                </c:pt>
                <c:pt idx="5">
                  <c:v>99.346721000000002</c:v>
                </c:pt>
                <c:pt idx="6">
                  <c:v>125.06728200000001</c:v>
                </c:pt>
                <c:pt idx="7">
                  <c:v>112.30573</c:v>
                </c:pt>
                <c:pt idx="8">
                  <c:v>119.831412</c:v>
                </c:pt>
                <c:pt idx="9">
                  <c:v>117.60937199999999</c:v>
                </c:pt>
                <c:pt idx="10">
                  <c:v>92.890253999999999</c:v>
                </c:pt>
                <c:pt idx="11">
                  <c:v>82.571079999999995</c:v>
                </c:pt>
                <c:pt idx="12">
                  <c:v>106.513632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607-8FD2-83B343C7279A}"/>
            </c:ext>
          </c:extLst>
        </c:ser>
        <c:ser>
          <c:idx val="1"/>
          <c:order val="4"/>
          <c:tx>
            <c:strRef>
              <c:f>Dat_01!$B$145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290.70250900000002</c:v>
                </c:pt>
                <c:pt idx="1">
                  <c:v>328.89233899999999</c:v>
                </c:pt>
                <c:pt idx="2">
                  <c:v>284.16690399999999</c:v>
                </c:pt>
                <c:pt idx="3">
                  <c:v>316.70403900000002</c:v>
                </c:pt>
                <c:pt idx="4">
                  <c:v>340.02993600000002</c:v>
                </c:pt>
                <c:pt idx="5">
                  <c:v>307.60187999999999</c:v>
                </c:pt>
                <c:pt idx="6">
                  <c:v>357.47449</c:v>
                </c:pt>
                <c:pt idx="7">
                  <c:v>343.63677799999999</c:v>
                </c:pt>
                <c:pt idx="8">
                  <c:v>344.06825099999998</c:v>
                </c:pt>
                <c:pt idx="9">
                  <c:v>331.93350299999997</c:v>
                </c:pt>
                <c:pt idx="10">
                  <c:v>287.05643500000002</c:v>
                </c:pt>
                <c:pt idx="11">
                  <c:v>282.06847599999998</c:v>
                </c:pt>
                <c:pt idx="12">
                  <c:v>284.69147199999998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0-4520-9E59-43A6B46FC373}"/>
            </c:ext>
          </c:extLst>
        </c:ser>
        <c:ser>
          <c:idx val="6"/>
          <c:order val="5"/>
          <c:tx>
            <c:strRef>
              <c:f>Dat_01!$B$146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1.7632380000000001</c:v>
                </c:pt>
                <c:pt idx="1">
                  <c:v>1.701465</c:v>
                </c:pt>
                <c:pt idx="2">
                  <c:v>2.9528669999999999</c:v>
                </c:pt>
                <c:pt idx="3">
                  <c:v>3.2914970000000001</c:v>
                </c:pt>
                <c:pt idx="4">
                  <c:v>2.7481429999999998</c:v>
                </c:pt>
                <c:pt idx="5">
                  <c:v>2.5908169999999999</c:v>
                </c:pt>
                <c:pt idx="6">
                  <c:v>1.167157</c:v>
                </c:pt>
                <c:pt idx="7">
                  <c:v>0.94978899999999999</c:v>
                </c:pt>
                <c:pt idx="8">
                  <c:v>1.389267</c:v>
                </c:pt>
                <c:pt idx="9">
                  <c:v>1.2355400000000001</c:v>
                </c:pt>
                <c:pt idx="10">
                  <c:v>1.2530779999999999</c:v>
                </c:pt>
                <c:pt idx="11">
                  <c:v>2.036778</c:v>
                </c:pt>
                <c:pt idx="12">
                  <c:v>1.462315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0-4520-9E59-43A6B46FC373}"/>
            </c:ext>
          </c:extLst>
        </c:ser>
        <c:ser>
          <c:idx val="7"/>
          <c:order val="6"/>
          <c:tx>
            <c:strRef>
              <c:f>Dat_01!$B$147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105.25716</c:v>
                </c:pt>
                <c:pt idx="1">
                  <c:v>99.456442999999993</c:v>
                </c:pt>
                <c:pt idx="2">
                  <c:v>143.551423</c:v>
                </c:pt>
                <c:pt idx="3">
                  <c:v>166.964561</c:v>
                </c:pt>
                <c:pt idx="4">
                  <c:v>149.445853</c:v>
                </c:pt>
                <c:pt idx="5">
                  <c:v>165.43614400000001</c:v>
                </c:pt>
                <c:pt idx="6">
                  <c:v>84.341824000000003</c:v>
                </c:pt>
                <c:pt idx="7">
                  <c:v>95.968860000000006</c:v>
                </c:pt>
                <c:pt idx="8">
                  <c:v>82.177819999999997</c:v>
                </c:pt>
                <c:pt idx="9">
                  <c:v>97.153379000000001</c:v>
                </c:pt>
                <c:pt idx="10">
                  <c:v>91.083347000000003</c:v>
                </c:pt>
                <c:pt idx="11">
                  <c:v>165.14311699999999</c:v>
                </c:pt>
                <c:pt idx="12">
                  <c:v>81.917771000000002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0-4520-9E59-43A6B46FC373}"/>
            </c:ext>
          </c:extLst>
        </c:ser>
        <c:ser>
          <c:idx val="4"/>
          <c:order val="7"/>
          <c:tx>
            <c:strRef>
              <c:f>Dat_01!$B$148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Dat_01!$C$148:$O$148</c:f>
              <c:numCache>
                <c:formatCode>#,##0.0</c:formatCode>
                <c:ptCount val="13"/>
                <c:pt idx="0">
                  <c:v>38.331471000000001</c:v>
                </c:pt>
                <c:pt idx="1">
                  <c:v>44.747520000000002</c:v>
                </c:pt>
                <c:pt idx="2">
                  <c:v>42.657446</c:v>
                </c:pt>
                <c:pt idx="3">
                  <c:v>44.683625999999997</c:v>
                </c:pt>
                <c:pt idx="4">
                  <c:v>46.097631</c:v>
                </c:pt>
                <c:pt idx="5">
                  <c:v>39.592024000000002</c:v>
                </c:pt>
                <c:pt idx="6">
                  <c:v>35.989100999999998</c:v>
                </c:pt>
                <c:pt idx="7">
                  <c:v>32.078172000000002</c:v>
                </c:pt>
                <c:pt idx="8">
                  <c:v>31.976611999999999</c:v>
                </c:pt>
                <c:pt idx="9">
                  <c:v>33.762532</c:v>
                </c:pt>
                <c:pt idx="10">
                  <c:v>36.724344000000002</c:v>
                </c:pt>
                <c:pt idx="11">
                  <c:v>36.337868999999998</c:v>
                </c:pt>
                <c:pt idx="12">
                  <c:v>40.686394999999997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0-4520-9E59-43A6B46FC373}"/>
            </c:ext>
          </c:extLst>
        </c:ser>
        <c:ser>
          <c:idx val="10"/>
          <c:order val="8"/>
          <c:tx>
            <c:strRef>
              <c:f>Dat_01!$B$149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Dat_01!$C$149:$O$149</c:f>
              <c:numCache>
                <c:formatCode>#,##0.0</c:formatCode>
                <c:ptCount val="13"/>
                <c:pt idx="0">
                  <c:v>1.4667380000000001</c:v>
                </c:pt>
                <c:pt idx="1">
                  <c:v>1.4553370000000001</c:v>
                </c:pt>
                <c:pt idx="2">
                  <c:v>1.2805299999999999</c:v>
                </c:pt>
                <c:pt idx="3">
                  <c:v>1.163958</c:v>
                </c:pt>
                <c:pt idx="4">
                  <c:v>0.98014500000000004</c:v>
                </c:pt>
                <c:pt idx="5">
                  <c:v>0.36074600000000001</c:v>
                </c:pt>
                <c:pt idx="6">
                  <c:v>0.77339199999999997</c:v>
                </c:pt>
                <c:pt idx="7">
                  <c:v>0.74605500000000002</c:v>
                </c:pt>
                <c:pt idx="8">
                  <c:v>0.798705</c:v>
                </c:pt>
                <c:pt idx="9">
                  <c:v>0.99824000000000002</c:v>
                </c:pt>
                <c:pt idx="10">
                  <c:v>0.82315300000000002</c:v>
                </c:pt>
                <c:pt idx="11">
                  <c:v>0.86323799999999995</c:v>
                </c:pt>
                <c:pt idx="12">
                  <c:v>0.83965599999999996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520-9E59-43A6B46FC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71532836850678216"/>
          <c:h val="0.12324013596661074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Dat_01!$B$141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Dat_01!$C$141:$O$141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9-407C-BEFE-A112EACBD099}"/>
            </c:ext>
          </c:extLst>
        </c:ser>
        <c:ser>
          <c:idx val="8"/>
          <c:order val="1"/>
          <c:tx>
            <c:strRef>
              <c:f>Dat_01!$B$155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Dat_01!$C$155:$O$155</c:f>
              <c:numCache>
                <c:formatCode>#,##0</c:formatCode>
                <c:ptCount val="13"/>
                <c:pt idx="0">
                  <c:v>259.835691</c:v>
                </c:pt>
                <c:pt idx="1">
                  <c:v>236.46061899999998</c:v>
                </c:pt>
                <c:pt idx="2">
                  <c:v>232.198553</c:v>
                </c:pt>
                <c:pt idx="3">
                  <c:v>253.629616</c:v>
                </c:pt>
                <c:pt idx="4">
                  <c:v>278.54647499999999</c:v>
                </c:pt>
                <c:pt idx="5">
                  <c:v>267.08533599999998</c:v>
                </c:pt>
                <c:pt idx="6">
                  <c:v>313.09754199999998</c:v>
                </c:pt>
                <c:pt idx="7">
                  <c:v>278.33614</c:v>
                </c:pt>
                <c:pt idx="8">
                  <c:v>303.66958899999997</c:v>
                </c:pt>
                <c:pt idx="9">
                  <c:v>304.863742</c:v>
                </c:pt>
                <c:pt idx="10">
                  <c:v>261.51041299999997</c:v>
                </c:pt>
                <c:pt idx="11">
                  <c:v>261.77438800000004</c:v>
                </c:pt>
                <c:pt idx="12">
                  <c:v>294.62105099999997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9-407C-BEFE-A112EACBD099}"/>
            </c:ext>
          </c:extLst>
        </c:ser>
        <c:ser>
          <c:idx val="1"/>
          <c:order val="2"/>
          <c:tx>
            <c:strRef>
              <c:f>Dat_01!$B$145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290.70250900000002</c:v>
                </c:pt>
                <c:pt idx="1">
                  <c:v>328.89233899999999</c:v>
                </c:pt>
                <c:pt idx="2">
                  <c:v>284.16690399999999</c:v>
                </c:pt>
                <c:pt idx="3">
                  <c:v>316.70403900000002</c:v>
                </c:pt>
                <c:pt idx="4">
                  <c:v>340.02993600000002</c:v>
                </c:pt>
                <c:pt idx="5">
                  <c:v>307.60187999999999</c:v>
                </c:pt>
                <c:pt idx="6">
                  <c:v>357.47449</c:v>
                </c:pt>
                <c:pt idx="7">
                  <c:v>343.63677799999999</c:v>
                </c:pt>
                <c:pt idx="8">
                  <c:v>344.06825099999998</c:v>
                </c:pt>
                <c:pt idx="9">
                  <c:v>331.93350299999997</c:v>
                </c:pt>
                <c:pt idx="10">
                  <c:v>287.05643500000002</c:v>
                </c:pt>
                <c:pt idx="11">
                  <c:v>282.06847599999998</c:v>
                </c:pt>
                <c:pt idx="12">
                  <c:v>284.69147199999998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9-407C-BEFE-A112EACBD099}"/>
            </c:ext>
          </c:extLst>
        </c:ser>
        <c:ser>
          <c:idx val="6"/>
          <c:order val="3"/>
          <c:tx>
            <c:strRef>
              <c:f>Dat_01!$B$146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1.7632380000000001</c:v>
                </c:pt>
                <c:pt idx="1">
                  <c:v>1.701465</c:v>
                </c:pt>
                <c:pt idx="2">
                  <c:v>2.9528669999999999</c:v>
                </c:pt>
                <c:pt idx="3">
                  <c:v>3.2914970000000001</c:v>
                </c:pt>
                <c:pt idx="4">
                  <c:v>2.7481429999999998</c:v>
                </c:pt>
                <c:pt idx="5">
                  <c:v>2.5908169999999999</c:v>
                </c:pt>
                <c:pt idx="6">
                  <c:v>1.167157</c:v>
                </c:pt>
                <c:pt idx="7">
                  <c:v>0.94978899999999999</c:v>
                </c:pt>
                <c:pt idx="8">
                  <c:v>1.389267</c:v>
                </c:pt>
                <c:pt idx="9">
                  <c:v>1.2355400000000001</c:v>
                </c:pt>
                <c:pt idx="10">
                  <c:v>1.2530779999999999</c:v>
                </c:pt>
                <c:pt idx="11">
                  <c:v>2.036778</c:v>
                </c:pt>
                <c:pt idx="12">
                  <c:v>1.462315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9-407C-BEFE-A112EACBD099}"/>
            </c:ext>
          </c:extLst>
        </c:ser>
        <c:ser>
          <c:idx val="7"/>
          <c:order val="4"/>
          <c:tx>
            <c:strRef>
              <c:f>Dat_01!$B$147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105.25716</c:v>
                </c:pt>
                <c:pt idx="1">
                  <c:v>99.456442999999993</c:v>
                </c:pt>
                <c:pt idx="2">
                  <c:v>143.551423</c:v>
                </c:pt>
                <c:pt idx="3">
                  <c:v>166.964561</c:v>
                </c:pt>
                <c:pt idx="4">
                  <c:v>149.445853</c:v>
                </c:pt>
                <c:pt idx="5">
                  <c:v>165.43614400000001</c:v>
                </c:pt>
                <c:pt idx="6">
                  <c:v>84.341824000000003</c:v>
                </c:pt>
                <c:pt idx="7">
                  <c:v>95.968860000000006</c:v>
                </c:pt>
                <c:pt idx="8">
                  <c:v>82.177819999999997</c:v>
                </c:pt>
                <c:pt idx="9">
                  <c:v>97.153379000000001</c:v>
                </c:pt>
                <c:pt idx="10">
                  <c:v>91.083347000000003</c:v>
                </c:pt>
                <c:pt idx="11">
                  <c:v>165.14311699999999</c:v>
                </c:pt>
                <c:pt idx="12">
                  <c:v>81.917771000000002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9-407C-BEFE-A112EACBD099}"/>
            </c:ext>
          </c:extLst>
        </c:ser>
        <c:ser>
          <c:idx val="4"/>
          <c:order val="5"/>
          <c:tx>
            <c:strRef>
              <c:f>Dat_01!$B$148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Dat_01!$C$148:$O$148</c:f>
              <c:numCache>
                <c:formatCode>#,##0.0</c:formatCode>
                <c:ptCount val="13"/>
                <c:pt idx="0">
                  <c:v>38.331471000000001</c:v>
                </c:pt>
                <c:pt idx="1">
                  <c:v>44.747520000000002</c:v>
                </c:pt>
                <c:pt idx="2">
                  <c:v>42.657446</c:v>
                </c:pt>
                <c:pt idx="3">
                  <c:v>44.683625999999997</c:v>
                </c:pt>
                <c:pt idx="4">
                  <c:v>46.097631</c:v>
                </c:pt>
                <c:pt idx="5">
                  <c:v>39.592024000000002</c:v>
                </c:pt>
                <c:pt idx="6">
                  <c:v>35.989100999999998</c:v>
                </c:pt>
                <c:pt idx="7">
                  <c:v>32.078172000000002</c:v>
                </c:pt>
                <c:pt idx="8">
                  <c:v>31.976611999999999</c:v>
                </c:pt>
                <c:pt idx="9">
                  <c:v>33.762532</c:v>
                </c:pt>
                <c:pt idx="10">
                  <c:v>36.724344000000002</c:v>
                </c:pt>
                <c:pt idx="11">
                  <c:v>36.337868999999998</c:v>
                </c:pt>
                <c:pt idx="12">
                  <c:v>40.686394999999997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49-407C-BEFE-A112EACBD099}"/>
            </c:ext>
          </c:extLst>
        </c:ser>
        <c:ser>
          <c:idx val="10"/>
          <c:order val="6"/>
          <c:tx>
            <c:strRef>
              <c:f>Dat_01!$B$149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Dat_01!$C$149:$O$149</c:f>
              <c:numCache>
                <c:formatCode>#,##0.0</c:formatCode>
                <c:ptCount val="13"/>
                <c:pt idx="0">
                  <c:v>1.4667380000000001</c:v>
                </c:pt>
                <c:pt idx="1">
                  <c:v>1.4553370000000001</c:v>
                </c:pt>
                <c:pt idx="2">
                  <c:v>1.2805299999999999</c:v>
                </c:pt>
                <c:pt idx="3">
                  <c:v>1.163958</c:v>
                </c:pt>
                <c:pt idx="4">
                  <c:v>0.98014500000000004</c:v>
                </c:pt>
                <c:pt idx="5">
                  <c:v>0.36074600000000001</c:v>
                </c:pt>
                <c:pt idx="6">
                  <c:v>0.77339199999999997</c:v>
                </c:pt>
                <c:pt idx="7">
                  <c:v>0.74605500000000002</c:v>
                </c:pt>
                <c:pt idx="8">
                  <c:v>0.798705</c:v>
                </c:pt>
                <c:pt idx="9">
                  <c:v>0.99824000000000002</c:v>
                </c:pt>
                <c:pt idx="10">
                  <c:v>0.82315300000000002</c:v>
                </c:pt>
                <c:pt idx="11">
                  <c:v>0.86323799999999995</c:v>
                </c:pt>
                <c:pt idx="12">
                  <c:v>0.83965599999999996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9-407C-BEFE-A112EACB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6922613022492623"/>
          <c:h val="0.1351058945260416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C-449B-AB38-695234D90C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Dat_01!$F$48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1-49C2-874D-77471DF5D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Dat_01!$B$172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Dat_01!$C$172:$O$172</c:f>
              <c:numCache>
                <c:formatCode>#,##0.000</c:formatCode>
                <c:ptCount val="13"/>
                <c:pt idx="0">
                  <c:v>0.98100000000000009</c:v>
                </c:pt>
                <c:pt idx="1">
                  <c:v>8.0190000000000001</c:v>
                </c:pt>
                <c:pt idx="2">
                  <c:v>33.307000000000002</c:v>
                </c:pt>
                <c:pt idx="3">
                  <c:v>25.804000000000002</c:v>
                </c:pt>
                <c:pt idx="4">
                  <c:v>0</c:v>
                </c:pt>
                <c:pt idx="5">
                  <c:v>2.65</c:v>
                </c:pt>
                <c:pt idx="6">
                  <c:v>1.1019999999999999</c:v>
                </c:pt>
                <c:pt idx="7">
                  <c:v>1.536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A-4791-B325-0C3751A9651D}"/>
            </c:ext>
          </c:extLst>
        </c:ser>
        <c:ser>
          <c:idx val="4"/>
          <c:order val="1"/>
          <c:tx>
            <c:strRef>
              <c:f>Dat_01!$B$173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Dat_01!$C$173:$O$173</c:f>
              <c:numCache>
                <c:formatCode>#,##0.000</c:formatCode>
                <c:ptCount val="13"/>
                <c:pt idx="0">
                  <c:v>-6.423</c:v>
                </c:pt>
                <c:pt idx="1">
                  <c:v>-27.414000000000001</c:v>
                </c:pt>
                <c:pt idx="2">
                  <c:v>-66.456000000000003</c:v>
                </c:pt>
                <c:pt idx="3">
                  <c:v>-84.402000000000001</c:v>
                </c:pt>
                <c:pt idx="4">
                  <c:v>-3.7090000000000001</c:v>
                </c:pt>
                <c:pt idx="5">
                  <c:v>-8.4089999999999989</c:v>
                </c:pt>
                <c:pt idx="6">
                  <c:v>-6.4119999999999999</c:v>
                </c:pt>
                <c:pt idx="7">
                  <c:v>-5.601</c:v>
                </c:pt>
                <c:pt idx="8">
                  <c:v>-4.0439999999999996</c:v>
                </c:pt>
                <c:pt idx="9">
                  <c:v>-0.38699999999999996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Dat_01!$B$174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Dat_01!$C$171:$O$171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Dat_01!$C$174:$O$174</c:f>
              <c:numCache>
                <c:formatCode>#,##0.000</c:formatCode>
                <c:ptCount val="13"/>
                <c:pt idx="0">
                  <c:v>-5.4420000000000002</c:v>
                </c:pt>
                <c:pt idx="1">
                  <c:v>-19.395000000000003</c:v>
                </c:pt>
                <c:pt idx="2">
                  <c:v>-33.149000000000001</c:v>
                </c:pt>
                <c:pt idx="3">
                  <c:v>-58.597999999999999</c:v>
                </c:pt>
                <c:pt idx="4">
                  <c:v>-3.7090000000000001</c:v>
                </c:pt>
                <c:pt idx="5">
                  <c:v>-5.7589999999999986</c:v>
                </c:pt>
                <c:pt idx="6">
                  <c:v>-5.3100000000000005</c:v>
                </c:pt>
                <c:pt idx="7">
                  <c:v>-4.0649999999999995</c:v>
                </c:pt>
                <c:pt idx="8">
                  <c:v>-4.0439999999999996</c:v>
                </c:pt>
                <c:pt idx="9">
                  <c:v>-0.38699999999999996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Dat_01!$J$73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3738B"/>
              </a:solidFill>
            </c:spPr>
            <c:extLst>
              <c:ext xmlns:c16="http://schemas.microsoft.com/office/drawing/2014/chart" uri="{C3380CC4-5D6E-409C-BE32-E72D297353CC}">
                <c16:uniqueId val="{00000000-3921-4A0B-BC20-A24D66C2E7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E0B-8390-2292B4C5EED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Dat_01!$N$73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5-4E0B-8390-2292B4C5E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Dat_01!$J$74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74-460D-9925-E4A918D1685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3-4350-86B5-AD9DD1BD3BB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3-4350-86B5-AD9DD1BD3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F2-4EAB-9BCD-9B8E2F5A8F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F2-4EAB-9BCD-9B8E2F5A8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Dat_01!$B$175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Dat_01!$C$175:$O$175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0.63</c:v>
                </c:pt>
                <c:pt idx="7">
                  <c:v>5.5779999999999994</c:v>
                </c:pt>
                <c:pt idx="8">
                  <c:v>0.106</c:v>
                </c:pt>
                <c:pt idx="9">
                  <c:v>1E-3</c:v>
                </c:pt>
                <c:pt idx="10">
                  <c:v>37.019000000000005</c:v>
                </c:pt>
                <c:pt idx="11">
                  <c:v>4.1999999999999996E-2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38-4A17-8C6F-189399B527F3}"/>
            </c:ext>
          </c:extLst>
        </c:ser>
        <c:ser>
          <c:idx val="4"/>
          <c:order val="1"/>
          <c:tx>
            <c:strRef>
              <c:f>Dat_01!$B$176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Dat_01!$C$176:$O$176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-1.466</c:v>
                </c:pt>
                <c:pt idx="4">
                  <c:v>-3.5109999999999997</c:v>
                </c:pt>
                <c:pt idx="5">
                  <c:v>-8.7720000000000002</c:v>
                </c:pt>
                <c:pt idx="6">
                  <c:v>-14.031000000000001</c:v>
                </c:pt>
                <c:pt idx="7">
                  <c:v>-17.222999999999999</c:v>
                </c:pt>
                <c:pt idx="8">
                  <c:v>-16.890999999999998</c:v>
                </c:pt>
                <c:pt idx="9">
                  <c:v>-11.673</c:v>
                </c:pt>
                <c:pt idx="10">
                  <c:v>-58.445999999999998</c:v>
                </c:pt>
                <c:pt idx="11">
                  <c:v>-13.491</c:v>
                </c:pt>
                <c:pt idx="12">
                  <c:v>-22.315000000000001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38-4A17-8C6F-189399B52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Dat_01!$B$177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Dat_01!$C$171:$O$171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Dat_01!$C$177:$O$177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-1.466</c:v>
                </c:pt>
                <c:pt idx="4">
                  <c:v>-3.5109999999999997</c:v>
                </c:pt>
                <c:pt idx="5">
                  <c:v>-8.7720000000000002</c:v>
                </c:pt>
                <c:pt idx="6">
                  <c:v>-13.401</c:v>
                </c:pt>
                <c:pt idx="7">
                  <c:v>-11.645</c:v>
                </c:pt>
                <c:pt idx="8">
                  <c:v>-16.784999999999997</c:v>
                </c:pt>
                <c:pt idx="9">
                  <c:v>-11.672000000000001</c:v>
                </c:pt>
                <c:pt idx="10">
                  <c:v>-21.426999999999992</c:v>
                </c:pt>
                <c:pt idx="11">
                  <c:v>-13.449</c:v>
                </c:pt>
                <c:pt idx="12">
                  <c:v>-22.315000000000001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38-4A17-8C6F-189399B52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Dat_01!$J$79</c:f>
              <c:strCache>
                <c:ptCount val="1"/>
                <c:pt idx="0">
                  <c:v>Entrega baterías</c:v>
                </c:pt>
              </c:strCache>
            </c:strRef>
          </c:tx>
          <c:invertIfNegative val="0"/>
          <c:val>
            <c:numRef>
              <c:f>Dat_01!$K$79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86-4FF5-A379-4C3A66E99FA7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Dat_01!$N$79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86-4FF5-A379-4C3A66E99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D55D-4D3D-A386-16E893E0085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D55D-4D3D-A386-16E893E00857}"/>
              </c:ext>
            </c:extLst>
          </c:dPt>
          <c:dLbls>
            <c:dLbl>
              <c:idx val="0"/>
              <c:layout>
                <c:manualLayout>
                  <c:x val="-9.356687716247844E-2"/>
                  <c:y val="-0.2091503267973856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7079243983278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55D-4D3D-A386-16E893E00857}"/>
                </c:ext>
              </c:extLst>
            </c:dLbl>
            <c:dLbl>
              <c:idx val="1"/>
              <c:layout>
                <c:manualLayout>
                  <c:x val="0.1052632548356171"/>
                  <c:y val="0.14379084967320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09975880624285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55D-4D3D-A386-16E893E00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Dat_01!$K$52:$K$53</c:f>
              <c:numCache>
                <c:formatCode>#,##0.0</c:formatCode>
                <c:ptCount val="2"/>
                <c:pt idx="0">
                  <c:v>79.644233863243002</c:v>
                </c:pt>
                <c:pt idx="1">
                  <c:v>20.355766136757005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D-4D3D-A386-16E893E008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Dat_01!$J$80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val>
            <c:numRef>
              <c:f>Dat_01!$K$80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60-45BA-ABF4-A832211AA047}"/>
            </c:ext>
          </c:extLst>
        </c:ser>
        <c:ser>
          <c:idx val="1"/>
          <c:order val="1"/>
          <c:invertIfNegative val="0"/>
          <c:dPt>
            <c:idx val="0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0-D646-4162-902E-6A4FD3DA2DFA}"/>
              </c:ext>
            </c:extLst>
          </c:dPt>
          <c:val>
            <c:numRef>
              <c:f>Dat_01!$N$80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60-45BA-ABF4-A832211AA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Dat_02!$A$9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Dat_02!$B$9:$N$9</c:f>
              <c:numCache>
                <c:formatCode>#,##0.000</c:formatCode>
                <c:ptCount val="13"/>
                <c:pt idx="0">
                  <c:v>0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F-4BBB-AD2E-F29DF68459A0}"/>
            </c:ext>
          </c:extLst>
        </c:ser>
        <c:ser>
          <c:idx val="1"/>
          <c:order val="1"/>
          <c:tx>
            <c:strRef>
              <c:f>Dat_02!$A$11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Dat_02!$B$11:$N$11</c:f>
              <c:numCache>
                <c:formatCode>#,##0.000</c:formatCode>
                <c:ptCount val="13"/>
                <c:pt idx="0">
                  <c:v>170.133859</c:v>
                </c:pt>
                <c:pt idx="1">
                  <c:v>172.18154899999999</c:v>
                </c:pt>
                <c:pt idx="2">
                  <c:v>174.429799</c:v>
                </c:pt>
                <c:pt idx="3">
                  <c:v>185.236042</c:v>
                </c:pt>
                <c:pt idx="4">
                  <c:v>186.75901200000001</c:v>
                </c:pt>
                <c:pt idx="5">
                  <c:v>190.85956400000001</c:v>
                </c:pt>
                <c:pt idx="6">
                  <c:v>194.62930900000001</c:v>
                </c:pt>
                <c:pt idx="7">
                  <c:v>196.89740900000001</c:v>
                </c:pt>
                <c:pt idx="8">
                  <c:v>199.11557400000001</c:v>
                </c:pt>
                <c:pt idx="9">
                  <c:v>201.01326399999999</c:v>
                </c:pt>
                <c:pt idx="10">
                  <c:v>203.127644</c:v>
                </c:pt>
                <c:pt idx="11">
                  <c:v>205.409797</c:v>
                </c:pt>
                <c:pt idx="12">
                  <c:v>205.409797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9F-4BBB-AD2E-F29DF68459A0}"/>
            </c:ext>
          </c:extLst>
        </c:ser>
        <c:ser>
          <c:idx val="3"/>
          <c:order val="2"/>
          <c:tx>
            <c:strRef>
              <c:f>Dat_02!$A$12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Dat_02!$B$12:$N$12</c:f>
              <c:numCache>
                <c:formatCode>#,##0.000</c:formatCode>
                <c:ptCount val="13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F-4BBB-AD2E-F29DF68459A0}"/>
            </c:ext>
          </c:extLst>
        </c:ser>
        <c:ser>
          <c:idx val="6"/>
          <c:order val="3"/>
          <c:tx>
            <c:strRef>
              <c:f>Dat_02!$A$8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Dat_02!$B$8:$N$8</c:f>
              <c:numCache>
                <c:formatCode>#,##0.000</c:formatCode>
                <c:ptCount val="13"/>
                <c:pt idx="0">
                  <c:v>3.649</c:v>
                </c:pt>
                <c:pt idx="1">
                  <c:v>3.649</c:v>
                </c:pt>
                <c:pt idx="2">
                  <c:v>3.649</c:v>
                </c:pt>
                <c:pt idx="3">
                  <c:v>3.649</c:v>
                </c:pt>
                <c:pt idx="4">
                  <c:v>3.649</c:v>
                </c:pt>
                <c:pt idx="5">
                  <c:v>3.649</c:v>
                </c:pt>
                <c:pt idx="6">
                  <c:v>3.649</c:v>
                </c:pt>
                <c:pt idx="7">
                  <c:v>3.649</c:v>
                </c:pt>
                <c:pt idx="8">
                  <c:v>3.649</c:v>
                </c:pt>
                <c:pt idx="9">
                  <c:v>3.649</c:v>
                </c:pt>
                <c:pt idx="10">
                  <c:v>3.649</c:v>
                </c:pt>
                <c:pt idx="11">
                  <c:v>3.649</c:v>
                </c:pt>
                <c:pt idx="12">
                  <c:v>3.649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9F-4BBB-AD2E-F29DF68459A0}"/>
            </c:ext>
          </c:extLst>
        </c:ser>
        <c:ser>
          <c:idx val="5"/>
          <c:order val="4"/>
          <c:tx>
            <c:strRef>
              <c:f>Dat_02!$A$10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Dat_02!$B$10:$N$10</c:f>
              <c:numCache>
                <c:formatCode>#,##0.000</c:formatCode>
                <c:ptCount val="13"/>
                <c:pt idx="0">
                  <c:v>3.9319999999999999</c:v>
                </c:pt>
                <c:pt idx="1">
                  <c:v>3.9319999999999999</c:v>
                </c:pt>
                <c:pt idx="2">
                  <c:v>6.0759999999999996</c:v>
                </c:pt>
                <c:pt idx="3">
                  <c:v>6.0759999999999996</c:v>
                </c:pt>
                <c:pt idx="4">
                  <c:v>6.0759999999999996</c:v>
                </c:pt>
                <c:pt idx="5">
                  <c:v>6.0759999999999996</c:v>
                </c:pt>
                <c:pt idx="6">
                  <c:v>6.0759999999999996</c:v>
                </c:pt>
                <c:pt idx="7">
                  <c:v>6.0759999999999996</c:v>
                </c:pt>
                <c:pt idx="8">
                  <c:v>6.0759999999999996</c:v>
                </c:pt>
                <c:pt idx="9">
                  <c:v>6.0759999999999996</c:v>
                </c:pt>
                <c:pt idx="10">
                  <c:v>6.0759999999999996</c:v>
                </c:pt>
                <c:pt idx="11">
                  <c:v>6.0759999999999996</c:v>
                </c:pt>
                <c:pt idx="12">
                  <c:v>6.0759999999999996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9F-4BBB-AD2E-F29DF684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Dat_02!$C$91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3BE-498D-B1DD-7F03108D75C9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3BE-498D-B1DD-7F03108D75C9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3BE-498D-B1DD-7F03108D75C9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3BE-498D-B1DD-7F03108D75C9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Dat_02!$C$92:$C$97</c:f>
              <c:numCache>
                <c:formatCode>0.0</c:formatCode>
                <c:ptCount val="6"/>
                <c:pt idx="0">
                  <c:v>2919.73</c:v>
                </c:pt>
                <c:pt idx="1">
                  <c:v>811.75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3731.48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BE-498D-B1DD-7F03108D75C9}"/>
            </c:ext>
          </c:extLst>
        </c:ser>
        <c:ser>
          <c:idx val="1"/>
          <c:order val="1"/>
          <c:tx>
            <c:strRef>
              <c:f>Dat_02!$D$91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83BE-498D-B1DD-7F03108D75C9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83BE-498D-B1DD-7F03108D75C9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83BE-498D-B1DD-7F03108D75C9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83BE-498D-B1DD-7F03108D75C9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Dat_02!$D$92:$D$97</c:f>
              <c:numCache>
                <c:formatCode>0.0</c:formatCode>
                <c:ptCount val="6"/>
                <c:pt idx="0">
                  <c:v>26818.18</c:v>
                </c:pt>
                <c:pt idx="1">
                  <c:v>786.1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27604.28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3BE-498D-B1DD-7F03108D75C9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Dat_02!$F$92:$F$96</c:f>
              <c:numCache>
                <c:formatCode>0.0_)</c:formatCode>
                <c:ptCount val="5"/>
                <c:pt idx="0">
                  <c:v>1597.8104024000013</c:v>
                </c:pt>
                <c:pt idx="1">
                  <c:v>29737.949597599996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3BE-498D-B1DD-7F03108D75C9}"/>
            </c:ext>
          </c:extLst>
        </c:ser>
        <c:ser>
          <c:idx val="3"/>
          <c:order val="3"/>
          <c:tx>
            <c:strRef>
              <c:f>Dat_02!$E$91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83BE-498D-B1DD-7F03108D75C9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3BE-498D-B1DD-7F03108D75C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3BE-498D-B1DD-7F03108D75C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3BE-498D-B1DD-7F03108D75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Dat_02!$E$92:$E$97</c:f>
              <c:numCache>
                <c:formatCode>0.0</c:formatCode>
                <c:ptCount val="6"/>
                <c:pt idx="0">
                  <c:v>94.900999999999996</c:v>
                </c:pt>
                <c:pt idx="1">
                  <c:v>5.0990000000000002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83BE-498D-B1DD-7F03108D7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Dat_02!$A$42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Dat_02!$B$42:$N$42</c:f>
              <c:numCache>
                <c:formatCode>#,##0.000</c:formatCode>
                <c:ptCount val="13"/>
                <c:pt idx="0">
                  <c:v>1.4999999999999999E-2</c:v>
                </c:pt>
                <c:pt idx="1">
                  <c:v>1.4999999999999999E-2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1.4999999999999999E-2</c:v>
                </c:pt>
                <c:pt idx="5">
                  <c:v>1.4999999999999999E-2</c:v>
                </c:pt>
                <c:pt idx="6">
                  <c:v>1.4999999999999999E-2</c:v>
                </c:pt>
                <c:pt idx="7">
                  <c:v>1.4999999999999999E-2</c:v>
                </c:pt>
                <c:pt idx="8">
                  <c:v>1.4999999999999999E-2</c:v>
                </c:pt>
                <c:pt idx="9">
                  <c:v>1.4999999999999999E-2</c:v>
                </c:pt>
                <c:pt idx="10">
                  <c:v>1.4999999999999999E-2</c:v>
                </c:pt>
                <c:pt idx="11">
                  <c:v>1.4999999999999999E-2</c:v>
                </c:pt>
                <c:pt idx="1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87-48CF-A389-531B64313FED}"/>
            </c:ext>
          </c:extLst>
        </c:ser>
        <c:ser>
          <c:idx val="0"/>
          <c:order val="1"/>
          <c:tx>
            <c:strRef>
              <c:f>Dat_02!$A$41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Dat_02!$B$41:$N$41</c:f>
              <c:numCache>
                <c:formatCode>#,##0.000</c:formatCode>
                <c:ptCount val="13"/>
                <c:pt idx="0">
                  <c:v>13.49</c:v>
                </c:pt>
                <c:pt idx="1">
                  <c:v>13.49</c:v>
                </c:pt>
                <c:pt idx="2">
                  <c:v>13.49</c:v>
                </c:pt>
                <c:pt idx="3">
                  <c:v>13.49</c:v>
                </c:pt>
                <c:pt idx="4">
                  <c:v>13.49</c:v>
                </c:pt>
                <c:pt idx="5">
                  <c:v>15.99</c:v>
                </c:pt>
                <c:pt idx="6">
                  <c:v>15.99</c:v>
                </c:pt>
                <c:pt idx="7">
                  <c:v>15.99</c:v>
                </c:pt>
                <c:pt idx="8">
                  <c:v>15.99</c:v>
                </c:pt>
                <c:pt idx="9">
                  <c:v>15.99</c:v>
                </c:pt>
                <c:pt idx="10">
                  <c:v>15.99</c:v>
                </c:pt>
                <c:pt idx="11">
                  <c:v>15.99</c:v>
                </c:pt>
                <c:pt idx="12">
                  <c:v>15.99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87-48CF-A389-531B64313FED}"/>
            </c:ext>
          </c:extLst>
        </c:ser>
        <c:ser>
          <c:idx val="1"/>
          <c:order val="2"/>
          <c:tx>
            <c:strRef>
              <c:f>Dat_02!$A$44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Dat_02!$B$44:$N$44</c:f>
              <c:numCache>
                <c:formatCode>#,##0.000</c:formatCode>
                <c:ptCount val="13"/>
                <c:pt idx="0">
                  <c:v>130.97894600000001</c:v>
                </c:pt>
                <c:pt idx="1">
                  <c:v>133.20651599999999</c:v>
                </c:pt>
                <c:pt idx="2">
                  <c:v>140.17214000000001</c:v>
                </c:pt>
                <c:pt idx="3">
                  <c:v>142.68622199999999</c:v>
                </c:pt>
                <c:pt idx="4">
                  <c:v>145.02529699999999</c:v>
                </c:pt>
                <c:pt idx="5">
                  <c:v>147.99650700000001</c:v>
                </c:pt>
                <c:pt idx="6">
                  <c:v>150.038612</c:v>
                </c:pt>
                <c:pt idx="7">
                  <c:v>152.28769700000001</c:v>
                </c:pt>
                <c:pt idx="8">
                  <c:v>154.54434900000001</c:v>
                </c:pt>
                <c:pt idx="9">
                  <c:v>156.300749</c:v>
                </c:pt>
                <c:pt idx="10">
                  <c:v>158.93593899999999</c:v>
                </c:pt>
                <c:pt idx="11">
                  <c:v>160.76759899999999</c:v>
                </c:pt>
                <c:pt idx="12">
                  <c:v>160.73759899999999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87-48CF-A389-531B64313FED}"/>
            </c:ext>
          </c:extLst>
        </c:ser>
        <c:ser>
          <c:idx val="3"/>
          <c:order val="3"/>
          <c:tx>
            <c:strRef>
              <c:f>Dat_02!$A$45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Dat_02!$B$45:$N$45</c:f>
              <c:numCache>
                <c:formatCode>#,##0.000</c:formatCode>
                <c:ptCount val="13"/>
                <c:pt idx="0">
                  <c:v>3.7999999999999999E-2</c:v>
                </c:pt>
                <c:pt idx="1">
                  <c:v>3.7999999999999999E-2</c:v>
                </c:pt>
                <c:pt idx="2">
                  <c:v>4.2999999999999997E-2</c:v>
                </c:pt>
                <c:pt idx="3">
                  <c:v>4.2999999999999997E-2</c:v>
                </c:pt>
                <c:pt idx="4">
                  <c:v>4.2999999999999997E-2</c:v>
                </c:pt>
                <c:pt idx="5">
                  <c:v>5.2999999999999999E-2</c:v>
                </c:pt>
                <c:pt idx="6">
                  <c:v>5.2999999999999999E-2</c:v>
                </c:pt>
                <c:pt idx="7">
                  <c:v>5.2999999999999999E-2</c:v>
                </c:pt>
                <c:pt idx="8">
                  <c:v>7.2900000000000006E-2</c:v>
                </c:pt>
                <c:pt idx="9">
                  <c:v>7.2900000000000006E-2</c:v>
                </c:pt>
                <c:pt idx="10">
                  <c:v>7.2900000000000006E-2</c:v>
                </c:pt>
                <c:pt idx="11">
                  <c:v>7.2900000000000006E-2</c:v>
                </c:pt>
                <c:pt idx="12">
                  <c:v>7.2900000000000006E-2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87-48CF-A389-531B64313FED}"/>
            </c:ext>
          </c:extLst>
        </c:ser>
        <c:ser>
          <c:idx val="5"/>
          <c:order val="4"/>
          <c:tx>
            <c:strRef>
              <c:f>Dat_02!$A$43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Dat_02!$B$43:$N$43</c:f>
              <c:numCache>
                <c:formatCode>#,##0.000</c:formatCode>
                <c:ptCount val="13"/>
                <c:pt idx="0">
                  <c:v>5.0119999999999996</c:v>
                </c:pt>
                <c:pt idx="1">
                  <c:v>5.0119999999999996</c:v>
                </c:pt>
                <c:pt idx="2">
                  <c:v>5.0119999999999996</c:v>
                </c:pt>
                <c:pt idx="3">
                  <c:v>5.0119999999999996</c:v>
                </c:pt>
                <c:pt idx="4">
                  <c:v>5.0119999999999996</c:v>
                </c:pt>
                <c:pt idx="5">
                  <c:v>5.0119999999999996</c:v>
                </c:pt>
                <c:pt idx="6">
                  <c:v>5.0119999999999996</c:v>
                </c:pt>
                <c:pt idx="7">
                  <c:v>5.0119999999999996</c:v>
                </c:pt>
                <c:pt idx="8">
                  <c:v>5.0119999999999996</c:v>
                </c:pt>
                <c:pt idx="9">
                  <c:v>5.0119999999999996</c:v>
                </c:pt>
                <c:pt idx="10">
                  <c:v>5.0119999999999996</c:v>
                </c:pt>
                <c:pt idx="11">
                  <c:v>5.0119999999999996</c:v>
                </c:pt>
                <c:pt idx="12">
                  <c:v>5.0119999999999996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87-48CF-A389-531B64313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7872933150570998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Dat_02!$C$136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B8-4651-B27F-8B2F90DF5A0C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B8-4651-B27F-8B2F90DF5A0C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B8-4651-B27F-8B2F90DF5A0C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9B8-4651-B27F-8B2F90DF5A0C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Dat_02!$C$137:$C$142</c:f>
              <c:numCache>
                <c:formatCode>0.0</c:formatCode>
                <c:ptCount val="6"/>
                <c:pt idx="0">
                  <c:v>1005</c:v>
                </c:pt>
                <c:pt idx="1">
                  <c:v>736.42</c:v>
                </c:pt>
                <c:pt idx="2">
                  <c:v>815.11</c:v>
                </c:pt>
                <c:pt idx="3">
                  <c:v>0</c:v>
                </c:pt>
                <c:pt idx="4">
                  <c:v>0</c:v>
                </c:pt>
                <c:pt idx="5">
                  <c:v>2556.5300000000002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B8-4651-B27F-8B2F90DF5A0C}"/>
            </c:ext>
          </c:extLst>
        </c:ser>
        <c:ser>
          <c:idx val="1"/>
          <c:order val="1"/>
          <c:tx>
            <c:strRef>
              <c:f>Dat_02!$D$136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9B8-4651-B27F-8B2F90DF5A0C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9B8-4651-B27F-8B2F90DF5A0C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59B8-4651-B27F-8B2F90DF5A0C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9B8-4651-B27F-8B2F90DF5A0C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Dat_02!$D$137:$D$142</c:f>
              <c:numCache>
                <c:formatCode>0.0</c:formatCode>
                <c:ptCount val="6"/>
                <c:pt idx="0">
                  <c:v>17307.439999999999</c:v>
                </c:pt>
                <c:pt idx="1">
                  <c:v>1061.81</c:v>
                </c:pt>
                <c:pt idx="2">
                  <c:v>224.04</c:v>
                </c:pt>
                <c:pt idx="3">
                  <c:v>0</c:v>
                </c:pt>
                <c:pt idx="4">
                  <c:v>0</c:v>
                </c:pt>
                <c:pt idx="5">
                  <c:v>18593.29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9B8-4651-B27F-8B2F90DF5A0C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Dat_02!$F$137:$F$142</c:f>
              <c:numCache>
                <c:formatCode>0.0_)</c:formatCode>
                <c:ptCount val="6"/>
                <c:pt idx="0">
                  <c:v>2837.4585095999996</c:v>
                </c:pt>
                <c:pt idx="1">
                  <c:v>19351.653153800002</c:v>
                </c:pt>
                <c:pt idx="2">
                  <c:v>20110.719834700001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9B8-4651-B27F-8B2F90DF5A0C}"/>
            </c:ext>
          </c:extLst>
        </c:ser>
        <c:ser>
          <c:idx val="3"/>
          <c:order val="3"/>
          <c:tx>
            <c:strRef>
              <c:f>Dat_02!$E$136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59B8-4651-B27F-8B2F90DF5A0C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9B8-4651-B27F-8B2F90DF5A0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9B8-4651-B27F-8B2F90DF5A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Dat_02!$E$137:$E$142</c:f>
              <c:numCache>
                <c:formatCode>0.0</c:formatCode>
                <c:ptCount val="6"/>
                <c:pt idx="0">
                  <c:v>86.584000000000003</c:v>
                </c:pt>
                <c:pt idx="1">
                  <c:v>8.5020000000000007</c:v>
                </c:pt>
                <c:pt idx="2">
                  <c:v>4.9130000000000003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9B8-4651-B27F-8B2F90DF5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445E-436C-89F5-DC9E4842B2D0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445E-436C-89F5-DC9E4842B2D0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445E-436C-89F5-DC9E4842B2D0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445E-436C-89F5-DC9E4842B2D0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445E-436C-89F5-DC9E4842B2D0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445E-436C-89F5-DC9E4842B2D0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445E-436C-89F5-DC9E4842B2D0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3-445E-436C-89F5-DC9E4842B2D0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F-445E-436C-89F5-DC9E4842B2D0}"/>
              </c:ext>
            </c:extLst>
          </c:dPt>
          <c:dPt>
            <c:idx val="10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1-445E-436C-89F5-DC9E4842B2D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5E-436C-89F5-DC9E4842B2D0}"/>
                </c:ext>
              </c:extLst>
            </c:dLbl>
            <c:dLbl>
              <c:idx val="1"/>
              <c:layout>
                <c:manualLayout>
                  <c:x val="0.19918367346938765"/>
                  <c:y val="-3.27555854298700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5E-436C-89F5-DC9E4842B2D0}"/>
                </c:ext>
              </c:extLst>
            </c:dLbl>
            <c:dLbl>
              <c:idx val="2"/>
              <c:layout>
                <c:manualLayout>
                  <c:x val="0.18612244897959171"/>
                  <c:y val="2.08829460341847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5E-436C-89F5-DC9E4842B2D0}"/>
                </c:ext>
              </c:extLst>
            </c:dLbl>
            <c:dLbl>
              <c:idx val="3"/>
              <c:layout>
                <c:manualLayout>
                  <c:x val="-0.21551020408163268"/>
                  <c:y val="6.79738012931311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5E-436C-89F5-DC9E4842B2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7A-49FF-8FE5-42A045ACD010}"/>
                </c:ext>
              </c:extLst>
            </c:dLbl>
            <c:dLbl>
              <c:idx val="5"/>
              <c:layout>
                <c:manualLayout>
                  <c:x val="-0.23049538807649045"/>
                  <c:y val="2.806078356059151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5E-436C-89F5-DC9E4842B2D0}"/>
                </c:ext>
              </c:extLst>
            </c:dLbl>
            <c:dLbl>
              <c:idx val="6"/>
              <c:layout>
                <c:manualLayout>
                  <c:x val="-0.2183445926402057"/>
                  <c:y val="-5.09606459253568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95905511811022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445E-436C-89F5-DC9E4842B2D0}"/>
                </c:ext>
              </c:extLst>
            </c:dLbl>
            <c:dLbl>
              <c:idx val="7"/>
              <c:layout>
                <c:manualLayout>
                  <c:x val="-0.16326530612244905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910693877551020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445E-436C-89F5-DC9E4842B2D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5E-436C-89F5-DC9E4842B2D0}"/>
                </c:ext>
              </c:extLst>
            </c:dLbl>
            <c:dLbl>
              <c:idx val="9"/>
              <c:layout>
                <c:manualLayout>
                  <c:x val="7.1836734693877496E-2"/>
                  <c:y val="-0.140922876256321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6529326691306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445E-436C-89F5-DC9E4842B2D0}"/>
                </c:ext>
              </c:extLst>
            </c:dLbl>
            <c:dLbl>
              <c:idx val="10"/>
              <c:layout>
                <c:manualLayout>
                  <c:x val="0.14693877551020409"/>
                  <c:y val="-0.1270325203252032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2326530612245"/>
                      <c:h val="0.144677837526406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445E-436C-89F5-DC9E4842B2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Dat_01!$A$68:$A$78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Dat_01!$C$68:$C$78</c:f>
              <c:numCache>
                <c:formatCode>#,##0.0</c:formatCode>
                <c:ptCount val="11"/>
                <c:pt idx="0">
                  <c:v>0</c:v>
                </c:pt>
                <c:pt idx="1">
                  <c:v>2.5181799336554995</c:v>
                </c:pt>
                <c:pt idx="2">
                  <c:v>6.6082027219335151</c:v>
                </c:pt>
                <c:pt idx="3">
                  <c:v>63.63713761026272</c:v>
                </c:pt>
                <c:pt idx="5">
                  <c:v>0.76725579396038857</c:v>
                </c:pt>
                <c:pt idx="6">
                  <c:v>4.4242933827915909</c:v>
                </c:pt>
                <c:pt idx="7">
                  <c:v>4.4242933827915909</c:v>
                </c:pt>
                <c:pt idx="8">
                  <c:v>0</c:v>
                </c:pt>
                <c:pt idx="9">
                  <c:v>17.158592816769911</c:v>
                </c:pt>
                <c:pt idx="10">
                  <c:v>0.46204435783477082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E-436C-89F5-DC9E4842B2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9C95-47DE-9BCF-E8A80231457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9C95-47DE-9BCF-E8A802314576}"/>
              </c:ext>
            </c:extLst>
          </c:dPt>
          <c:dLbls>
            <c:dLbl>
              <c:idx val="0"/>
              <c:layout>
                <c:manualLayout>
                  <c:x val="5.8479586019787283E-2"/>
                  <c:y val="-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95-47DE-9BCF-E8A802314576}"/>
                </c:ext>
              </c:extLst>
            </c:dLbl>
            <c:dLbl>
              <c:idx val="1"/>
              <c:layout>
                <c:manualLayout>
                  <c:x val="-3.5087751611872421E-2"/>
                  <c:y val="0.104575163398692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140384160228539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95-47DE-9BCF-E8A8023145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 rtl="0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Dat_01!$K$68:$K$69</c:f>
              <c:numCache>
                <c:formatCode>#,##0.0</c:formatCode>
                <c:ptCount val="2"/>
                <c:pt idx="0">
                  <c:v>77.955069442603715</c:v>
                </c:pt>
                <c:pt idx="1">
                  <c:v>22.04493055739627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5-47DE-9BCF-E8A8023145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Dat_01!$B$123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Dat_01!$C$123:$O$123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8-4B7E-ADE3-CF38220B9908}"/>
            </c:ext>
          </c:extLst>
        </c:ser>
        <c:ser>
          <c:idx val="8"/>
          <c:order val="1"/>
          <c:tx>
            <c:strRef>
              <c:f>Dat_01!$B$124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13.863616</c:v>
                </c:pt>
                <c:pt idx="1">
                  <c:v>17.616911000000002</c:v>
                </c:pt>
                <c:pt idx="2">
                  <c:v>36.758597999999999</c:v>
                </c:pt>
                <c:pt idx="3">
                  <c:v>62.363782</c:v>
                </c:pt>
                <c:pt idx="4">
                  <c:v>66.467855</c:v>
                </c:pt>
                <c:pt idx="5">
                  <c:v>45.454340000000002</c:v>
                </c:pt>
                <c:pt idx="6">
                  <c:v>22.456917000000001</c:v>
                </c:pt>
                <c:pt idx="7">
                  <c:v>17.069234000000002</c:v>
                </c:pt>
                <c:pt idx="8">
                  <c:v>11.652042</c:v>
                </c:pt>
                <c:pt idx="9">
                  <c:v>14.892018999999999</c:v>
                </c:pt>
                <c:pt idx="10">
                  <c:v>6.0359920000000002</c:v>
                </c:pt>
                <c:pt idx="11">
                  <c:v>8.5326330000000006</c:v>
                </c:pt>
                <c:pt idx="12">
                  <c:v>8.6196000000000002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18-4B7E-ADE3-CF38220B9908}"/>
            </c:ext>
          </c:extLst>
        </c:ser>
        <c:ser>
          <c:idx val="1"/>
          <c:order val="2"/>
          <c:tx>
            <c:strRef>
              <c:f>Dat_01!$B$125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Dat_01!$C$125:$O$125</c:f>
              <c:numCache>
                <c:formatCode>#,##0.0</c:formatCode>
                <c:ptCount val="13"/>
                <c:pt idx="0">
                  <c:v>25.040586000000001</c:v>
                </c:pt>
                <c:pt idx="1">
                  <c:v>25.468105999999999</c:v>
                </c:pt>
                <c:pt idx="2">
                  <c:v>46.078491</c:v>
                </c:pt>
                <c:pt idx="3">
                  <c:v>58.218541000000002</c:v>
                </c:pt>
                <c:pt idx="4">
                  <c:v>51.241262999999996</c:v>
                </c:pt>
                <c:pt idx="5">
                  <c:v>39.777388999999999</c:v>
                </c:pt>
                <c:pt idx="6">
                  <c:v>43.751629999999999</c:v>
                </c:pt>
                <c:pt idx="7">
                  <c:v>32.383879</c:v>
                </c:pt>
                <c:pt idx="8">
                  <c:v>25.042332999999999</c:v>
                </c:pt>
                <c:pt idx="9">
                  <c:v>28.074463000000002</c:v>
                </c:pt>
                <c:pt idx="10">
                  <c:v>21.743562000000001</c:v>
                </c:pt>
                <c:pt idx="11">
                  <c:v>24.257366999999999</c:v>
                </c:pt>
                <c:pt idx="12">
                  <c:v>22.619537000000001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18-4B7E-ADE3-CF38220B9908}"/>
            </c:ext>
          </c:extLst>
        </c:ser>
        <c:ser>
          <c:idx val="3"/>
          <c:order val="3"/>
          <c:tx>
            <c:strRef>
              <c:f>Dat_01!$B$126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226.59007600000001</c:v>
                </c:pt>
                <c:pt idx="1">
                  <c:v>244.74023199999999</c:v>
                </c:pt>
                <c:pt idx="2">
                  <c:v>274.475863</c:v>
                </c:pt>
                <c:pt idx="3">
                  <c:v>334.267562</c:v>
                </c:pt>
                <c:pt idx="4">
                  <c:v>319.07413400000002</c:v>
                </c:pt>
                <c:pt idx="5">
                  <c:v>274.82982800000002</c:v>
                </c:pt>
                <c:pt idx="6">
                  <c:v>257.021049</c:v>
                </c:pt>
                <c:pt idx="7">
                  <c:v>234.20941099999999</c:v>
                </c:pt>
                <c:pt idx="8">
                  <c:v>265.032152</c:v>
                </c:pt>
                <c:pt idx="9">
                  <c:v>271.90836200000001</c:v>
                </c:pt>
                <c:pt idx="10">
                  <c:v>219.728983</c:v>
                </c:pt>
                <c:pt idx="11">
                  <c:v>263.66985</c:v>
                </c:pt>
                <c:pt idx="12">
                  <c:v>217.826639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8-4B7E-ADE3-CF38220B9908}"/>
            </c:ext>
          </c:extLst>
        </c:ser>
        <c:ser>
          <c:idx val="5"/>
          <c:order val="4"/>
          <c:tx>
            <c:strRef>
              <c:f>Dat_01!$B$128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8-4B7E-ADE3-CF38220B9908}"/>
            </c:ext>
          </c:extLst>
        </c:ser>
        <c:ser>
          <c:idx val="6"/>
          <c:order val="5"/>
          <c:tx>
            <c:strRef>
              <c:f>Dat_01!$B$129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49.048960999999998</c:v>
                </c:pt>
                <c:pt idx="1">
                  <c:v>55.148218999999997</c:v>
                </c:pt>
                <c:pt idx="2">
                  <c:v>64.616387000000003</c:v>
                </c:pt>
                <c:pt idx="3">
                  <c:v>58.301254</c:v>
                </c:pt>
                <c:pt idx="4">
                  <c:v>58.388308000000002</c:v>
                </c:pt>
                <c:pt idx="5">
                  <c:v>48.070135000000001</c:v>
                </c:pt>
                <c:pt idx="6">
                  <c:v>38.159438000000002</c:v>
                </c:pt>
                <c:pt idx="7">
                  <c:v>28.287680999999999</c:v>
                </c:pt>
                <c:pt idx="8">
                  <c:v>21.457460999999999</c:v>
                </c:pt>
                <c:pt idx="9">
                  <c:v>26.531222</c:v>
                </c:pt>
                <c:pt idx="10">
                  <c:v>38.510109999999997</c:v>
                </c:pt>
                <c:pt idx="11">
                  <c:v>42.581280999999997</c:v>
                </c:pt>
                <c:pt idx="12">
                  <c:v>58.732978000000003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18-4B7E-ADE3-CF38220B9908}"/>
            </c:ext>
          </c:extLst>
        </c:ser>
        <c:ser>
          <c:idx val="7"/>
          <c:order val="6"/>
          <c:tx>
            <c:strRef>
              <c:f>Dat_01!$B$130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0.216173</c:v>
                </c:pt>
                <c:pt idx="1">
                  <c:v>0.242977</c:v>
                </c:pt>
                <c:pt idx="2">
                  <c:v>0.25375799999999998</c:v>
                </c:pt>
                <c:pt idx="3">
                  <c:v>0.13533500000000001</c:v>
                </c:pt>
                <c:pt idx="4">
                  <c:v>6.2700000000000006E-2</c:v>
                </c:pt>
                <c:pt idx="5">
                  <c:v>0.16319</c:v>
                </c:pt>
                <c:pt idx="6">
                  <c:v>0.72397699999999998</c:v>
                </c:pt>
                <c:pt idx="7">
                  <c:v>1.328557</c:v>
                </c:pt>
                <c:pt idx="8">
                  <c:v>0.812226</c:v>
                </c:pt>
                <c:pt idx="9">
                  <c:v>0.97993699999999995</c:v>
                </c:pt>
                <c:pt idx="10">
                  <c:v>0.94255900000000004</c:v>
                </c:pt>
                <c:pt idx="11">
                  <c:v>1.3661909999999999</c:v>
                </c:pt>
                <c:pt idx="12">
                  <c:v>1.5815539999999999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18-4B7E-ADE3-CF38220B9908}"/>
            </c:ext>
          </c:extLst>
        </c:ser>
        <c:ser>
          <c:idx val="4"/>
          <c:order val="7"/>
          <c:tx>
            <c:strRef>
              <c:f>Dat_01!$B$131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Dat_01!$C$131:$O$131</c:f>
              <c:numCache>
                <c:formatCode>#,##0.0</c:formatCode>
                <c:ptCount val="13"/>
                <c:pt idx="0">
                  <c:v>2.4437060000000002</c:v>
                </c:pt>
                <c:pt idx="1">
                  <c:v>3.266893</c:v>
                </c:pt>
                <c:pt idx="2">
                  <c:v>4.1208809999999998</c:v>
                </c:pt>
                <c:pt idx="3">
                  <c:v>3.573118</c:v>
                </c:pt>
                <c:pt idx="4">
                  <c:v>3.1659009999999999</c:v>
                </c:pt>
                <c:pt idx="5">
                  <c:v>2.336195</c:v>
                </c:pt>
                <c:pt idx="6">
                  <c:v>3.0284080000000002</c:v>
                </c:pt>
                <c:pt idx="7">
                  <c:v>2.5220250000000002</c:v>
                </c:pt>
                <c:pt idx="8">
                  <c:v>3.7919230000000002</c:v>
                </c:pt>
                <c:pt idx="9">
                  <c:v>3.4251860000000001</c:v>
                </c:pt>
                <c:pt idx="10">
                  <c:v>1.3775310000000001</c:v>
                </c:pt>
                <c:pt idx="11">
                  <c:v>0.98716599999999999</c:v>
                </c:pt>
                <c:pt idx="12">
                  <c:v>2.626277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8-4B7E-ADE3-CF38220B9908}"/>
            </c:ext>
          </c:extLst>
        </c:ser>
        <c:ser>
          <c:idx val="10"/>
          <c:order val="8"/>
          <c:tx>
            <c:strRef>
              <c:f>Dat_01!$B$132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Dat_01!$C$132:$O$132</c:f>
              <c:numCache>
                <c:formatCode>#,##0.0</c:formatCode>
                <c:ptCount val="13"/>
                <c:pt idx="0">
                  <c:v>12.984987</c:v>
                </c:pt>
                <c:pt idx="1">
                  <c:v>10.486427000000001</c:v>
                </c:pt>
                <c:pt idx="2">
                  <c:v>14.345347</c:v>
                </c:pt>
                <c:pt idx="3">
                  <c:v>13.9802175</c:v>
                </c:pt>
                <c:pt idx="4">
                  <c:v>11.851319</c:v>
                </c:pt>
                <c:pt idx="5">
                  <c:v>13.92998</c:v>
                </c:pt>
                <c:pt idx="6">
                  <c:v>8.0829000000000004</c:v>
                </c:pt>
                <c:pt idx="7">
                  <c:v>12.386824499999999</c:v>
                </c:pt>
                <c:pt idx="8">
                  <c:v>9.5741110000000003</c:v>
                </c:pt>
                <c:pt idx="9">
                  <c:v>8.3717509999999997</c:v>
                </c:pt>
                <c:pt idx="10">
                  <c:v>4.8198524999999997</c:v>
                </c:pt>
                <c:pt idx="11">
                  <c:v>9.7177954999999994</c:v>
                </c:pt>
                <c:pt idx="12">
                  <c:v>15.144128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8-4B7E-ADE3-CF38220B9908}"/>
            </c:ext>
          </c:extLst>
        </c:ser>
        <c:ser>
          <c:idx val="0"/>
          <c:order val="9"/>
          <c:tx>
            <c:strRef>
              <c:f>Dat_01!$B$133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Dat_01!$C$133:$O$133</c:f>
              <c:numCache>
                <c:formatCode>#,##0.0</c:formatCode>
                <c:ptCount val="13"/>
                <c:pt idx="0">
                  <c:v>12.984987</c:v>
                </c:pt>
                <c:pt idx="1">
                  <c:v>10.486427000000001</c:v>
                </c:pt>
                <c:pt idx="2">
                  <c:v>14.345347</c:v>
                </c:pt>
                <c:pt idx="3">
                  <c:v>13.9802175</c:v>
                </c:pt>
                <c:pt idx="4">
                  <c:v>11.851319</c:v>
                </c:pt>
                <c:pt idx="5">
                  <c:v>13.92998</c:v>
                </c:pt>
                <c:pt idx="6">
                  <c:v>8.0829000000000004</c:v>
                </c:pt>
                <c:pt idx="7">
                  <c:v>12.386824499999999</c:v>
                </c:pt>
                <c:pt idx="8">
                  <c:v>9.5741110000000003</c:v>
                </c:pt>
                <c:pt idx="9">
                  <c:v>8.3717509999999997</c:v>
                </c:pt>
                <c:pt idx="10">
                  <c:v>4.8198524999999997</c:v>
                </c:pt>
                <c:pt idx="11">
                  <c:v>9.7177954999999994</c:v>
                </c:pt>
                <c:pt idx="12">
                  <c:v>15.144128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18-4B7E-ADE3-CF38220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4807346236192016"/>
          <c:h val="0.1228374325690675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Dat_01!$B$123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Dat_01!$C$123:$O$123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E-4BAA-AB4A-BDDE9C9AFA43}"/>
            </c:ext>
          </c:extLst>
        </c:ser>
        <c:ser>
          <c:idx val="8"/>
          <c:order val="1"/>
          <c:tx>
            <c:strRef>
              <c:f>Dat_01!$B$139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38.904201999999998</c:v>
                </c:pt>
                <c:pt idx="1">
                  <c:v>43.085017000000001</c:v>
                </c:pt>
                <c:pt idx="2">
                  <c:v>82.837088999999992</c:v>
                </c:pt>
                <c:pt idx="3">
                  <c:v>120.582323</c:v>
                </c:pt>
                <c:pt idx="4">
                  <c:v>117.70911799999999</c:v>
                </c:pt>
                <c:pt idx="5">
                  <c:v>85.231729000000001</c:v>
                </c:pt>
                <c:pt idx="6">
                  <c:v>66.208546999999996</c:v>
                </c:pt>
                <c:pt idx="7">
                  <c:v>49.453113000000002</c:v>
                </c:pt>
                <c:pt idx="8">
                  <c:v>36.694375000000001</c:v>
                </c:pt>
                <c:pt idx="9">
                  <c:v>42.966481999999999</c:v>
                </c:pt>
                <c:pt idx="10">
                  <c:v>27.779554000000001</c:v>
                </c:pt>
                <c:pt idx="11">
                  <c:v>32.79</c:v>
                </c:pt>
                <c:pt idx="12">
                  <c:v>31.239136999999999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E-4BAA-AB4A-BDDE9C9AFA43}"/>
            </c:ext>
          </c:extLst>
        </c:ser>
        <c:ser>
          <c:idx val="3"/>
          <c:order val="2"/>
          <c:tx>
            <c:strRef>
              <c:f>Dat_01!$B$126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226.59007600000001</c:v>
                </c:pt>
                <c:pt idx="1">
                  <c:v>244.74023199999999</c:v>
                </c:pt>
                <c:pt idx="2">
                  <c:v>274.475863</c:v>
                </c:pt>
                <c:pt idx="3">
                  <c:v>334.267562</c:v>
                </c:pt>
                <c:pt idx="4">
                  <c:v>319.07413400000002</c:v>
                </c:pt>
                <c:pt idx="5">
                  <c:v>274.82982800000002</c:v>
                </c:pt>
                <c:pt idx="6">
                  <c:v>257.021049</c:v>
                </c:pt>
                <c:pt idx="7">
                  <c:v>234.20941099999999</c:v>
                </c:pt>
                <c:pt idx="8">
                  <c:v>265.032152</c:v>
                </c:pt>
                <c:pt idx="9">
                  <c:v>271.90836200000001</c:v>
                </c:pt>
                <c:pt idx="10">
                  <c:v>219.728983</c:v>
                </c:pt>
                <c:pt idx="11">
                  <c:v>263.66985</c:v>
                </c:pt>
                <c:pt idx="12">
                  <c:v>217.826639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E-4BAA-AB4A-BDDE9C9AFA43}"/>
            </c:ext>
          </c:extLst>
        </c:ser>
        <c:ser>
          <c:idx val="5"/>
          <c:order val="3"/>
          <c:tx>
            <c:strRef>
              <c:f>Dat_01!$B$128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E-4BAA-AB4A-BDDE9C9AFA43}"/>
            </c:ext>
          </c:extLst>
        </c:ser>
        <c:ser>
          <c:idx val="6"/>
          <c:order val="4"/>
          <c:tx>
            <c:strRef>
              <c:f>Dat_01!$B$129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49.048960999999998</c:v>
                </c:pt>
                <c:pt idx="1">
                  <c:v>55.148218999999997</c:v>
                </c:pt>
                <c:pt idx="2">
                  <c:v>64.616387000000003</c:v>
                </c:pt>
                <c:pt idx="3">
                  <c:v>58.301254</c:v>
                </c:pt>
                <c:pt idx="4">
                  <c:v>58.388308000000002</c:v>
                </c:pt>
                <c:pt idx="5">
                  <c:v>48.070135000000001</c:v>
                </c:pt>
                <c:pt idx="6">
                  <c:v>38.159438000000002</c:v>
                </c:pt>
                <c:pt idx="7">
                  <c:v>28.287680999999999</c:v>
                </c:pt>
                <c:pt idx="8">
                  <c:v>21.457460999999999</c:v>
                </c:pt>
                <c:pt idx="9">
                  <c:v>26.531222</c:v>
                </c:pt>
                <c:pt idx="10">
                  <c:v>38.510109999999997</c:v>
                </c:pt>
                <c:pt idx="11">
                  <c:v>42.581280999999997</c:v>
                </c:pt>
                <c:pt idx="12">
                  <c:v>58.732978000000003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CE-4BAA-AB4A-BDDE9C9AFA43}"/>
            </c:ext>
          </c:extLst>
        </c:ser>
        <c:ser>
          <c:idx val="7"/>
          <c:order val="5"/>
          <c:tx>
            <c:strRef>
              <c:f>Dat_01!$B$130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0.216173</c:v>
                </c:pt>
                <c:pt idx="1">
                  <c:v>0.242977</c:v>
                </c:pt>
                <c:pt idx="2">
                  <c:v>0.25375799999999998</c:v>
                </c:pt>
                <c:pt idx="3">
                  <c:v>0.13533500000000001</c:v>
                </c:pt>
                <c:pt idx="4">
                  <c:v>6.2700000000000006E-2</c:v>
                </c:pt>
                <c:pt idx="5">
                  <c:v>0.16319</c:v>
                </c:pt>
                <c:pt idx="6">
                  <c:v>0.72397699999999998</c:v>
                </c:pt>
                <c:pt idx="7">
                  <c:v>1.328557</c:v>
                </c:pt>
                <c:pt idx="8">
                  <c:v>0.812226</c:v>
                </c:pt>
                <c:pt idx="9">
                  <c:v>0.97993699999999995</c:v>
                </c:pt>
                <c:pt idx="10">
                  <c:v>0.94255900000000004</c:v>
                </c:pt>
                <c:pt idx="11">
                  <c:v>1.3661909999999999</c:v>
                </c:pt>
                <c:pt idx="12">
                  <c:v>1.5815539999999999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CE-4BAA-AB4A-BDDE9C9AFA43}"/>
            </c:ext>
          </c:extLst>
        </c:ser>
        <c:ser>
          <c:idx val="4"/>
          <c:order val="6"/>
          <c:tx>
            <c:strRef>
              <c:f>Dat_01!$B$131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FFCCFF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Dat_01!$C$131:$O$131</c:f>
              <c:numCache>
                <c:formatCode>#,##0.0</c:formatCode>
                <c:ptCount val="13"/>
                <c:pt idx="0">
                  <c:v>2.4437060000000002</c:v>
                </c:pt>
                <c:pt idx="1">
                  <c:v>3.266893</c:v>
                </c:pt>
                <c:pt idx="2">
                  <c:v>4.1208809999999998</c:v>
                </c:pt>
                <c:pt idx="3">
                  <c:v>3.573118</c:v>
                </c:pt>
                <c:pt idx="4">
                  <c:v>3.1659009999999999</c:v>
                </c:pt>
                <c:pt idx="5">
                  <c:v>2.336195</c:v>
                </c:pt>
                <c:pt idx="6">
                  <c:v>3.0284080000000002</c:v>
                </c:pt>
                <c:pt idx="7">
                  <c:v>2.5220250000000002</c:v>
                </c:pt>
                <c:pt idx="8">
                  <c:v>3.7919230000000002</c:v>
                </c:pt>
                <c:pt idx="9">
                  <c:v>3.4251860000000001</c:v>
                </c:pt>
                <c:pt idx="10">
                  <c:v>1.3775310000000001</c:v>
                </c:pt>
                <c:pt idx="11">
                  <c:v>0.98716599999999999</c:v>
                </c:pt>
                <c:pt idx="12">
                  <c:v>2.626277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CE-4BAA-AB4A-BDDE9C9AFA43}"/>
            </c:ext>
          </c:extLst>
        </c:ser>
        <c:ser>
          <c:idx val="10"/>
          <c:order val="7"/>
          <c:tx>
            <c:strRef>
              <c:f>Dat_01!$B$132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abr.-25</c:v>
                </c:pt>
                <c:pt idx="1">
                  <c:v>may.-25</c:v>
                </c:pt>
                <c:pt idx="2">
                  <c:v>jun.-25</c:v>
                </c:pt>
                <c:pt idx="3">
                  <c:v>jul.-25</c:v>
                </c:pt>
                <c:pt idx="4">
                  <c:v>ago.-25</c:v>
                </c:pt>
                <c:pt idx="5">
                  <c:v>sep.-25</c:v>
                </c:pt>
                <c:pt idx="6">
                  <c:v>oct.-25</c:v>
                </c:pt>
                <c:pt idx="7">
                  <c:v>nov.-25</c:v>
                </c:pt>
                <c:pt idx="8">
                  <c:v>dic.-25</c:v>
                </c:pt>
                <c:pt idx="9">
                  <c:v>ene.-26</c:v>
                </c:pt>
                <c:pt idx="10">
                  <c:v>feb.-26</c:v>
                </c:pt>
                <c:pt idx="11">
                  <c:v>mar.-26</c:v>
                </c:pt>
                <c:pt idx="12">
                  <c:v>abr.-26</c:v>
                </c:pt>
              </c:strCache>
            </c:strRef>
          </c:cat>
          <c:val>
            <c:numRef>
              <c:f>Dat_01!$C$132:$O$132</c:f>
              <c:numCache>
                <c:formatCode>#,##0.0</c:formatCode>
                <c:ptCount val="13"/>
                <c:pt idx="0">
                  <c:v>12.984987</c:v>
                </c:pt>
                <c:pt idx="1">
                  <c:v>10.486427000000001</c:v>
                </c:pt>
                <c:pt idx="2">
                  <c:v>14.345347</c:v>
                </c:pt>
                <c:pt idx="3">
                  <c:v>13.9802175</c:v>
                </c:pt>
                <c:pt idx="4">
                  <c:v>11.851319</c:v>
                </c:pt>
                <c:pt idx="5">
                  <c:v>13.92998</c:v>
                </c:pt>
                <c:pt idx="6">
                  <c:v>8.0829000000000004</c:v>
                </c:pt>
                <c:pt idx="7">
                  <c:v>12.386824499999999</c:v>
                </c:pt>
                <c:pt idx="8">
                  <c:v>9.5741110000000003</c:v>
                </c:pt>
                <c:pt idx="9">
                  <c:v>8.3717509999999997</c:v>
                </c:pt>
                <c:pt idx="10">
                  <c:v>4.8198524999999997</c:v>
                </c:pt>
                <c:pt idx="11">
                  <c:v>9.7177954999999994</c:v>
                </c:pt>
                <c:pt idx="12">
                  <c:v>15.144128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CE-4BAA-AB4A-BDDE9C9AFA43}"/>
            </c:ext>
          </c:extLst>
        </c:ser>
        <c:ser>
          <c:idx val="0"/>
          <c:order val="8"/>
          <c:tx>
            <c:strRef>
              <c:f>Dat_01!$B$133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Dat_01!$C$133:$O$133</c:f>
              <c:numCache>
                <c:formatCode>#,##0.0</c:formatCode>
                <c:ptCount val="13"/>
                <c:pt idx="0">
                  <c:v>12.984987</c:v>
                </c:pt>
                <c:pt idx="1">
                  <c:v>10.486427000000001</c:v>
                </c:pt>
                <c:pt idx="2">
                  <c:v>14.345347</c:v>
                </c:pt>
                <c:pt idx="3">
                  <c:v>13.9802175</c:v>
                </c:pt>
                <c:pt idx="4">
                  <c:v>11.851319</c:v>
                </c:pt>
                <c:pt idx="5">
                  <c:v>13.92998</c:v>
                </c:pt>
                <c:pt idx="6">
                  <c:v>8.0829000000000004</c:v>
                </c:pt>
                <c:pt idx="7">
                  <c:v>12.386824499999999</c:v>
                </c:pt>
                <c:pt idx="8">
                  <c:v>9.5741110000000003</c:v>
                </c:pt>
                <c:pt idx="9">
                  <c:v>8.3717509999999997</c:v>
                </c:pt>
                <c:pt idx="10">
                  <c:v>4.8198524999999997</c:v>
                </c:pt>
                <c:pt idx="11">
                  <c:v>9.7177954999999994</c:v>
                </c:pt>
                <c:pt idx="12">
                  <c:v>15.144128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E-4BAA-AB4A-BDDE9C9A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8084358873273449"/>
          <c:h val="0.14830842410183867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2B7E-47AC-BF15-7A49F50B4E88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2B7E-47AC-BF15-7A49F50B4E88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2B7E-47AC-BF15-7A49F50B4E88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2B7E-47AC-BF15-7A49F50B4E88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2B7E-47AC-BF15-7A49F50B4E88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2B7E-47AC-BF15-7A49F50B4E88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D-2B7E-47AC-BF15-7A49F50B4E88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F-2B7E-47AC-BF15-7A49F50B4E88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1-2B7E-47AC-BF15-7A49F50B4E88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3-2B7E-47AC-BF15-7A49F50B4E88}"/>
              </c:ext>
            </c:extLst>
          </c:dPt>
          <c:dLbls>
            <c:dLbl>
              <c:idx val="0"/>
              <c:layout>
                <c:manualLayout>
                  <c:x val="0.15609756097560964"/>
                  <c:y val="-0.10274509803921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7E-47AC-BF15-7A49F50B4E88}"/>
                </c:ext>
              </c:extLst>
            </c:dLbl>
            <c:dLbl>
              <c:idx val="1"/>
              <c:layout>
                <c:manualLayout>
                  <c:x val="0.17235772357723578"/>
                  <c:y val="2.9411764705882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7E-47AC-BF15-7A49F50B4E88}"/>
                </c:ext>
              </c:extLst>
            </c:dLbl>
            <c:dLbl>
              <c:idx val="2"/>
              <c:layout>
                <c:manualLayout>
                  <c:x val="0.16422764227642275"/>
                  <c:y val="0.14766614173228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21138211382115"/>
                      <c:h val="0.16470157480314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2B7E-47AC-BF15-7A49F50B4E88}"/>
                </c:ext>
              </c:extLst>
            </c:dLbl>
            <c:dLbl>
              <c:idx val="3"/>
              <c:layout>
                <c:manualLayout>
                  <c:x val="-0.16585365853658537"/>
                  <c:y val="0.139607677165354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85365853658536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B7E-47AC-BF15-7A49F50B4E88}"/>
                </c:ext>
              </c:extLst>
            </c:dLbl>
            <c:dLbl>
              <c:idx val="4"/>
              <c:layout>
                <c:manualLayout>
                  <c:x val="-0.17235772357723578"/>
                  <c:y val="8.33333333333333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7E-47AC-BF15-7A49F50B4E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7E-47AC-BF15-7A49F50B4E88}"/>
                </c:ext>
              </c:extLst>
            </c:dLbl>
            <c:dLbl>
              <c:idx val="6"/>
              <c:layout>
                <c:manualLayout>
                  <c:x val="-0.1886178861788618"/>
                  <c:y val="-1.4803937007874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7E-47AC-BF15-7A49F50B4E88}"/>
                </c:ext>
              </c:extLst>
            </c:dLbl>
            <c:dLbl>
              <c:idx val="7"/>
              <c:layout>
                <c:manualLayout>
                  <c:x val="-0.16260162601626016"/>
                  <c:y val="-8.7843307086614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7E-47AC-BF15-7A49F50B4E88}"/>
                </c:ext>
              </c:extLst>
            </c:dLbl>
            <c:dLbl>
              <c:idx val="8"/>
              <c:layout>
                <c:manualLayout>
                  <c:x val="-0.14796760770757317"/>
                  <c:y val="-0.13450984251968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49606299212591"/>
                      <c:h val="0.16580905511811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2B7E-47AC-BF15-7A49F50B4E88}"/>
                </c:ext>
              </c:extLst>
            </c:dLbl>
            <c:dLbl>
              <c:idx val="9"/>
              <c:layout>
                <c:manualLayout>
                  <c:x val="7.4796747967479621E-2"/>
                  <c:y val="-0.146324880345839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34959349593495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2B7E-47AC-BF15-7A49F50B4E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Dat_01!$F$52:$F$61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Dat_01!$H$52:$H$61</c:f>
              <c:numCache>
                <c:formatCode>#,##0.0</c:formatCode>
                <c:ptCount val="10"/>
                <c:pt idx="0">
                  <c:v>14.189692983146918</c:v>
                </c:pt>
                <c:pt idx="1">
                  <c:v>15.153151138080872</c:v>
                </c:pt>
                <c:pt idx="2">
                  <c:v>14.044199453256558</c:v>
                </c:pt>
                <c:pt idx="3">
                  <c:v>25.182020153423306</c:v>
                </c:pt>
                <c:pt idx="4">
                  <c:v>1.1115705683623416</c:v>
                </c:pt>
                <c:pt idx="5">
                  <c:v>2.220231266126876E-2</c:v>
                </c:pt>
                <c:pt idx="6">
                  <c:v>0.32939735167177242</c:v>
                </c:pt>
                <c:pt idx="7">
                  <c:v>19.712481884255048</c:v>
                </c:pt>
                <c:pt idx="8">
                  <c:v>9.9990409502990243</c:v>
                </c:pt>
                <c:pt idx="9">
                  <c:v>0.25624320484289997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B7E-47AC-BF15-7A49F50B4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B8D8-4D1B-8FB2-029AD8CC36A9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B8D8-4D1B-8FB2-029AD8CC36A9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B8D8-4D1B-8FB2-029AD8CC36A9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8D8-4D1B-8FB2-029AD8CC36A9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D8-4D1B-8FB2-029AD8CC36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B-B8D8-4D1B-8FB2-029AD8CC36A9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D-B8D8-4D1B-8FB2-029AD8CC36A9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F-B8D8-4D1B-8FB2-029AD8CC36A9}"/>
              </c:ext>
            </c:extLst>
          </c:dPt>
          <c:dLbls>
            <c:dLbl>
              <c:idx val="0"/>
              <c:layout>
                <c:manualLayout>
                  <c:x val="0.1886178861788618"/>
                  <c:y val="-5.050447738150380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8-4D1B-8FB2-029AD8CC36A9}"/>
                </c:ext>
              </c:extLst>
            </c:dLbl>
            <c:dLbl>
              <c:idx val="1"/>
              <c:layout>
                <c:manualLayout>
                  <c:x val="0.1691090199090966"/>
                  <c:y val="1.70652418447694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8-4D1B-8FB2-029AD8CC36A9}"/>
                </c:ext>
              </c:extLst>
            </c:dLbl>
            <c:dLbl>
              <c:idx val="2"/>
              <c:layout>
                <c:manualLayout>
                  <c:x val="0.18049074963190576"/>
                  <c:y val="4.51960784313724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97560975609752"/>
                      <c:h val="0.1107109773043075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8D8-4D1B-8FB2-029AD8CC36A9}"/>
                </c:ext>
              </c:extLst>
            </c:dLbl>
            <c:dLbl>
              <c:idx val="3"/>
              <c:layout>
                <c:manualLayout>
                  <c:x val="-0.18312738373523621"/>
                  <c:y val="9.644916763026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86991869918702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B8D8-4D1B-8FB2-029AD8CC36A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8-4D1B-8FB2-029AD8CC36A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8-4D1B-8FB2-029AD8CC36A9}"/>
                </c:ext>
              </c:extLst>
            </c:dLbl>
            <c:dLbl>
              <c:idx val="6"/>
              <c:layout>
                <c:manualLayout>
                  <c:x val="-0.15934959349593497"/>
                  <c:y val="-5.90753655793026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8-4D1B-8FB2-029AD8CC36A9}"/>
                </c:ext>
              </c:extLst>
            </c:dLbl>
            <c:dLbl>
              <c:idx val="7"/>
              <c:layout>
                <c:manualLayout>
                  <c:x val="-0.12357723577235773"/>
                  <c:y val="-0.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8-4D1B-8FB2-029AD8CC36A9}"/>
                </c:ext>
              </c:extLst>
            </c:dLbl>
            <c:dLbl>
              <c:idx val="8"/>
              <c:layout>
                <c:manualLayout>
                  <c:x val="-8.1302093335893985E-3"/>
                  <c:y val="-0.153106183418249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95134754497145"/>
                      <c:h val="0.141495291029797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8D8-4D1B-8FB2-029AD8CC36A9}"/>
                </c:ext>
              </c:extLst>
            </c:dLbl>
            <c:dLbl>
              <c:idx val="9"/>
              <c:layout>
                <c:manualLayout>
                  <c:x val="0.16585378656936176"/>
                  <c:y val="-0.1323527481858885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435772357723573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B8D8-4D1B-8FB2-029AD8CC36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Dat_01!$F$68:$F$77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Dat_01!$G$68:$G$77</c:f>
              <c:numCache>
                <c:formatCode>#,##0.0</c:formatCode>
                <c:ptCount val="10"/>
                <c:pt idx="0">
                  <c:v>21.785400148300528</c:v>
                </c:pt>
                <c:pt idx="1">
                  <c:v>4.9261071838113457</c:v>
                </c:pt>
                <c:pt idx="2">
                  <c:v>15.125079474605229</c:v>
                </c:pt>
                <c:pt idx="3">
                  <c:v>40.426573189639711</c:v>
                </c:pt>
                <c:pt idx="4">
                  <c:v>0</c:v>
                </c:pt>
                <c:pt idx="5">
                  <c:v>0</c:v>
                </c:pt>
                <c:pt idx="6">
                  <c:v>0.20765070326310298</c:v>
                </c:pt>
                <c:pt idx="7">
                  <c:v>11.63243402269403</c:v>
                </c:pt>
                <c:pt idx="8">
                  <c:v>5.7775229926454941</c:v>
                </c:pt>
                <c:pt idx="9">
                  <c:v>0.11923228504055827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D8-4D1B-8FB2-029AD8CC36A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205D-430C-91F1-C8681903F108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205D-430C-91F1-C8681903F108}"/>
              </c:ext>
            </c:extLst>
          </c:dPt>
          <c:dLbls>
            <c:dLbl>
              <c:idx val="0"/>
              <c:layout>
                <c:manualLayout>
                  <c:x val="-0.17543875805936185"/>
                  <c:y val="-7.84313725490196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32752620299875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05D-430C-91F1-C8681903F108}"/>
                </c:ext>
              </c:extLst>
            </c:dLbl>
            <c:dLbl>
              <c:idx val="1"/>
              <c:layout>
                <c:manualLayout>
                  <c:x val="0.14035100644748946"/>
                  <c:y val="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79567601020032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05D-430C-91F1-C8681903F1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Dat_01!$L$52:$L$53</c:f>
              <c:numCache>
                <c:formatCode>#,##0.0</c:formatCode>
                <c:ptCount val="2"/>
                <c:pt idx="0">
                  <c:v>69.68063429627</c:v>
                </c:pt>
                <c:pt idx="1">
                  <c:v>30.319365703730011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D-430C-91F1-C8681903F1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1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6380369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198119" y="493395"/>
          <a:ext cx="77824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38097</xdr:rowOff>
    </xdr:from>
    <xdr:to>
      <xdr:col>2</xdr:col>
      <xdr:colOff>1060510</xdr:colOff>
      <xdr:row>16</xdr:row>
      <xdr:rowOff>95249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010" y="866772"/>
          <a:ext cx="1044000" cy="1571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409574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A2057E3-2298-458F-BD8F-FE7D60DC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E9DEC4-F220-4640-A6BC-D099B2EDA94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DE0B2FAF-F0B8-4164-9C9B-2977B9AAC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123824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A45532-8650-47C5-84F8-592744F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63AD3A0-A11D-4BD3-854C-E208A3725606}"/>
            </a:ext>
          </a:extLst>
        </xdr:cNvPr>
        <xdr:cNvSpPr>
          <a:spLocks noChangeShapeType="1"/>
        </xdr:cNvSpPr>
      </xdr:nvSpPr>
      <xdr:spPr bwMode="auto">
        <a:xfrm flipH="1">
          <a:off x="218438" y="490220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BA18C0-DA1E-4D83-929D-041785CF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2192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B8556212-3511-422C-9631-D15B4B3B2A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8">
      <xdr:nvSpPr>
        <xdr:cNvPr id="6" name="CuadroTexto 1">
          <a:extLst>
            <a:ext uri="{FF2B5EF4-FFF2-40B4-BE49-F238E27FC236}">
              <a16:creationId xmlns:a16="http://schemas.microsoft.com/office/drawing/2014/main" id="{88233CCD-0987-990C-7E30-FE6F9990A65B}"/>
            </a:ext>
          </a:extLst>
        </xdr:cNvPr>
        <xdr:cNvSpPr txBox="1"/>
      </xdr:nvSpPr>
      <xdr:spPr>
        <a:xfrm>
          <a:off x="2360295" y="1466850"/>
          <a:ext cx="627356" cy="419100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C0E9936F-0463-4EBD-B1C1-C14BE8A28F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1,2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F7517D-B9D2-42AA-974F-4C7351DC8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7041855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8140316-B562-4CF9-982D-D1C431492125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102869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BE55CD-E404-474C-857B-642988E5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10160</xdr:colOff>
      <xdr:row>3</xdr:row>
      <xdr:rowOff>17780</xdr:rowOff>
    </xdr:from>
    <xdr:to>
      <xdr:col>7</xdr:col>
      <xdr:colOff>18530</xdr:colOff>
      <xdr:row>3</xdr:row>
      <xdr:rowOff>17780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B7CF0382-B55F-4155-A4C5-B86F97234CDB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93339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C65460-AF0C-44E5-AF2E-3E78F8B5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5A46E420-4AB2-46B5-A34F-FC789C8C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24</xdr:row>
      <xdr:rowOff>0</xdr:rowOff>
    </xdr:from>
    <xdr:to>
      <xdr:col>5</xdr:col>
      <xdr:colOff>1813559</xdr:colOff>
      <xdr:row>33</xdr:row>
      <xdr:rowOff>7620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58EEC424-1C71-4286-8CD8-852B1E09D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3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A1FF3861-6ABF-4718-BC29-5CC50C1885B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74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6EB3CB67-413F-4F41-894D-AEE8FFB245B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3C065DB-D69E-407D-A427-6BEB85816BC9}"/>
            </a:ext>
          </a:extLst>
        </xdr:cNvPr>
        <xdr:cNvSpPr>
          <a:spLocks noChangeShapeType="1"/>
        </xdr:cNvSpPr>
      </xdr:nvSpPr>
      <xdr:spPr bwMode="auto">
        <a:xfrm flipH="1">
          <a:off x="216533" y="488315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57144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C145AE-6B3A-448A-988E-E9F97BAC0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" y="123825"/>
          <a:ext cx="1813559" cy="2190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846CDD70-5C82-496E-A1D2-DE93557379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7">
      <xdr:nvSpPr>
        <xdr:cNvPr id="5" name="CuadroTexto 1">
          <a:extLst>
            <a:ext uri="{FF2B5EF4-FFF2-40B4-BE49-F238E27FC236}">
              <a16:creationId xmlns:a16="http://schemas.microsoft.com/office/drawing/2014/main" id="{18F5699A-6899-41A0-8F70-327DBA57117A}"/>
            </a:ext>
          </a:extLst>
        </xdr:cNvPr>
        <xdr:cNvSpPr txBox="1"/>
      </xdr:nvSpPr>
      <xdr:spPr>
        <a:xfrm>
          <a:off x="2407920" y="1459230"/>
          <a:ext cx="631166" cy="413385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D5C98716-3E6A-4DDF-8536-CF453E576FC4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5,1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6B7F2F3-6D02-4F9F-8755-60AFF2A018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7039950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7DE2E272-FE18-47ED-9AE4-23E5D180D3C3}"/>
            </a:ext>
          </a:extLst>
        </xdr:cNvPr>
        <xdr:cNvSpPr>
          <a:spLocks noChangeShapeType="1"/>
        </xdr:cNvSpPr>
      </xdr:nvSpPr>
      <xdr:spPr bwMode="auto">
        <a:xfrm flipH="1">
          <a:off x="180975" y="457200"/>
          <a:ext cx="875635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95249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96D2463-19B9-49B7-889C-47DAD0E3D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" y="125730"/>
          <a:ext cx="1805939" cy="215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212E58-FDCF-4976-A0A4-FFEEF133A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19685</xdr:colOff>
      <xdr:row>3</xdr:row>
      <xdr:rowOff>21590</xdr:rowOff>
    </xdr:from>
    <xdr:to>
      <xdr:col>7</xdr:col>
      <xdr:colOff>22340</xdr:colOff>
      <xdr:row>3</xdr:row>
      <xdr:rowOff>21590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124D9F4A-EE65-47AA-8919-FD1AB9731DD1}"/>
            </a:ext>
          </a:extLst>
        </xdr:cNvPr>
        <xdr:cNvSpPr>
          <a:spLocks noChangeShapeType="1"/>
        </xdr:cNvSpPr>
      </xdr:nvSpPr>
      <xdr:spPr bwMode="auto">
        <a:xfrm flipH="1">
          <a:off x="208280" y="488315"/>
          <a:ext cx="616723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93339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50486A0-EF85-4B73-B3EA-D4699EE5F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" y="139065"/>
          <a:ext cx="1813559" cy="2266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1D654894-0F99-41EA-BA9F-18707FAE8C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24</xdr:row>
      <xdr:rowOff>0</xdr:rowOff>
    </xdr:from>
    <xdr:to>
      <xdr:col>5</xdr:col>
      <xdr:colOff>1813559</xdr:colOff>
      <xdr:row>33</xdr:row>
      <xdr:rowOff>7620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6DBD27D0-F4CB-4D18-84C8-92A786685B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75A10F7-067B-4CE4-B5A2-7B2F6B18D91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80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336CEE53-396F-443E-A587-982F0C862A5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-22,32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5C14628-CEC4-424C-AACA-941420357D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DBB0ACCE-8E5A-430C-A8C9-E48F0654454A}"/>
            </a:ext>
          </a:extLst>
        </xdr:cNvPr>
        <xdr:cNvSpPr>
          <a:spLocks noChangeShapeType="1"/>
        </xdr:cNvSpPr>
      </xdr:nvSpPr>
      <xdr:spPr bwMode="auto">
        <a:xfrm flipH="1">
          <a:off x="210820" y="487045"/>
          <a:ext cx="869622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C3D538B-9937-4FCA-AFF9-4BADC434D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28055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DC9E7605-0793-43E4-9AFE-050BFC8F60E6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32E9DDF-EFC5-48C7-AA4A-DF5F6D2BD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EA53AE6-7484-4FB0-A080-E390523FD5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0.34664</cdr:x>
      <cdr:y>0.15698</cdr:y>
    </cdr:to>
    <cdr:sp macro="" textlink="Dat_02!$G$92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284792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36B71D9-F122-41B6-B317-FF819FCA30B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29.737,9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0.27242</cdr:x>
      <cdr:y>0.4509</cdr:y>
    </cdr:to>
    <cdr:sp macro="" textlink="Dat_02!$G$94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35049" y="1402868"/>
          <a:ext cx="9793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EAB5180-E7CA-455D-B741-F3E0F9B4018D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 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0.34226</cdr:x>
      <cdr:y>0.30437</cdr:y>
    </cdr:to>
    <cdr:sp macro="" textlink="Dat_02!$G$93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80" y="813665"/>
          <a:ext cx="1271820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141E1C6A-D938-4C01-9195-934015C73A6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1.597,9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0.45195</cdr:x>
      <cdr:y>0.86931</cdr:y>
    </cdr:to>
    <cdr:sp macro="" textlink="Dat_02!$G$97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357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A72796E1-DA33-48BF-B3F6-84722397932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31.335,8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509E584-5C42-4CE0-9D2F-B6DA202E63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BCAB9C8-86F0-4D6A-BC26-E3D07689A84F}"/>
            </a:ext>
          </a:extLst>
        </xdr:cNvPr>
        <xdr:cNvSpPr>
          <a:spLocks noChangeShapeType="1"/>
        </xdr:cNvSpPr>
      </xdr:nvSpPr>
      <xdr:spPr bwMode="auto">
        <a:xfrm flipH="1">
          <a:off x="210820" y="487045"/>
          <a:ext cx="869622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39B77D0-DF19-47C0-AB59-005440236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28055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DEA6B5-91F7-45B4-A8D5-B698126DDC80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DB2EB2C-FBCB-44B1-A2D0-EADB8AED7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A57E7B4-E81A-40D8-9853-4090417A76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0.30935</cdr:x>
      <cdr:y>0.15698</cdr:y>
    </cdr:to>
    <cdr:sp macro="" textlink="Dat_02!$G$137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122867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66B0DC6-8C5F-458F-BE48-58B91437216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18.312,4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0.30496</cdr:x>
      <cdr:y>0.4509</cdr:y>
    </cdr:to>
    <cdr:sp macro="" textlink="Dat_02!$G$139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28927" y="1360500"/>
          <a:ext cx="1095047" cy="322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B8091383-4E79-4E6C-BBF3-9CFBEB77B152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1.039,2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0.23475</cdr:x>
      <cdr:y>0.30437</cdr:y>
    </cdr:to>
    <cdr:sp macro="" textlink="Dat_02!$G$13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79" y="813665"/>
          <a:ext cx="805095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A80B5CA5-1E0E-41E9-96BA-DE37822100C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Eólica 1.798,2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0.46073</cdr:x>
      <cdr:y>0.86931</cdr:y>
    </cdr:to>
    <cdr:sp macro="" textlink="Dat_02!$G$142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738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414F37F-7BD7-4D1F-9F9F-A762528B290F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21.149,8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65399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BA55EFE-58DA-4458-9D10-BF763A8A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20650"/>
          <a:ext cx="184149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00024" y="495300"/>
    <xdr:ext cx="7704000" cy="9525"/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DD808A1B-637E-49A0-9B3F-DE1FFEC744CE}"/>
            </a:ext>
          </a:extLst>
        </xdr:cNvPr>
        <xdr:cNvSpPr>
          <a:spLocks noChangeShapeType="1"/>
        </xdr:cNvSpPr>
      </xdr:nvSpPr>
      <xdr:spPr bwMode="auto">
        <a:xfrm flipH="1" flipV="1">
          <a:off x="200024" y="495300"/>
          <a:ext cx="7704000" cy="9525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28575</xdr:colOff>
      <xdr:row>1</xdr:row>
      <xdr:rowOff>123825</xdr:rowOff>
    </xdr:from>
    <xdr:to>
      <xdr:col>4</xdr:col>
      <xdr:colOff>135254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67006B-9AA2-4202-99DE-36455673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38100</xdr:colOff>
      <xdr:row>1</xdr:row>
      <xdr:rowOff>133350</xdr:rowOff>
    </xdr:from>
    <xdr:to>
      <xdr:col>4</xdr:col>
      <xdr:colOff>133349</xdr:colOff>
      <xdr:row>2</xdr:row>
      <xdr:rowOff>87624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FF1BC4B-2F3F-49AF-BC0F-C83FAD0E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19050</xdr:colOff>
      <xdr:row>6</xdr:row>
      <xdr:rowOff>9525</xdr:rowOff>
    </xdr:from>
    <xdr:to>
      <xdr:col>4</xdr:col>
      <xdr:colOff>3908425</xdr:colOff>
      <xdr:row>21</xdr:row>
      <xdr:rowOff>9525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6F987AC8-21FA-423C-8FBF-B74C02D45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1508124</xdr:colOff>
      <xdr:row>10</xdr:row>
      <xdr:rowOff>130175</xdr:rowOff>
    </xdr:from>
    <xdr:to>
      <xdr:col>4</xdr:col>
      <xdr:colOff>2593973</xdr:colOff>
      <xdr:row>16</xdr:row>
      <xdr:rowOff>130175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F3A5E5AA-0C4A-499B-8C11-64D8EC47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3889375</xdr:colOff>
      <xdr:row>38</xdr:row>
      <xdr:rowOff>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E44A95AA-1F53-4D42-B9B5-F2B706D8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1495425</xdr:colOff>
      <xdr:row>27</xdr:row>
      <xdr:rowOff>104775</xdr:rowOff>
    </xdr:from>
    <xdr:to>
      <xdr:col>4</xdr:col>
      <xdr:colOff>2581274</xdr:colOff>
      <xdr:row>33</xdr:row>
      <xdr:rowOff>104775</xdr:rowOff>
    </xdr:to>
    <xdr:graphicFrame macro="">
      <xdr:nvGraphicFramePr>
        <xdr:cNvPr id="11" name="Graf3_and">
          <a:extLst>
            <a:ext uri="{FF2B5EF4-FFF2-40B4-BE49-F238E27FC236}">
              <a16:creationId xmlns:a16="http://schemas.microsoft.com/office/drawing/2014/main" id="{DDBC1733-BD3E-4AEA-877A-4B11C6FED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548079-1BF3-4B21-ABF3-3CD8492B7AFC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230C8224-B287-40B9-B39E-4E86D9C5E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137159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EC8647D-5B8C-4B96-8E73-D65022D4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7C4B017-3165-4D21-9E84-1E7CFF5E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0</xdr:rowOff>
    </xdr:from>
    <xdr:to>
      <xdr:col>4</xdr:col>
      <xdr:colOff>3914775</xdr:colOff>
      <xdr:row>22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3905250</xdr:colOff>
      <xdr:row>39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123825</xdr:rowOff>
    </xdr:from>
    <xdr:to>
      <xdr:col>4</xdr:col>
      <xdr:colOff>146049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66A40C-C5EB-40FA-A0C9-45EE1492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1514475</xdr:colOff>
      <xdr:row>11</xdr:row>
      <xdr:rowOff>38100</xdr:rowOff>
    </xdr:from>
    <xdr:to>
      <xdr:col>4</xdr:col>
      <xdr:colOff>2600324</xdr:colOff>
      <xdr:row>17</xdr:row>
      <xdr:rowOff>38100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36795096-4057-444F-ADB0-B4F0CD9D9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1504950</xdr:colOff>
      <xdr:row>28</xdr:row>
      <xdr:rowOff>28575</xdr:rowOff>
    </xdr:from>
    <xdr:to>
      <xdr:col>4</xdr:col>
      <xdr:colOff>2590799</xdr:colOff>
      <xdr:row>34</xdr:row>
      <xdr:rowOff>28575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128389D5-ECCB-40A0-83A3-26545E516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11151C-71A4-4DF0-8BA0-9FD9F126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18"/>
  <sheetViews>
    <sheetView showGridLines="0" showRowColHeaders="0" tabSelected="1" showOutlineSymbols="0" zoomScaleNormal="100" workbookViewId="0">
      <selection activeCell="E3" sqref="E3"/>
    </sheetView>
  </sheetViews>
  <sheetFormatPr baseColWidth="10" defaultColWidth="11.42578125" defaultRowHeight="12.75"/>
  <cols>
    <col min="1" max="1" width="0.140625" style="81" customWidth="1"/>
    <col min="2" max="2" width="2.5703125" style="81" customWidth="1"/>
    <col min="3" max="3" width="16.42578125" style="81" customWidth="1"/>
    <col min="4" max="4" width="4.5703125" style="81" customWidth="1"/>
    <col min="5" max="5" width="95.5703125" style="81" customWidth="1"/>
    <col min="6" max="16384" width="11.42578125" style="81"/>
  </cols>
  <sheetData>
    <row r="1" spans="2:15" ht="0.75" customHeight="1"/>
    <row r="2" spans="2:15" ht="21" customHeight="1">
      <c r="B2" s="81" t="s">
        <v>42</v>
      </c>
      <c r="C2" s="82"/>
      <c r="D2" s="82"/>
      <c r="E2" s="27" t="s">
        <v>19</v>
      </c>
    </row>
    <row r="3" spans="2:15" ht="15" customHeight="1">
      <c r="C3" s="82"/>
      <c r="D3" s="82"/>
      <c r="E3" s="43" t="str">
        <f>Dat_01!A2</f>
        <v>Abril 2026</v>
      </c>
    </row>
    <row r="4" spans="2:15" s="84" customFormat="1" ht="20.25" customHeight="1">
      <c r="B4" s="83"/>
      <c r="C4" s="25" t="s">
        <v>39</v>
      </c>
    </row>
    <row r="5" spans="2:15" s="84" customFormat="1" ht="8.25" customHeight="1">
      <c r="B5" s="83"/>
      <c r="C5" s="85"/>
    </row>
    <row r="6" spans="2:15" s="84" customFormat="1" ht="3" customHeight="1">
      <c r="B6" s="83"/>
      <c r="C6" s="85"/>
    </row>
    <row r="7" spans="2:15" s="84" customFormat="1" ht="7.5" customHeight="1">
      <c r="B7" s="83"/>
      <c r="C7" s="86"/>
      <c r="D7" s="87"/>
      <c r="E7" s="87"/>
    </row>
    <row r="8" spans="2:15" ht="12.6" customHeight="1">
      <c r="D8" s="88" t="s">
        <v>43</v>
      </c>
      <c r="E8" s="89" t="str">
        <f>'SN1'!C7</f>
        <v>Componentes de la variación de la demanda Islas Baleares</v>
      </c>
    </row>
    <row r="9" spans="2:15" s="84" customFormat="1" ht="12.6" customHeight="1">
      <c r="B9" s="83"/>
      <c r="C9" s="90"/>
      <c r="D9" s="88" t="s">
        <v>43</v>
      </c>
      <c r="E9" s="89" t="str">
        <f>'SN2'!C7</f>
        <v>Componentes de la variación de la demanda Islas Canarias</v>
      </c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2:15" s="84" customFormat="1" ht="12.6" customHeight="1">
      <c r="B10" s="83"/>
      <c r="C10" s="90"/>
      <c r="D10" s="88" t="s">
        <v>43</v>
      </c>
      <c r="E10" s="89" t="s">
        <v>45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2:15" ht="12.6" customHeight="1">
      <c r="D11" s="88" t="s">
        <v>43</v>
      </c>
      <c r="E11" s="89" t="str">
        <f>'SN4'!C7</f>
        <v>Estructura de potencia instalada de generación Islas Baleares</v>
      </c>
    </row>
    <row r="12" spans="2:15" ht="12.6" customHeight="1">
      <c r="D12" s="88" t="s">
        <v>43</v>
      </c>
      <c r="E12" s="89" t="str">
        <f>'SN4'!C24</f>
        <v>Estructura de generación mensual Islas Baleares</v>
      </c>
    </row>
    <row r="13" spans="2:15" ht="12.6" customHeight="1">
      <c r="D13" s="88" t="s">
        <v>43</v>
      </c>
      <c r="E13" s="89" t="str">
        <f>'SN5 FUEL GAS'!C7</f>
        <v xml:space="preserve">Evolución de la estructura de generación de las Islas Baleares
</v>
      </c>
    </row>
    <row r="14" spans="2:15" ht="12.6" customHeight="1">
      <c r="D14" s="88" t="s">
        <v>43</v>
      </c>
      <c r="E14" s="89" t="str">
        <f>'SN6'!C7</f>
        <v>Estructura de potencia instalada de generación Islas Canarias</v>
      </c>
    </row>
    <row r="15" spans="2:15" ht="12.6" customHeight="1">
      <c r="D15" s="88" t="s">
        <v>43</v>
      </c>
      <c r="E15" s="89" t="str">
        <f>'SN6'!C24</f>
        <v>Estructura de generación mensual Islas Canarias</v>
      </c>
    </row>
    <row r="16" spans="2:15" ht="12.75" customHeight="1">
      <c r="D16" s="88" t="s">
        <v>43</v>
      </c>
      <c r="E16" s="89" t="str">
        <f>'SN7'!C7</f>
        <v xml:space="preserve">Evolución de la estructura de generación de las Islas Canarias
</v>
      </c>
    </row>
    <row r="17" spans="2:5" s="84" customFormat="1" ht="7.5" customHeight="1">
      <c r="B17" s="83"/>
      <c r="C17" s="86"/>
      <c r="D17" s="87"/>
      <c r="E17" s="87"/>
    </row>
    <row r="18" spans="2:5" ht="12.75" customHeight="1"/>
  </sheetData>
  <hyperlinks>
    <hyperlink ref="E10" location="'SN3'!A1" display="'SN3'!A1" xr:uid="{00000000-0004-0000-0000-000000000000}"/>
    <hyperlink ref="E13" location="'SN5'!A1" display="'SN5'!A1" xr:uid="{00000000-0004-0000-0000-000001000000}"/>
    <hyperlink ref="E11" location="'SN4'!A1" display="'SN4'!A1" xr:uid="{00000000-0004-0000-0000-000002000000}"/>
    <hyperlink ref="E9" location="'SN2'!A1" display="'SN2'!A1" xr:uid="{00000000-0004-0000-0000-000003000000}"/>
    <hyperlink ref="E8" location="'SN1'!A1" display="'SN1'!A1" xr:uid="{00000000-0004-0000-0000-000004000000}"/>
    <hyperlink ref="E16" location="'SN7 A'!A1" display="'SN7 A'!A1" xr:uid="{00000000-0004-0000-0000-000005000000}"/>
    <hyperlink ref="E12" location="'SN4'!A1" display="'SN4'!A1" xr:uid="{00000000-0004-0000-0000-000006000000}"/>
    <hyperlink ref="E14" location="'SN6'!A1" display="'SN6'!A1" xr:uid="{00000000-0004-0000-0000-000007000000}"/>
    <hyperlink ref="E15" location="'SN6'!A1" display="'SN6'!A1" xr:uid="{00000000-0004-0000-0000-000008000000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B9B1-B8B6-4809-BDB4-4BCAA12D470B}">
  <sheetPr codeName="Hoja13"/>
  <dimension ref="A1:T45"/>
  <sheetViews>
    <sheetView showGridLines="0" showRowColHeaders="0" zoomScaleNormal="100" workbookViewId="0">
      <selection activeCell="E34" sqref="E34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Abril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58" t="s">
        <v>102</v>
      </c>
      <c r="D7" s="55"/>
      <c r="E7" s="59"/>
    </row>
    <row r="8" spans="1:20" ht="12.75" customHeight="1">
      <c r="A8" s="58"/>
      <c r="B8" s="57"/>
      <c r="C8" s="258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79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F5EF5-C999-4B61-BB40-CF54795A1F78}">
  <sheetPr codeName="Hoja14">
    <pageSetUpPr fitToPage="1"/>
  </sheetPr>
  <dimension ref="A1:H40"/>
  <sheetViews>
    <sheetView showGridLines="0" showRowColHeaders="0" workbookViewId="0">
      <selection activeCell="E4" sqref="E4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Abril 2026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57" t="s">
        <v>120</v>
      </c>
      <c r="D7" s="37"/>
      <c r="E7" s="41"/>
    </row>
    <row r="8" spans="2:6" s="31" customFormat="1" ht="12.75" customHeight="1">
      <c r="B8" s="39"/>
      <c r="C8" s="257"/>
      <c r="D8" s="37"/>
      <c r="E8" s="41"/>
    </row>
    <row r="9" spans="2:6" s="31" customFormat="1" ht="12.75" customHeight="1">
      <c r="B9" s="39"/>
      <c r="C9" s="257"/>
      <c r="D9" s="37"/>
      <c r="E9" s="41"/>
    </row>
    <row r="10" spans="2:6" s="31" customFormat="1" ht="12.75" customHeight="1">
      <c r="B10" s="39"/>
      <c r="C10" s="183" t="str">
        <f>CONCATENATE(TEXT(Dat_01!B47,"0,0")," MW")</f>
        <v>1,2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153A0-52DF-4522-AC17-9688E9B2634F}">
  <sheetPr codeName="Hoja15">
    <pageSetUpPr fitToPage="1"/>
  </sheetPr>
  <dimension ref="A1:M43"/>
  <sheetViews>
    <sheetView showGridLines="0" showRowColHeaders="0" zoomScaleNormal="100" workbookViewId="0">
      <selection activeCell="D3" sqref="D3"/>
    </sheetView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Abril 2026</v>
      </c>
    </row>
    <row r="3" spans="1:13" s="185" customFormat="1" ht="20.25" customHeight="1">
      <c r="A3" s="3"/>
      <c r="B3" s="25" t="s">
        <v>119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57" t="s">
        <v>125</v>
      </c>
      <c r="C7" s="190"/>
      <c r="D7" s="193"/>
      <c r="E7" s="185"/>
      <c r="F7" s="194"/>
    </row>
    <row r="8" spans="1:13" ht="12.75" customHeight="1">
      <c r="A8" s="186"/>
      <c r="B8" s="257"/>
      <c r="C8" s="190"/>
      <c r="D8" s="193"/>
      <c r="E8" s="185"/>
      <c r="F8" s="194"/>
    </row>
    <row r="9" spans="1:13">
      <c r="A9" s="187"/>
      <c r="B9" s="257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9D56C-9EFA-48D2-ADF4-8229016A2F99}">
  <sheetPr>
    <pageSetUpPr autoPageBreaks="0"/>
  </sheetPr>
  <dimension ref="A1:N24"/>
  <sheetViews>
    <sheetView showGridLines="0" workbookViewId="0">
      <selection activeCell="G4" sqref="G4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42578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42578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42578125" style="205"/>
    <col min="260" max="260" width="13.42578125" style="205" bestFit="1" customWidth="1"/>
    <col min="261" max="497" width="11.42578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42578125" style="205"/>
    <col min="516" max="516" width="13.42578125" style="205" bestFit="1" customWidth="1"/>
    <col min="517" max="753" width="11.42578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42578125" style="205"/>
    <col min="772" max="772" width="13.42578125" style="205" bestFit="1" customWidth="1"/>
    <col min="773" max="1009" width="11.42578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42578125" style="205"/>
    <col min="1028" max="1028" width="13.42578125" style="205" bestFit="1" customWidth="1"/>
    <col min="1029" max="1265" width="11.42578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42578125" style="205"/>
    <col min="1284" max="1284" width="13.42578125" style="205" bestFit="1" customWidth="1"/>
    <col min="1285" max="1521" width="11.42578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42578125" style="205"/>
    <col min="1540" max="1540" width="13.42578125" style="205" bestFit="1" customWidth="1"/>
    <col min="1541" max="1777" width="11.42578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42578125" style="205"/>
    <col min="1796" max="1796" width="13.42578125" style="205" bestFit="1" customWidth="1"/>
    <col min="1797" max="2033" width="11.42578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42578125" style="205"/>
    <col min="2052" max="2052" width="13.42578125" style="205" bestFit="1" customWidth="1"/>
    <col min="2053" max="2289" width="11.42578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42578125" style="205"/>
    <col min="2308" max="2308" width="13.42578125" style="205" bestFit="1" customWidth="1"/>
    <col min="2309" max="2545" width="11.42578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42578125" style="205"/>
    <col min="2564" max="2564" width="13.42578125" style="205" bestFit="1" customWidth="1"/>
    <col min="2565" max="2801" width="11.42578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42578125" style="205"/>
    <col min="2820" max="2820" width="13.42578125" style="205" bestFit="1" customWidth="1"/>
    <col min="2821" max="3057" width="11.42578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42578125" style="205"/>
    <col min="3076" max="3076" width="13.42578125" style="205" bestFit="1" customWidth="1"/>
    <col min="3077" max="3313" width="11.42578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42578125" style="205"/>
    <col min="3332" max="3332" width="13.42578125" style="205" bestFit="1" customWidth="1"/>
    <col min="3333" max="3569" width="11.42578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42578125" style="205"/>
    <col min="3588" max="3588" width="13.42578125" style="205" bestFit="1" customWidth="1"/>
    <col min="3589" max="3825" width="11.42578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42578125" style="205"/>
    <col min="3844" max="3844" width="13.42578125" style="205" bestFit="1" customWidth="1"/>
    <col min="3845" max="4081" width="11.42578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42578125" style="205"/>
    <col min="4100" max="4100" width="13.42578125" style="205" bestFit="1" customWidth="1"/>
    <col min="4101" max="4337" width="11.42578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42578125" style="205"/>
    <col min="4356" max="4356" width="13.42578125" style="205" bestFit="1" customWidth="1"/>
    <col min="4357" max="4593" width="11.42578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42578125" style="205"/>
    <col min="4612" max="4612" width="13.42578125" style="205" bestFit="1" customWidth="1"/>
    <col min="4613" max="4849" width="11.42578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42578125" style="205"/>
    <col min="4868" max="4868" width="13.42578125" style="205" bestFit="1" customWidth="1"/>
    <col min="4869" max="5105" width="11.42578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42578125" style="205"/>
    <col min="5124" max="5124" width="13.42578125" style="205" bestFit="1" customWidth="1"/>
    <col min="5125" max="5361" width="11.42578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42578125" style="205"/>
    <col min="5380" max="5380" width="13.42578125" style="205" bestFit="1" customWidth="1"/>
    <col min="5381" max="5617" width="11.42578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42578125" style="205"/>
    <col min="5636" max="5636" width="13.42578125" style="205" bestFit="1" customWidth="1"/>
    <col min="5637" max="5873" width="11.42578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42578125" style="205"/>
    <col min="5892" max="5892" width="13.42578125" style="205" bestFit="1" customWidth="1"/>
    <col min="5893" max="6129" width="11.42578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42578125" style="205"/>
    <col min="6148" max="6148" width="13.42578125" style="205" bestFit="1" customWidth="1"/>
    <col min="6149" max="6385" width="11.42578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42578125" style="205"/>
    <col min="6404" max="6404" width="13.42578125" style="205" bestFit="1" customWidth="1"/>
    <col min="6405" max="6641" width="11.42578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42578125" style="205"/>
    <col min="6660" max="6660" width="13.42578125" style="205" bestFit="1" customWidth="1"/>
    <col min="6661" max="6897" width="11.42578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42578125" style="205"/>
    <col min="6916" max="6916" width="13.42578125" style="205" bestFit="1" customWidth="1"/>
    <col min="6917" max="7153" width="11.42578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42578125" style="205"/>
    <col min="7172" max="7172" width="13.42578125" style="205" bestFit="1" customWidth="1"/>
    <col min="7173" max="7409" width="11.42578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42578125" style="205"/>
    <col min="7428" max="7428" width="13.42578125" style="205" bestFit="1" customWidth="1"/>
    <col min="7429" max="7665" width="11.42578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42578125" style="205"/>
    <col min="7684" max="7684" width="13.42578125" style="205" bestFit="1" customWidth="1"/>
    <col min="7685" max="7921" width="11.42578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42578125" style="205"/>
    <col min="7940" max="7940" width="13.42578125" style="205" bestFit="1" customWidth="1"/>
    <col min="7941" max="8177" width="11.42578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42578125" style="205"/>
    <col min="8196" max="8196" width="13.42578125" style="205" bestFit="1" customWidth="1"/>
    <col min="8197" max="8433" width="11.42578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42578125" style="205"/>
    <col min="8452" max="8452" width="13.42578125" style="205" bestFit="1" customWidth="1"/>
    <col min="8453" max="8689" width="11.42578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42578125" style="205"/>
    <col min="8708" max="8708" width="13.42578125" style="205" bestFit="1" customWidth="1"/>
    <col min="8709" max="8945" width="11.42578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42578125" style="205"/>
    <col min="8964" max="8964" width="13.42578125" style="205" bestFit="1" customWidth="1"/>
    <col min="8965" max="9201" width="11.42578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42578125" style="205"/>
    <col min="9220" max="9220" width="13.42578125" style="205" bestFit="1" customWidth="1"/>
    <col min="9221" max="9457" width="11.42578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42578125" style="205"/>
    <col min="9476" max="9476" width="13.42578125" style="205" bestFit="1" customWidth="1"/>
    <col min="9477" max="9713" width="11.42578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42578125" style="205"/>
    <col min="9732" max="9732" width="13.42578125" style="205" bestFit="1" customWidth="1"/>
    <col min="9733" max="9969" width="11.42578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42578125" style="205"/>
    <col min="9988" max="9988" width="13.42578125" style="205" bestFit="1" customWidth="1"/>
    <col min="9989" max="10225" width="11.42578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42578125" style="205"/>
    <col min="10244" max="10244" width="13.42578125" style="205" bestFit="1" customWidth="1"/>
    <col min="10245" max="10481" width="11.42578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42578125" style="205"/>
    <col min="10500" max="10500" width="13.42578125" style="205" bestFit="1" customWidth="1"/>
    <col min="10501" max="10737" width="11.42578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42578125" style="205"/>
    <col min="10756" max="10756" width="13.42578125" style="205" bestFit="1" customWidth="1"/>
    <col min="10757" max="10993" width="11.42578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42578125" style="205"/>
    <col min="11012" max="11012" width="13.42578125" style="205" bestFit="1" customWidth="1"/>
    <col min="11013" max="11249" width="11.42578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42578125" style="205"/>
    <col min="11268" max="11268" width="13.42578125" style="205" bestFit="1" customWidth="1"/>
    <col min="11269" max="11505" width="11.42578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42578125" style="205"/>
    <col min="11524" max="11524" width="13.42578125" style="205" bestFit="1" customWidth="1"/>
    <col min="11525" max="11761" width="11.42578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42578125" style="205"/>
    <col min="11780" max="11780" width="13.42578125" style="205" bestFit="1" customWidth="1"/>
    <col min="11781" max="12017" width="11.42578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42578125" style="205"/>
    <col min="12036" max="12036" width="13.42578125" style="205" bestFit="1" customWidth="1"/>
    <col min="12037" max="12273" width="11.42578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42578125" style="205"/>
    <col min="12292" max="12292" width="13.42578125" style="205" bestFit="1" customWidth="1"/>
    <col min="12293" max="12529" width="11.42578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42578125" style="205"/>
    <col min="12548" max="12548" width="13.42578125" style="205" bestFit="1" customWidth="1"/>
    <col min="12549" max="12785" width="11.42578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42578125" style="205"/>
    <col min="12804" max="12804" width="13.42578125" style="205" bestFit="1" customWidth="1"/>
    <col min="12805" max="13041" width="11.42578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42578125" style="205"/>
    <col min="13060" max="13060" width="13.42578125" style="205" bestFit="1" customWidth="1"/>
    <col min="13061" max="13297" width="11.42578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42578125" style="205"/>
    <col min="13316" max="13316" width="13.42578125" style="205" bestFit="1" customWidth="1"/>
    <col min="13317" max="13553" width="11.42578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42578125" style="205"/>
    <col min="13572" max="13572" width="13.42578125" style="205" bestFit="1" customWidth="1"/>
    <col min="13573" max="13809" width="11.42578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42578125" style="205"/>
    <col min="13828" max="13828" width="13.42578125" style="205" bestFit="1" customWidth="1"/>
    <col min="13829" max="14065" width="11.42578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42578125" style="205"/>
    <col min="14084" max="14084" width="13.42578125" style="205" bestFit="1" customWidth="1"/>
    <col min="14085" max="14321" width="11.42578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42578125" style="205"/>
    <col min="14340" max="14340" width="13.42578125" style="205" bestFit="1" customWidth="1"/>
    <col min="14341" max="14577" width="11.42578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42578125" style="205"/>
    <col min="14596" max="14596" width="13.42578125" style="205" bestFit="1" customWidth="1"/>
    <col min="14597" max="14833" width="11.42578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42578125" style="205"/>
    <col min="14852" max="14852" width="13.42578125" style="205" bestFit="1" customWidth="1"/>
    <col min="14853" max="15089" width="11.42578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42578125" style="205"/>
    <col min="15108" max="15108" width="13.42578125" style="205" bestFit="1" customWidth="1"/>
    <col min="15109" max="15345" width="11.42578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42578125" style="205"/>
    <col min="15364" max="15364" width="13.42578125" style="205" bestFit="1" customWidth="1"/>
    <col min="15365" max="15601" width="11.42578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42578125" style="205"/>
    <col min="15620" max="15620" width="13.42578125" style="205" bestFit="1" customWidth="1"/>
    <col min="15621" max="15857" width="11.42578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42578125" style="205"/>
    <col min="15876" max="15876" width="13.42578125" style="205" bestFit="1" customWidth="1"/>
    <col min="15877" max="16113" width="11.42578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42578125" style="205"/>
    <col min="16132" max="16132" width="13.42578125" style="205" bestFit="1" customWidth="1"/>
    <col min="16133" max="16384" width="11.42578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Abril 2026</v>
      </c>
    </row>
    <row r="4" spans="1:14" s="58" customFormat="1" ht="20.25" customHeight="1">
      <c r="B4" s="57"/>
      <c r="C4" s="25" t="s">
        <v>119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58" t="s">
        <v>126</v>
      </c>
      <c r="D7" s="55"/>
      <c r="E7" s="261" t="s">
        <v>127</v>
      </c>
      <c r="F7" s="261"/>
      <c r="G7" s="203"/>
    </row>
    <row r="8" spans="1:14" ht="12.75" customHeight="1">
      <c r="A8" s="58"/>
      <c r="B8" s="57"/>
      <c r="C8" s="258"/>
      <c r="D8" s="55"/>
      <c r="E8" s="262" t="str">
        <f>CONCATENATE(TEXT(SUM(Dat_01!R23:R24),"0,00")," MWh")</f>
        <v>0,00 MWh</v>
      </c>
      <c r="F8" s="262"/>
      <c r="G8" s="204"/>
    </row>
    <row r="9" spans="1:14">
      <c r="A9" s="58"/>
      <c r="B9" s="57"/>
      <c r="C9" s="258"/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C10" s="206"/>
      <c r="E10" s="259" t="s">
        <v>123</v>
      </c>
      <c r="F10" s="260" t="str">
        <f>CONCATENATE(TEXT(Dat_01!R23,"0,00")," MWh")</f>
        <v>0,00 MWh</v>
      </c>
    </row>
    <row r="11" spans="1:14">
      <c r="E11" s="259"/>
      <c r="F11" s="260"/>
    </row>
    <row r="12" spans="1:14">
      <c r="E12" s="210"/>
      <c r="F12" s="210"/>
    </row>
    <row r="13" spans="1:14">
      <c r="E13" s="210"/>
      <c r="F13" s="210"/>
    </row>
    <row r="14" spans="1:14">
      <c r="F14" s="210"/>
    </row>
    <row r="15" spans="1:14">
      <c r="E15" s="210"/>
      <c r="F15" s="211"/>
    </row>
    <row r="16" spans="1:14">
      <c r="E16" s="210"/>
      <c r="F16" s="210"/>
    </row>
    <row r="17" spans="1:14">
      <c r="E17" s="210"/>
      <c r="F17" s="210"/>
    </row>
    <row r="18" spans="1:14">
      <c r="E18" s="210"/>
      <c r="F18" s="210"/>
    </row>
    <row r="19" spans="1:14">
      <c r="E19" s="210"/>
      <c r="F19" s="210"/>
    </row>
    <row r="20" spans="1:14">
      <c r="E20" s="210"/>
      <c r="F20" s="210"/>
    </row>
    <row r="21" spans="1:14">
      <c r="E21" s="210"/>
      <c r="F21" s="210"/>
    </row>
    <row r="22" spans="1:14">
      <c r="E22" s="210"/>
      <c r="F22" s="210"/>
    </row>
    <row r="23" spans="1:14">
      <c r="E23" s="259" t="s">
        <v>124</v>
      </c>
      <c r="F23" s="260" t="str">
        <f>CONCATENATE(TEXT(Dat_01!R24,"0,00")," MWh")</f>
        <v>0,00 MWh</v>
      </c>
    </row>
    <row r="24" spans="1:14" s="212" customFormat="1">
      <c r="A24" s="54"/>
      <c r="B24" s="54"/>
      <c r="C24" s="54"/>
      <c r="D24" s="54"/>
      <c r="E24" s="259"/>
      <c r="F24" s="260"/>
      <c r="G24" s="205"/>
      <c r="H24" s="205"/>
      <c r="I24" s="205"/>
      <c r="J24" s="205"/>
      <c r="K24" s="205"/>
      <c r="L24" s="205"/>
      <c r="M24" s="205"/>
      <c r="N24" s="205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13AC2-E52D-4F92-B10A-F63D965553D1}">
  <sheetPr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Abril 2026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57" t="s">
        <v>140</v>
      </c>
      <c r="D7" s="37"/>
      <c r="E7" s="41"/>
    </row>
    <row r="8" spans="2:6" s="31" customFormat="1" ht="12.75" customHeight="1">
      <c r="B8" s="39"/>
      <c r="C8" s="257"/>
      <c r="D8" s="37"/>
      <c r="E8" s="41"/>
    </row>
    <row r="9" spans="2:6" s="31" customFormat="1" ht="12.75" customHeight="1">
      <c r="B9" s="39"/>
      <c r="C9" s="257"/>
      <c r="D9" s="37"/>
      <c r="E9" s="41"/>
    </row>
    <row r="10" spans="2:6" s="31" customFormat="1" ht="12.75" customHeight="1">
      <c r="B10" s="39"/>
      <c r="C10" s="183" t="str">
        <f>CONCATENATE(TEXT(Dat_01!C47,"0,0")," MW")</f>
        <v>5,1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C5F00-2979-46CB-BEED-720244A67E2F}">
  <sheetPr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Abril 2026</v>
      </c>
    </row>
    <row r="3" spans="1:13" s="185" customFormat="1" ht="20.25" customHeight="1">
      <c r="A3" s="3"/>
      <c r="B3" s="25" t="s">
        <v>119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57" t="s">
        <v>141</v>
      </c>
      <c r="C7" s="190"/>
      <c r="D7" s="193"/>
      <c r="E7" s="185"/>
      <c r="F7" s="194"/>
    </row>
    <row r="8" spans="1:13" ht="12.75" customHeight="1">
      <c r="A8" s="186"/>
      <c r="B8" s="257"/>
      <c r="C8" s="190"/>
      <c r="D8" s="193"/>
      <c r="E8" s="185"/>
      <c r="F8" s="194"/>
    </row>
    <row r="9" spans="1:13">
      <c r="A9" s="187"/>
      <c r="B9" s="257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925EE-FC71-4BB2-B6EC-ACBE88198869}">
  <sheetPr>
    <pageSetUpPr autoPageBreaks="0"/>
  </sheetPr>
  <dimension ref="A1:N24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5703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5703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5703125" style="205"/>
    <col min="260" max="260" width="13.42578125" style="205" bestFit="1" customWidth="1"/>
    <col min="261" max="497" width="11.5703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5703125" style="205"/>
    <col min="516" max="516" width="13.42578125" style="205" bestFit="1" customWidth="1"/>
    <col min="517" max="753" width="11.5703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5703125" style="205"/>
    <col min="772" max="772" width="13.42578125" style="205" bestFit="1" customWidth="1"/>
    <col min="773" max="1009" width="11.5703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5703125" style="205"/>
    <col min="1028" max="1028" width="13.42578125" style="205" bestFit="1" customWidth="1"/>
    <col min="1029" max="1265" width="11.5703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5703125" style="205"/>
    <col min="1284" max="1284" width="13.42578125" style="205" bestFit="1" customWidth="1"/>
    <col min="1285" max="1521" width="11.5703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5703125" style="205"/>
    <col min="1540" max="1540" width="13.42578125" style="205" bestFit="1" customWidth="1"/>
    <col min="1541" max="1777" width="11.5703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5703125" style="205"/>
    <col min="1796" max="1796" width="13.42578125" style="205" bestFit="1" customWidth="1"/>
    <col min="1797" max="2033" width="11.5703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5703125" style="205"/>
    <col min="2052" max="2052" width="13.42578125" style="205" bestFit="1" customWidth="1"/>
    <col min="2053" max="2289" width="11.5703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5703125" style="205"/>
    <col min="2308" max="2308" width="13.42578125" style="205" bestFit="1" customWidth="1"/>
    <col min="2309" max="2545" width="11.5703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5703125" style="205"/>
    <col min="2564" max="2564" width="13.42578125" style="205" bestFit="1" customWidth="1"/>
    <col min="2565" max="2801" width="11.5703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5703125" style="205"/>
    <col min="2820" max="2820" width="13.42578125" style="205" bestFit="1" customWidth="1"/>
    <col min="2821" max="3057" width="11.5703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5703125" style="205"/>
    <col min="3076" max="3076" width="13.42578125" style="205" bestFit="1" customWidth="1"/>
    <col min="3077" max="3313" width="11.5703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5703125" style="205"/>
    <col min="3332" max="3332" width="13.42578125" style="205" bestFit="1" customWidth="1"/>
    <col min="3333" max="3569" width="11.5703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5703125" style="205"/>
    <col min="3588" max="3588" width="13.42578125" style="205" bestFit="1" customWidth="1"/>
    <col min="3589" max="3825" width="11.5703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5703125" style="205"/>
    <col min="3844" max="3844" width="13.42578125" style="205" bestFit="1" customWidth="1"/>
    <col min="3845" max="4081" width="11.5703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5703125" style="205"/>
    <col min="4100" max="4100" width="13.42578125" style="205" bestFit="1" customWidth="1"/>
    <col min="4101" max="4337" width="11.5703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5703125" style="205"/>
    <col min="4356" max="4356" width="13.42578125" style="205" bestFit="1" customWidth="1"/>
    <col min="4357" max="4593" width="11.5703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5703125" style="205"/>
    <col min="4612" max="4612" width="13.42578125" style="205" bestFit="1" customWidth="1"/>
    <col min="4613" max="4849" width="11.5703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5703125" style="205"/>
    <col min="4868" max="4868" width="13.42578125" style="205" bestFit="1" customWidth="1"/>
    <col min="4869" max="5105" width="11.5703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5703125" style="205"/>
    <col min="5124" max="5124" width="13.42578125" style="205" bestFit="1" customWidth="1"/>
    <col min="5125" max="5361" width="11.5703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5703125" style="205"/>
    <col min="5380" max="5380" width="13.42578125" style="205" bestFit="1" customWidth="1"/>
    <col min="5381" max="5617" width="11.5703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5703125" style="205"/>
    <col min="5636" max="5636" width="13.42578125" style="205" bestFit="1" customWidth="1"/>
    <col min="5637" max="5873" width="11.5703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5703125" style="205"/>
    <col min="5892" max="5892" width="13.42578125" style="205" bestFit="1" customWidth="1"/>
    <col min="5893" max="6129" width="11.5703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5703125" style="205"/>
    <col min="6148" max="6148" width="13.42578125" style="205" bestFit="1" customWidth="1"/>
    <col min="6149" max="6385" width="11.5703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5703125" style="205"/>
    <col min="6404" max="6404" width="13.42578125" style="205" bestFit="1" customWidth="1"/>
    <col min="6405" max="6641" width="11.5703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5703125" style="205"/>
    <col min="6660" max="6660" width="13.42578125" style="205" bestFit="1" customWidth="1"/>
    <col min="6661" max="6897" width="11.5703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5703125" style="205"/>
    <col min="6916" max="6916" width="13.42578125" style="205" bestFit="1" customWidth="1"/>
    <col min="6917" max="7153" width="11.5703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5703125" style="205"/>
    <col min="7172" max="7172" width="13.42578125" style="205" bestFit="1" customWidth="1"/>
    <col min="7173" max="7409" width="11.5703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5703125" style="205"/>
    <col min="7428" max="7428" width="13.42578125" style="205" bestFit="1" customWidth="1"/>
    <col min="7429" max="7665" width="11.5703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5703125" style="205"/>
    <col min="7684" max="7684" width="13.42578125" style="205" bestFit="1" customWidth="1"/>
    <col min="7685" max="7921" width="11.5703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5703125" style="205"/>
    <col min="7940" max="7940" width="13.42578125" style="205" bestFit="1" customWidth="1"/>
    <col min="7941" max="8177" width="11.5703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5703125" style="205"/>
    <col min="8196" max="8196" width="13.42578125" style="205" bestFit="1" customWidth="1"/>
    <col min="8197" max="8433" width="11.5703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5703125" style="205"/>
    <col min="8452" max="8452" width="13.42578125" style="205" bestFit="1" customWidth="1"/>
    <col min="8453" max="8689" width="11.5703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5703125" style="205"/>
    <col min="8708" max="8708" width="13.42578125" style="205" bestFit="1" customWidth="1"/>
    <col min="8709" max="8945" width="11.5703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5703125" style="205"/>
    <col min="8964" max="8964" width="13.42578125" style="205" bestFit="1" customWidth="1"/>
    <col min="8965" max="9201" width="11.5703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5703125" style="205"/>
    <col min="9220" max="9220" width="13.42578125" style="205" bestFit="1" customWidth="1"/>
    <col min="9221" max="9457" width="11.5703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5703125" style="205"/>
    <col min="9476" max="9476" width="13.42578125" style="205" bestFit="1" customWidth="1"/>
    <col min="9477" max="9713" width="11.5703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5703125" style="205"/>
    <col min="9732" max="9732" width="13.42578125" style="205" bestFit="1" customWidth="1"/>
    <col min="9733" max="9969" width="11.5703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5703125" style="205"/>
    <col min="9988" max="9988" width="13.42578125" style="205" bestFit="1" customWidth="1"/>
    <col min="9989" max="10225" width="11.5703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5703125" style="205"/>
    <col min="10244" max="10244" width="13.42578125" style="205" bestFit="1" customWidth="1"/>
    <col min="10245" max="10481" width="11.5703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5703125" style="205"/>
    <col min="10500" max="10500" width="13.42578125" style="205" bestFit="1" customWidth="1"/>
    <col min="10501" max="10737" width="11.5703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5703125" style="205"/>
    <col min="10756" max="10756" width="13.42578125" style="205" bestFit="1" customWidth="1"/>
    <col min="10757" max="10993" width="11.5703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5703125" style="205"/>
    <col min="11012" max="11012" width="13.42578125" style="205" bestFit="1" customWidth="1"/>
    <col min="11013" max="11249" width="11.5703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5703125" style="205"/>
    <col min="11268" max="11268" width="13.42578125" style="205" bestFit="1" customWidth="1"/>
    <col min="11269" max="11505" width="11.5703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5703125" style="205"/>
    <col min="11524" max="11524" width="13.42578125" style="205" bestFit="1" customWidth="1"/>
    <col min="11525" max="11761" width="11.5703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5703125" style="205"/>
    <col min="11780" max="11780" width="13.42578125" style="205" bestFit="1" customWidth="1"/>
    <col min="11781" max="12017" width="11.5703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5703125" style="205"/>
    <col min="12036" max="12036" width="13.42578125" style="205" bestFit="1" customWidth="1"/>
    <col min="12037" max="12273" width="11.5703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5703125" style="205"/>
    <col min="12292" max="12292" width="13.42578125" style="205" bestFit="1" customWidth="1"/>
    <col min="12293" max="12529" width="11.5703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5703125" style="205"/>
    <col min="12548" max="12548" width="13.42578125" style="205" bestFit="1" customWidth="1"/>
    <col min="12549" max="12785" width="11.5703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5703125" style="205"/>
    <col min="12804" max="12804" width="13.42578125" style="205" bestFit="1" customWidth="1"/>
    <col min="12805" max="13041" width="11.5703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5703125" style="205"/>
    <col min="13060" max="13060" width="13.42578125" style="205" bestFit="1" customWidth="1"/>
    <col min="13061" max="13297" width="11.5703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5703125" style="205"/>
    <col min="13316" max="13316" width="13.42578125" style="205" bestFit="1" customWidth="1"/>
    <col min="13317" max="13553" width="11.5703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5703125" style="205"/>
    <col min="13572" max="13572" width="13.42578125" style="205" bestFit="1" customWidth="1"/>
    <col min="13573" max="13809" width="11.5703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5703125" style="205"/>
    <col min="13828" max="13828" width="13.42578125" style="205" bestFit="1" customWidth="1"/>
    <col min="13829" max="14065" width="11.5703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5703125" style="205"/>
    <col min="14084" max="14084" width="13.42578125" style="205" bestFit="1" customWidth="1"/>
    <col min="14085" max="14321" width="11.5703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5703125" style="205"/>
    <col min="14340" max="14340" width="13.42578125" style="205" bestFit="1" customWidth="1"/>
    <col min="14341" max="14577" width="11.5703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5703125" style="205"/>
    <col min="14596" max="14596" width="13.42578125" style="205" bestFit="1" customWidth="1"/>
    <col min="14597" max="14833" width="11.5703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5703125" style="205"/>
    <col min="14852" max="14852" width="13.42578125" style="205" bestFit="1" customWidth="1"/>
    <col min="14853" max="15089" width="11.5703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5703125" style="205"/>
    <col min="15108" max="15108" width="13.42578125" style="205" bestFit="1" customWidth="1"/>
    <col min="15109" max="15345" width="11.5703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5703125" style="205"/>
    <col min="15364" max="15364" width="13.42578125" style="205" bestFit="1" customWidth="1"/>
    <col min="15365" max="15601" width="11.5703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5703125" style="205"/>
    <col min="15620" max="15620" width="13.42578125" style="205" bestFit="1" customWidth="1"/>
    <col min="15621" max="15857" width="11.5703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5703125" style="205"/>
    <col min="15876" max="15876" width="13.42578125" style="205" bestFit="1" customWidth="1"/>
    <col min="15877" max="16113" width="11.5703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5703125" style="205"/>
    <col min="16132" max="16132" width="13.42578125" style="205" bestFit="1" customWidth="1"/>
    <col min="16133" max="16384" width="11.5703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Abril 2026</v>
      </c>
    </row>
    <row r="4" spans="1:14" s="58" customFormat="1" ht="20.25" customHeight="1">
      <c r="B4" s="57"/>
      <c r="C4" s="25" t="s">
        <v>119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58" t="s">
        <v>142</v>
      </c>
      <c r="D7" s="55"/>
      <c r="E7" s="261" t="s">
        <v>143</v>
      </c>
      <c r="F7" s="261"/>
      <c r="G7" s="203"/>
    </row>
    <row r="8" spans="1:14" ht="12.75" customHeight="1">
      <c r="A8" s="58"/>
      <c r="B8" s="57"/>
      <c r="C8" s="258"/>
      <c r="D8" s="55"/>
      <c r="E8" s="262" t="str">
        <f>CONCATENATE(TEXT(SUM(Dat_01!Z23:Z24),"0,00")," MWh")</f>
        <v>-22,32 MWh</v>
      </c>
      <c r="F8" s="262"/>
      <c r="G8" s="204"/>
    </row>
    <row r="9" spans="1:14">
      <c r="A9" s="58"/>
      <c r="B9" s="57"/>
      <c r="C9" s="258"/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C10" s="206"/>
      <c r="E10" s="259" t="s">
        <v>123</v>
      </c>
      <c r="F10" s="260" t="str">
        <f>CONCATENATE(TEXT(Dat_01!Z23,"0,00")," MWh")</f>
        <v>0,00 MWh</v>
      </c>
    </row>
    <row r="11" spans="1:14">
      <c r="E11" s="259"/>
      <c r="F11" s="260"/>
    </row>
    <row r="12" spans="1:14">
      <c r="E12" s="210"/>
      <c r="F12" s="210"/>
    </row>
    <row r="13" spans="1:14">
      <c r="E13" s="210"/>
      <c r="F13" s="210"/>
    </row>
    <row r="14" spans="1:14">
      <c r="F14" s="210"/>
    </row>
    <row r="15" spans="1:14">
      <c r="E15" s="210"/>
      <c r="F15" s="211"/>
    </row>
    <row r="16" spans="1:14">
      <c r="E16" s="210"/>
      <c r="F16" s="210"/>
    </row>
    <row r="17" spans="1:14">
      <c r="E17" s="210"/>
      <c r="F17" s="210"/>
    </row>
    <row r="18" spans="1:14">
      <c r="E18" s="210"/>
      <c r="F18" s="210"/>
    </row>
    <row r="19" spans="1:14">
      <c r="E19" s="210"/>
      <c r="F19" s="210"/>
    </row>
    <row r="20" spans="1:14">
      <c r="E20" s="210"/>
      <c r="F20" s="210"/>
    </row>
    <row r="21" spans="1:14">
      <c r="E21" s="210"/>
      <c r="F21" s="210"/>
    </row>
    <row r="22" spans="1:14">
      <c r="E22" s="210"/>
      <c r="F22" s="210"/>
    </row>
    <row r="23" spans="1:14">
      <c r="E23" s="259" t="s">
        <v>124</v>
      </c>
      <c r="F23" s="260" t="str">
        <f>CONCATENATE(TEXT(Dat_01!Z24,"0,00")," MWh")</f>
        <v>-22,32 MWh</v>
      </c>
    </row>
    <row r="24" spans="1:14" s="212" customFormat="1">
      <c r="A24" s="54"/>
      <c r="B24" s="54"/>
      <c r="C24" s="54"/>
      <c r="D24" s="54"/>
      <c r="E24" s="259"/>
      <c r="F24" s="260"/>
      <c r="G24" s="205"/>
      <c r="H24" s="205"/>
      <c r="I24" s="205"/>
      <c r="J24" s="205"/>
      <c r="K24" s="205"/>
      <c r="L24" s="205"/>
      <c r="M24" s="205"/>
      <c r="N24" s="205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2F24B-A72E-4F9F-945C-A0E2A12FD6EB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144</v>
      </c>
    </row>
    <row r="4" spans="3:25" ht="20.100000000000001" customHeight="1">
      <c r="C4" s="25" t="s">
        <v>157</v>
      </c>
    </row>
    <row r="5" spans="3:25" ht="12.6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47" t="s">
        <v>158</v>
      </c>
      <c r="E7" s="232"/>
    </row>
    <row r="8" spans="3:25">
      <c r="C8" s="247"/>
      <c r="E8" s="232"/>
    </row>
    <row r="9" spans="3:25">
      <c r="C9" s="247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30CC6-279B-4312-B227-6607528E53DE}">
  <sheetPr>
    <pageSetUpPr autoPageBreaks="0"/>
  </sheetPr>
  <dimension ref="A1:N20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42578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42578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42578125" style="205"/>
    <col min="260" max="260" width="13.42578125" style="205" bestFit="1" customWidth="1"/>
    <col min="261" max="497" width="11.42578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42578125" style="205"/>
    <col min="516" max="516" width="13.42578125" style="205" bestFit="1" customWidth="1"/>
    <col min="517" max="753" width="11.42578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42578125" style="205"/>
    <col min="772" max="772" width="13.42578125" style="205" bestFit="1" customWidth="1"/>
    <col min="773" max="1009" width="11.42578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42578125" style="205"/>
    <col min="1028" max="1028" width="13.42578125" style="205" bestFit="1" customWidth="1"/>
    <col min="1029" max="1265" width="11.42578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42578125" style="205"/>
    <col min="1284" max="1284" width="13.42578125" style="205" bestFit="1" customWidth="1"/>
    <col min="1285" max="1521" width="11.42578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42578125" style="205"/>
    <col min="1540" max="1540" width="13.42578125" style="205" bestFit="1" customWidth="1"/>
    <col min="1541" max="1777" width="11.42578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42578125" style="205"/>
    <col min="1796" max="1796" width="13.42578125" style="205" bestFit="1" customWidth="1"/>
    <col min="1797" max="2033" width="11.42578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42578125" style="205"/>
    <col min="2052" max="2052" width="13.42578125" style="205" bestFit="1" customWidth="1"/>
    <col min="2053" max="2289" width="11.42578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42578125" style="205"/>
    <col min="2308" max="2308" width="13.42578125" style="205" bestFit="1" customWidth="1"/>
    <col min="2309" max="2545" width="11.42578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42578125" style="205"/>
    <col min="2564" max="2564" width="13.42578125" style="205" bestFit="1" customWidth="1"/>
    <col min="2565" max="2801" width="11.42578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42578125" style="205"/>
    <col min="2820" max="2820" width="13.42578125" style="205" bestFit="1" customWidth="1"/>
    <col min="2821" max="3057" width="11.42578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42578125" style="205"/>
    <col min="3076" max="3076" width="13.42578125" style="205" bestFit="1" customWidth="1"/>
    <col min="3077" max="3313" width="11.42578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42578125" style="205"/>
    <col min="3332" max="3332" width="13.42578125" style="205" bestFit="1" customWidth="1"/>
    <col min="3333" max="3569" width="11.42578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42578125" style="205"/>
    <col min="3588" max="3588" width="13.42578125" style="205" bestFit="1" customWidth="1"/>
    <col min="3589" max="3825" width="11.42578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42578125" style="205"/>
    <col min="3844" max="3844" width="13.42578125" style="205" bestFit="1" customWidth="1"/>
    <col min="3845" max="4081" width="11.42578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42578125" style="205"/>
    <col min="4100" max="4100" width="13.42578125" style="205" bestFit="1" customWidth="1"/>
    <col min="4101" max="4337" width="11.42578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42578125" style="205"/>
    <col min="4356" max="4356" width="13.42578125" style="205" bestFit="1" customWidth="1"/>
    <col min="4357" max="4593" width="11.42578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42578125" style="205"/>
    <col min="4612" max="4612" width="13.42578125" style="205" bestFit="1" customWidth="1"/>
    <col min="4613" max="4849" width="11.42578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42578125" style="205"/>
    <col min="4868" max="4868" width="13.42578125" style="205" bestFit="1" customWidth="1"/>
    <col min="4869" max="5105" width="11.42578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42578125" style="205"/>
    <col min="5124" max="5124" width="13.42578125" style="205" bestFit="1" customWidth="1"/>
    <col min="5125" max="5361" width="11.42578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42578125" style="205"/>
    <col min="5380" max="5380" width="13.42578125" style="205" bestFit="1" customWidth="1"/>
    <col min="5381" max="5617" width="11.42578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42578125" style="205"/>
    <col min="5636" max="5636" width="13.42578125" style="205" bestFit="1" customWidth="1"/>
    <col min="5637" max="5873" width="11.42578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42578125" style="205"/>
    <col min="5892" max="5892" width="13.42578125" style="205" bestFit="1" customWidth="1"/>
    <col min="5893" max="6129" width="11.42578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42578125" style="205"/>
    <col min="6148" max="6148" width="13.42578125" style="205" bestFit="1" customWidth="1"/>
    <col min="6149" max="6385" width="11.42578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42578125" style="205"/>
    <col min="6404" max="6404" width="13.42578125" style="205" bestFit="1" customWidth="1"/>
    <col min="6405" max="6641" width="11.42578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42578125" style="205"/>
    <col min="6660" max="6660" width="13.42578125" style="205" bestFit="1" customWidth="1"/>
    <col min="6661" max="6897" width="11.42578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42578125" style="205"/>
    <col min="6916" max="6916" width="13.42578125" style="205" bestFit="1" customWidth="1"/>
    <col min="6917" max="7153" width="11.42578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42578125" style="205"/>
    <col min="7172" max="7172" width="13.42578125" style="205" bestFit="1" customWidth="1"/>
    <col min="7173" max="7409" width="11.42578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42578125" style="205"/>
    <col min="7428" max="7428" width="13.42578125" style="205" bestFit="1" customWidth="1"/>
    <col min="7429" max="7665" width="11.42578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42578125" style="205"/>
    <col min="7684" max="7684" width="13.42578125" style="205" bestFit="1" customWidth="1"/>
    <col min="7685" max="7921" width="11.42578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42578125" style="205"/>
    <col min="7940" max="7940" width="13.42578125" style="205" bestFit="1" customWidth="1"/>
    <col min="7941" max="8177" width="11.42578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42578125" style="205"/>
    <col min="8196" max="8196" width="13.42578125" style="205" bestFit="1" customWidth="1"/>
    <col min="8197" max="8433" width="11.42578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42578125" style="205"/>
    <col min="8452" max="8452" width="13.42578125" style="205" bestFit="1" customWidth="1"/>
    <col min="8453" max="8689" width="11.42578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42578125" style="205"/>
    <col min="8708" max="8708" width="13.42578125" style="205" bestFit="1" customWidth="1"/>
    <col min="8709" max="8945" width="11.42578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42578125" style="205"/>
    <col min="8964" max="8964" width="13.42578125" style="205" bestFit="1" customWidth="1"/>
    <col min="8965" max="9201" width="11.42578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42578125" style="205"/>
    <col min="9220" max="9220" width="13.42578125" style="205" bestFit="1" customWidth="1"/>
    <col min="9221" max="9457" width="11.42578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42578125" style="205"/>
    <col min="9476" max="9476" width="13.42578125" style="205" bestFit="1" customWidth="1"/>
    <col min="9477" max="9713" width="11.42578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42578125" style="205"/>
    <col min="9732" max="9732" width="13.42578125" style="205" bestFit="1" customWidth="1"/>
    <col min="9733" max="9969" width="11.42578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42578125" style="205"/>
    <col min="9988" max="9988" width="13.42578125" style="205" bestFit="1" customWidth="1"/>
    <col min="9989" max="10225" width="11.42578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42578125" style="205"/>
    <col min="10244" max="10244" width="13.42578125" style="205" bestFit="1" customWidth="1"/>
    <col min="10245" max="10481" width="11.42578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42578125" style="205"/>
    <col min="10500" max="10500" width="13.42578125" style="205" bestFit="1" customWidth="1"/>
    <col min="10501" max="10737" width="11.42578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42578125" style="205"/>
    <col min="10756" max="10756" width="13.42578125" style="205" bestFit="1" customWidth="1"/>
    <col min="10757" max="10993" width="11.42578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42578125" style="205"/>
    <col min="11012" max="11012" width="13.42578125" style="205" bestFit="1" customWidth="1"/>
    <col min="11013" max="11249" width="11.42578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42578125" style="205"/>
    <col min="11268" max="11268" width="13.42578125" style="205" bestFit="1" customWidth="1"/>
    <col min="11269" max="11505" width="11.42578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42578125" style="205"/>
    <col min="11524" max="11524" width="13.42578125" style="205" bestFit="1" customWidth="1"/>
    <col min="11525" max="11761" width="11.42578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42578125" style="205"/>
    <col min="11780" max="11780" width="13.42578125" style="205" bestFit="1" customWidth="1"/>
    <col min="11781" max="12017" width="11.42578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42578125" style="205"/>
    <col min="12036" max="12036" width="13.42578125" style="205" bestFit="1" customWidth="1"/>
    <col min="12037" max="12273" width="11.42578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42578125" style="205"/>
    <col min="12292" max="12292" width="13.42578125" style="205" bestFit="1" customWidth="1"/>
    <col min="12293" max="12529" width="11.42578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42578125" style="205"/>
    <col min="12548" max="12548" width="13.42578125" style="205" bestFit="1" customWidth="1"/>
    <col min="12549" max="12785" width="11.42578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42578125" style="205"/>
    <col min="12804" max="12804" width="13.42578125" style="205" bestFit="1" customWidth="1"/>
    <col min="12805" max="13041" width="11.42578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42578125" style="205"/>
    <col min="13060" max="13060" width="13.42578125" style="205" bestFit="1" customWidth="1"/>
    <col min="13061" max="13297" width="11.42578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42578125" style="205"/>
    <col min="13316" max="13316" width="13.42578125" style="205" bestFit="1" customWidth="1"/>
    <col min="13317" max="13553" width="11.42578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42578125" style="205"/>
    <col min="13572" max="13572" width="13.42578125" style="205" bestFit="1" customWidth="1"/>
    <col min="13573" max="13809" width="11.42578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42578125" style="205"/>
    <col min="13828" max="13828" width="13.42578125" style="205" bestFit="1" customWidth="1"/>
    <col min="13829" max="14065" width="11.42578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42578125" style="205"/>
    <col min="14084" max="14084" width="13.42578125" style="205" bestFit="1" customWidth="1"/>
    <col min="14085" max="14321" width="11.42578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42578125" style="205"/>
    <col min="14340" max="14340" width="13.42578125" style="205" bestFit="1" customWidth="1"/>
    <col min="14341" max="14577" width="11.42578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42578125" style="205"/>
    <col min="14596" max="14596" width="13.42578125" style="205" bestFit="1" customWidth="1"/>
    <col min="14597" max="14833" width="11.42578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42578125" style="205"/>
    <col min="14852" max="14852" width="13.42578125" style="205" bestFit="1" customWidth="1"/>
    <col min="14853" max="15089" width="11.42578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42578125" style="205"/>
    <col min="15108" max="15108" width="13.42578125" style="205" bestFit="1" customWidth="1"/>
    <col min="15109" max="15345" width="11.42578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42578125" style="205"/>
    <col min="15364" max="15364" width="13.42578125" style="205" bestFit="1" customWidth="1"/>
    <col min="15365" max="15601" width="11.42578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42578125" style="205"/>
    <col min="15620" max="15620" width="13.42578125" style="205" bestFit="1" customWidth="1"/>
    <col min="15621" max="15857" width="11.42578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42578125" style="205"/>
    <col min="15876" max="15876" width="13.42578125" style="205" bestFit="1" customWidth="1"/>
    <col min="15877" max="16113" width="11.42578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42578125" style="205"/>
    <col min="16132" max="16132" width="13.42578125" style="205" bestFit="1" customWidth="1"/>
    <col min="16133" max="16384" width="11.42578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144</v>
      </c>
    </row>
    <row r="4" spans="1:14" s="58" customFormat="1" ht="20.25" customHeight="1">
      <c r="B4" s="57"/>
      <c r="C4" s="25" t="s">
        <v>157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58" t="s">
        <v>159</v>
      </c>
      <c r="D7" s="55"/>
      <c r="G7" s="203"/>
    </row>
    <row r="8" spans="1:14" ht="12.75" customHeight="1">
      <c r="A8" s="58"/>
      <c r="B8" s="57"/>
      <c r="C8" s="258"/>
      <c r="D8" s="55"/>
      <c r="G8" s="204"/>
    </row>
    <row r="9" spans="1:14">
      <c r="A9" s="58"/>
      <c r="B9" s="57"/>
      <c r="C9" s="70" t="s">
        <v>93</v>
      </c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E10" s="210"/>
      <c r="F10" s="210"/>
    </row>
    <row r="11" spans="1:14">
      <c r="E11" s="210"/>
      <c r="F11" s="210"/>
    </row>
    <row r="12" spans="1:14">
      <c r="F12" s="210"/>
    </row>
    <row r="13" spans="1:14">
      <c r="E13" s="210"/>
      <c r="F13" s="211"/>
    </row>
    <row r="14" spans="1:14">
      <c r="E14" s="210"/>
      <c r="F14" s="210"/>
    </row>
    <row r="15" spans="1:14">
      <c r="E15" s="210"/>
      <c r="F15" s="210"/>
    </row>
    <row r="16" spans="1:14">
      <c r="E16" s="210"/>
      <c r="F16" s="210"/>
    </row>
    <row r="17" spans="5:6">
      <c r="E17" s="210"/>
      <c r="F17" s="210"/>
    </row>
    <row r="18" spans="5:6">
      <c r="E18" s="210"/>
      <c r="F18" s="210"/>
    </row>
    <row r="19" spans="5:6">
      <c r="E19" s="210"/>
      <c r="F19" s="210"/>
    </row>
    <row r="20" spans="5:6">
      <c r="E20" s="210"/>
      <c r="F20" s="210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67E8E-6A21-42D7-85DD-3E4AB547A165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144</v>
      </c>
    </row>
    <row r="4" spans="3:25" ht="20.100000000000001" customHeight="1">
      <c r="C4" s="25" t="s">
        <v>157</v>
      </c>
    </row>
    <row r="5" spans="3:25" ht="12.6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47" t="s">
        <v>160</v>
      </c>
      <c r="E7" s="232"/>
    </row>
    <row r="8" spans="3:25">
      <c r="C8" s="247"/>
      <c r="E8" s="232"/>
    </row>
    <row r="9" spans="3:25">
      <c r="C9" s="247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1:L22"/>
  <sheetViews>
    <sheetView showGridLines="0" showRowColHeaders="0" topLeftCell="A2" zoomScaleNormal="100" workbookViewId="0">
      <selection activeCell="K3" sqref="K3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Abril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47" t="s">
        <v>40</v>
      </c>
      <c r="E7" s="66"/>
      <c r="F7" s="248" t="str">
        <f>K3</f>
        <v>Abril 2026</v>
      </c>
      <c r="G7" s="249"/>
      <c r="H7" s="249" t="s">
        <v>30</v>
      </c>
      <c r="I7" s="249"/>
      <c r="J7" s="249" t="s">
        <v>31</v>
      </c>
      <c r="K7" s="249"/>
    </row>
    <row r="8" spans="3:12">
      <c r="C8" s="247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69" t="str">
        <f>G8</f>
        <v>% 26/25</v>
      </c>
      <c r="J8" s="68" t="s">
        <v>13</v>
      </c>
      <c r="K8" s="69" t="str">
        <f>G8</f>
        <v>% 26/25</v>
      </c>
    </row>
    <row r="9" spans="3:12">
      <c r="C9" s="70"/>
      <c r="E9" s="71" t="s">
        <v>32</v>
      </c>
      <c r="F9" s="72">
        <f>Dat_01!R26/1000</f>
        <v>439.82795699999997</v>
      </c>
      <c r="G9" s="140">
        <f>Dat_01!T26*100</f>
        <v>2.6497586499999999</v>
      </c>
      <c r="H9" s="72">
        <f>Dat_01!U26/1000</f>
        <v>1807.251812</v>
      </c>
      <c r="I9" s="140">
        <f>Dat_01!W26*100</f>
        <v>2.56068052</v>
      </c>
      <c r="J9" s="72">
        <f>Dat_01!X26/1000</f>
        <v>6364.8726730000008</v>
      </c>
      <c r="K9" s="140">
        <f>Dat_01!Y26*100</f>
        <v>4.3189896599999997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Dat_01!D161*100</f>
        <v>0.10200000000000001</v>
      </c>
      <c r="H12" s="91"/>
      <c r="I12" s="91">
        <f>Dat_01!H161*100</f>
        <v>5.6999999999999995E-2</v>
      </c>
      <c r="J12" s="91"/>
      <c r="K12" s="91">
        <f>Dat_01!L161*100</f>
        <v>0.14200000000000002</v>
      </c>
    </row>
    <row r="13" spans="3:12">
      <c r="E13" s="74" t="s">
        <v>35</v>
      </c>
      <c r="F13" s="73"/>
      <c r="G13" s="91">
        <f>Dat_01!E161*100</f>
        <v>2.4250000000000003</v>
      </c>
      <c r="H13" s="91"/>
      <c r="I13" s="91">
        <f>Dat_01!I161*100</f>
        <v>0.95099999999999996</v>
      </c>
      <c r="J13" s="91"/>
      <c r="K13" s="91">
        <f>Dat_01!M161*100</f>
        <v>1.6650000000000003</v>
      </c>
    </row>
    <row r="14" spans="3:12">
      <c r="E14" s="75" t="s">
        <v>36</v>
      </c>
      <c r="F14" s="76"/>
      <c r="G14" s="92">
        <f>Dat_01!F161*100</f>
        <v>0.123</v>
      </c>
      <c r="H14" s="92"/>
      <c r="I14" s="92">
        <f>Dat_01!J161*100</f>
        <v>1.5529999999999999</v>
      </c>
      <c r="J14" s="92"/>
      <c r="K14" s="92">
        <f>Dat_01!N161*100</f>
        <v>2.512</v>
      </c>
    </row>
    <row r="15" spans="3:12">
      <c r="E15" s="250" t="s">
        <v>37</v>
      </c>
      <c r="F15" s="250"/>
      <c r="G15" s="250"/>
      <c r="H15" s="250"/>
      <c r="I15" s="250"/>
      <c r="J15" s="250"/>
      <c r="K15" s="250"/>
    </row>
    <row r="16" spans="3:12" ht="21.75" customHeight="1">
      <c r="E16" s="246" t="s">
        <v>38</v>
      </c>
      <c r="F16" s="246"/>
      <c r="G16" s="246"/>
      <c r="H16" s="246"/>
      <c r="I16" s="246"/>
      <c r="J16" s="246"/>
      <c r="K16" s="246"/>
    </row>
    <row r="17" spans="5:11">
      <c r="E17" s="174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  <row r="22" spans="5:11">
      <c r="G22" s="152"/>
      <c r="H22" s="152"/>
      <c r="I22" s="152"/>
      <c r="J22" s="152"/>
      <c r="K22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DA951-DEA5-4FE7-B667-13944DDA7018}">
  <sheetPr>
    <pageSetUpPr autoPageBreaks="0"/>
  </sheetPr>
  <dimension ref="A1:N20"/>
  <sheetViews>
    <sheetView showGridLines="0" showRowColHeaders="0" topLeftCell="A2" zoomScaleNormal="10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42578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42578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42578125" style="205"/>
    <col min="260" max="260" width="13.42578125" style="205" bestFit="1" customWidth="1"/>
    <col min="261" max="497" width="11.42578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42578125" style="205"/>
    <col min="516" max="516" width="13.42578125" style="205" bestFit="1" customWidth="1"/>
    <col min="517" max="753" width="11.42578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42578125" style="205"/>
    <col min="772" max="772" width="13.42578125" style="205" bestFit="1" customWidth="1"/>
    <col min="773" max="1009" width="11.42578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42578125" style="205"/>
    <col min="1028" max="1028" width="13.42578125" style="205" bestFit="1" customWidth="1"/>
    <col min="1029" max="1265" width="11.42578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42578125" style="205"/>
    <col min="1284" max="1284" width="13.42578125" style="205" bestFit="1" customWidth="1"/>
    <col min="1285" max="1521" width="11.42578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42578125" style="205"/>
    <col min="1540" max="1540" width="13.42578125" style="205" bestFit="1" customWidth="1"/>
    <col min="1541" max="1777" width="11.42578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42578125" style="205"/>
    <col min="1796" max="1796" width="13.42578125" style="205" bestFit="1" customWidth="1"/>
    <col min="1797" max="2033" width="11.42578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42578125" style="205"/>
    <col min="2052" max="2052" width="13.42578125" style="205" bestFit="1" customWidth="1"/>
    <col min="2053" max="2289" width="11.42578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42578125" style="205"/>
    <col min="2308" max="2308" width="13.42578125" style="205" bestFit="1" customWidth="1"/>
    <col min="2309" max="2545" width="11.42578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42578125" style="205"/>
    <col min="2564" max="2564" width="13.42578125" style="205" bestFit="1" customWidth="1"/>
    <col min="2565" max="2801" width="11.42578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42578125" style="205"/>
    <col min="2820" max="2820" width="13.42578125" style="205" bestFit="1" customWidth="1"/>
    <col min="2821" max="3057" width="11.42578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42578125" style="205"/>
    <col min="3076" max="3076" width="13.42578125" style="205" bestFit="1" customWidth="1"/>
    <col min="3077" max="3313" width="11.42578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42578125" style="205"/>
    <col min="3332" max="3332" width="13.42578125" style="205" bestFit="1" customWidth="1"/>
    <col min="3333" max="3569" width="11.42578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42578125" style="205"/>
    <col min="3588" max="3588" width="13.42578125" style="205" bestFit="1" customWidth="1"/>
    <col min="3589" max="3825" width="11.42578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42578125" style="205"/>
    <col min="3844" max="3844" width="13.42578125" style="205" bestFit="1" customWidth="1"/>
    <col min="3845" max="4081" width="11.42578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42578125" style="205"/>
    <col min="4100" max="4100" width="13.42578125" style="205" bestFit="1" customWidth="1"/>
    <col min="4101" max="4337" width="11.42578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42578125" style="205"/>
    <col min="4356" max="4356" width="13.42578125" style="205" bestFit="1" customWidth="1"/>
    <col min="4357" max="4593" width="11.42578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42578125" style="205"/>
    <col min="4612" max="4612" width="13.42578125" style="205" bestFit="1" customWidth="1"/>
    <col min="4613" max="4849" width="11.42578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42578125" style="205"/>
    <col min="4868" max="4868" width="13.42578125" style="205" bestFit="1" customWidth="1"/>
    <col min="4869" max="5105" width="11.42578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42578125" style="205"/>
    <col min="5124" max="5124" width="13.42578125" style="205" bestFit="1" customWidth="1"/>
    <col min="5125" max="5361" width="11.42578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42578125" style="205"/>
    <col min="5380" max="5380" width="13.42578125" style="205" bestFit="1" customWidth="1"/>
    <col min="5381" max="5617" width="11.42578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42578125" style="205"/>
    <col min="5636" max="5636" width="13.42578125" style="205" bestFit="1" customWidth="1"/>
    <col min="5637" max="5873" width="11.42578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42578125" style="205"/>
    <col min="5892" max="5892" width="13.42578125" style="205" bestFit="1" customWidth="1"/>
    <col min="5893" max="6129" width="11.42578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42578125" style="205"/>
    <col min="6148" max="6148" width="13.42578125" style="205" bestFit="1" customWidth="1"/>
    <col min="6149" max="6385" width="11.42578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42578125" style="205"/>
    <col min="6404" max="6404" width="13.42578125" style="205" bestFit="1" customWidth="1"/>
    <col min="6405" max="6641" width="11.42578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42578125" style="205"/>
    <col min="6660" max="6660" width="13.42578125" style="205" bestFit="1" customWidth="1"/>
    <col min="6661" max="6897" width="11.42578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42578125" style="205"/>
    <col min="6916" max="6916" width="13.42578125" style="205" bestFit="1" customWidth="1"/>
    <col min="6917" max="7153" width="11.42578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42578125" style="205"/>
    <col min="7172" max="7172" width="13.42578125" style="205" bestFit="1" customWidth="1"/>
    <col min="7173" max="7409" width="11.42578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42578125" style="205"/>
    <col min="7428" max="7428" width="13.42578125" style="205" bestFit="1" customWidth="1"/>
    <col min="7429" max="7665" width="11.42578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42578125" style="205"/>
    <col min="7684" max="7684" width="13.42578125" style="205" bestFit="1" customWidth="1"/>
    <col min="7685" max="7921" width="11.42578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42578125" style="205"/>
    <col min="7940" max="7940" width="13.42578125" style="205" bestFit="1" customWidth="1"/>
    <col min="7941" max="8177" width="11.42578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42578125" style="205"/>
    <col min="8196" max="8196" width="13.42578125" style="205" bestFit="1" customWidth="1"/>
    <col min="8197" max="8433" width="11.42578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42578125" style="205"/>
    <col min="8452" max="8452" width="13.42578125" style="205" bestFit="1" customWidth="1"/>
    <col min="8453" max="8689" width="11.42578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42578125" style="205"/>
    <col min="8708" max="8708" width="13.42578125" style="205" bestFit="1" customWidth="1"/>
    <col min="8709" max="8945" width="11.42578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42578125" style="205"/>
    <col min="8964" max="8964" width="13.42578125" style="205" bestFit="1" customWidth="1"/>
    <col min="8965" max="9201" width="11.42578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42578125" style="205"/>
    <col min="9220" max="9220" width="13.42578125" style="205" bestFit="1" customWidth="1"/>
    <col min="9221" max="9457" width="11.42578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42578125" style="205"/>
    <col min="9476" max="9476" width="13.42578125" style="205" bestFit="1" customWidth="1"/>
    <col min="9477" max="9713" width="11.42578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42578125" style="205"/>
    <col min="9732" max="9732" width="13.42578125" style="205" bestFit="1" customWidth="1"/>
    <col min="9733" max="9969" width="11.42578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42578125" style="205"/>
    <col min="9988" max="9988" width="13.42578125" style="205" bestFit="1" customWidth="1"/>
    <col min="9989" max="10225" width="11.42578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42578125" style="205"/>
    <col min="10244" max="10244" width="13.42578125" style="205" bestFit="1" customWidth="1"/>
    <col min="10245" max="10481" width="11.42578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42578125" style="205"/>
    <col min="10500" max="10500" width="13.42578125" style="205" bestFit="1" customWidth="1"/>
    <col min="10501" max="10737" width="11.42578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42578125" style="205"/>
    <col min="10756" max="10756" width="13.42578125" style="205" bestFit="1" customWidth="1"/>
    <col min="10757" max="10993" width="11.42578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42578125" style="205"/>
    <col min="11012" max="11012" width="13.42578125" style="205" bestFit="1" customWidth="1"/>
    <col min="11013" max="11249" width="11.42578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42578125" style="205"/>
    <col min="11268" max="11268" width="13.42578125" style="205" bestFit="1" customWidth="1"/>
    <col min="11269" max="11505" width="11.42578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42578125" style="205"/>
    <col min="11524" max="11524" width="13.42578125" style="205" bestFit="1" customWidth="1"/>
    <col min="11525" max="11761" width="11.42578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42578125" style="205"/>
    <col min="11780" max="11780" width="13.42578125" style="205" bestFit="1" customWidth="1"/>
    <col min="11781" max="12017" width="11.42578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42578125" style="205"/>
    <col min="12036" max="12036" width="13.42578125" style="205" bestFit="1" customWidth="1"/>
    <col min="12037" max="12273" width="11.42578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42578125" style="205"/>
    <col min="12292" max="12292" width="13.42578125" style="205" bestFit="1" customWidth="1"/>
    <col min="12293" max="12529" width="11.42578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42578125" style="205"/>
    <col min="12548" max="12548" width="13.42578125" style="205" bestFit="1" customWidth="1"/>
    <col min="12549" max="12785" width="11.42578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42578125" style="205"/>
    <col min="12804" max="12804" width="13.42578125" style="205" bestFit="1" customWidth="1"/>
    <col min="12805" max="13041" width="11.42578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42578125" style="205"/>
    <col min="13060" max="13060" width="13.42578125" style="205" bestFit="1" customWidth="1"/>
    <col min="13061" max="13297" width="11.42578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42578125" style="205"/>
    <col min="13316" max="13316" width="13.42578125" style="205" bestFit="1" customWidth="1"/>
    <col min="13317" max="13553" width="11.42578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42578125" style="205"/>
    <col min="13572" max="13572" width="13.42578125" style="205" bestFit="1" customWidth="1"/>
    <col min="13573" max="13809" width="11.42578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42578125" style="205"/>
    <col min="13828" max="13828" width="13.42578125" style="205" bestFit="1" customWidth="1"/>
    <col min="13829" max="14065" width="11.42578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42578125" style="205"/>
    <col min="14084" max="14084" width="13.42578125" style="205" bestFit="1" customWidth="1"/>
    <col min="14085" max="14321" width="11.42578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42578125" style="205"/>
    <col min="14340" max="14340" width="13.42578125" style="205" bestFit="1" customWidth="1"/>
    <col min="14341" max="14577" width="11.42578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42578125" style="205"/>
    <col min="14596" max="14596" width="13.42578125" style="205" bestFit="1" customWidth="1"/>
    <col min="14597" max="14833" width="11.42578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42578125" style="205"/>
    <col min="14852" max="14852" width="13.42578125" style="205" bestFit="1" customWidth="1"/>
    <col min="14853" max="15089" width="11.42578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42578125" style="205"/>
    <col min="15108" max="15108" width="13.42578125" style="205" bestFit="1" customWidth="1"/>
    <col min="15109" max="15345" width="11.42578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42578125" style="205"/>
    <col min="15364" max="15364" width="13.42578125" style="205" bestFit="1" customWidth="1"/>
    <col min="15365" max="15601" width="11.42578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42578125" style="205"/>
    <col min="15620" max="15620" width="13.42578125" style="205" bestFit="1" customWidth="1"/>
    <col min="15621" max="15857" width="11.42578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42578125" style="205"/>
    <col min="15876" max="15876" width="13.42578125" style="205" bestFit="1" customWidth="1"/>
    <col min="15877" max="16113" width="11.42578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42578125" style="205"/>
    <col min="16132" max="16132" width="13.42578125" style="205" bestFit="1" customWidth="1"/>
    <col min="16133" max="16384" width="11.42578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144</v>
      </c>
    </row>
    <row r="4" spans="1:14" s="58" customFormat="1" ht="20.25" customHeight="1">
      <c r="B4" s="57"/>
      <c r="C4" s="25" t="s">
        <v>157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58" t="s">
        <v>161</v>
      </c>
      <c r="D7" s="55"/>
      <c r="G7" s="203"/>
    </row>
    <row r="8" spans="1:14" ht="12.75" customHeight="1">
      <c r="A8" s="58"/>
      <c r="B8" s="57"/>
      <c r="C8" s="258"/>
      <c r="D8" s="55"/>
      <c r="G8" s="204"/>
    </row>
    <row r="9" spans="1:14">
      <c r="A9" s="58"/>
      <c r="B9" s="57"/>
      <c r="C9" s="70" t="s">
        <v>93</v>
      </c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E10" s="210"/>
      <c r="F10" s="210"/>
    </row>
    <row r="11" spans="1:14">
      <c r="E11" s="210"/>
      <c r="F11" s="210"/>
    </row>
    <row r="12" spans="1:14">
      <c r="F12" s="210"/>
    </row>
    <row r="13" spans="1:14">
      <c r="E13" s="210"/>
      <c r="F13" s="211"/>
    </row>
    <row r="14" spans="1:14">
      <c r="E14" s="210"/>
      <c r="F14" s="210"/>
    </row>
    <row r="15" spans="1:14">
      <c r="E15" s="210"/>
      <c r="F15" s="210"/>
    </row>
    <row r="16" spans="1:14">
      <c r="E16" s="210"/>
      <c r="F16" s="210"/>
    </row>
    <row r="17" spans="5:6">
      <c r="E17" s="210"/>
      <c r="F17" s="210"/>
    </row>
    <row r="18" spans="5:6">
      <c r="E18" s="210"/>
      <c r="F18" s="210"/>
    </row>
    <row r="19" spans="5:6">
      <c r="E19" s="210"/>
      <c r="F19" s="210"/>
    </row>
    <row r="20" spans="5:6">
      <c r="E20" s="210"/>
      <c r="F20" s="210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G185"/>
  <sheetViews>
    <sheetView topLeftCell="A153" zoomScaleNormal="100" workbookViewId="0">
      <selection activeCell="P172" sqref="P172:P176"/>
    </sheetView>
  </sheetViews>
  <sheetFormatPr baseColWidth="10" defaultColWidth="11.42578125" defaultRowHeight="12"/>
  <cols>
    <col min="1" max="1" width="8" style="99" bestFit="1" customWidth="1"/>
    <col min="2" max="2" width="14.5703125" style="99" bestFit="1" customWidth="1"/>
    <col min="3" max="3" width="26.5703125" style="99" bestFit="1" customWidth="1"/>
    <col min="4" max="4" width="22.42578125" style="99" bestFit="1" customWidth="1"/>
    <col min="5" max="5" width="23.5703125" style="99" bestFit="1" customWidth="1"/>
    <col min="6" max="6" width="36.140625" style="99" bestFit="1" customWidth="1"/>
    <col min="7" max="7" width="26.140625" style="99" bestFit="1" customWidth="1"/>
    <col min="8" max="8" width="22.140625" style="99" bestFit="1" customWidth="1"/>
    <col min="9" max="9" width="23.28515625" style="99" bestFit="1" customWidth="1"/>
    <col min="10" max="10" width="31.140625" style="99" bestFit="1" customWidth="1"/>
    <col min="11" max="11" width="30.85546875" style="99" bestFit="1" customWidth="1"/>
    <col min="12" max="12" width="26.85546875" style="99" bestFit="1" customWidth="1"/>
    <col min="13" max="13" width="28" style="99" bestFit="1" customWidth="1"/>
    <col min="14" max="14" width="35.85546875" style="99" bestFit="1" customWidth="1"/>
    <col min="15" max="33" width="15.7109375" style="99" customWidth="1"/>
    <col min="34" max="16384" width="11.42578125" style="99"/>
  </cols>
  <sheetData>
    <row r="1" spans="1:33">
      <c r="A1" s="126" t="s">
        <v>59</v>
      </c>
      <c r="B1" s="126" t="s">
        <v>63</v>
      </c>
    </row>
    <row r="2" spans="1:33">
      <c r="A2" s="127" t="s">
        <v>144</v>
      </c>
      <c r="B2" s="127" t="s">
        <v>145</v>
      </c>
    </row>
    <row r="4" spans="1:33" ht="15">
      <c r="A4" s="128" t="s">
        <v>59</v>
      </c>
      <c r="B4" s="278" t="s">
        <v>144</v>
      </c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  <c r="V4" s="279"/>
      <c r="W4" s="279"/>
      <c r="X4" s="279"/>
      <c r="Y4" s="279"/>
      <c r="Z4" s="279"/>
      <c r="AA4" s="279"/>
      <c r="AB4" s="279"/>
      <c r="AC4" s="279"/>
      <c r="AD4" s="279"/>
      <c r="AE4" s="279"/>
      <c r="AF4" s="279"/>
      <c r="AG4" s="279"/>
    </row>
    <row r="5" spans="1:33" ht="15">
      <c r="A5" s="128" t="s">
        <v>60</v>
      </c>
      <c r="B5" s="281" t="s">
        <v>15</v>
      </c>
      <c r="C5" s="282"/>
      <c r="D5" s="282"/>
      <c r="E5" s="282"/>
      <c r="F5" s="282"/>
      <c r="G5" s="282"/>
      <c r="H5" s="282"/>
      <c r="I5" s="283"/>
      <c r="J5" s="281" t="s">
        <v>14</v>
      </c>
      <c r="K5" s="282"/>
      <c r="L5" s="282"/>
      <c r="M5" s="282"/>
      <c r="N5" s="282"/>
      <c r="O5" s="282"/>
      <c r="P5" s="282"/>
      <c r="Q5" s="283"/>
      <c r="R5" s="281" t="s">
        <v>49</v>
      </c>
      <c r="S5" s="282"/>
      <c r="T5" s="282"/>
      <c r="U5" s="282"/>
      <c r="V5" s="282"/>
      <c r="W5" s="282"/>
      <c r="X5" s="282"/>
      <c r="Y5" s="283"/>
      <c r="Z5" s="281" t="s">
        <v>50</v>
      </c>
      <c r="AA5" s="282"/>
      <c r="AB5" s="282"/>
      <c r="AC5" s="282"/>
      <c r="AD5" s="282"/>
      <c r="AE5" s="282"/>
      <c r="AF5" s="282"/>
      <c r="AG5" s="282"/>
    </row>
    <row r="6" spans="1:33">
      <c r="A6" s="128" t="s">
        <v>61</v>
      </c>
      <c r="B6" s="153" t="s">
        <v>51</v>
      </c>
      <c r="C6" s="153" t="s">
        <v>52</v>
      </c>
      <c r="D6" s="153" t="s">
        <v>53</v>
      </c>
      <c r="E6" s="153" t="s">
        <v>54</v>
      </c>
      <c r="F6" s="153" t="s">
        <v>55</v>
      </c>
      <c r="G6" s="153" t="s">
        <v>56</v>
      </c>
      <c r="H6" s="153" t="s">
        <v>57</v>
      </c>
      <c r="I6" s="153" t="s">
        <v>58</v>
      </c>
      <c r="J6" s="153" t="s">
        <v>51</v>
      </c>
      <c r="K6" s="153" t="s">
        <v>52</v>
      </c>
      <c r="L6" s="153" t="s">
        <v>53</v>
      </c>
      <c r="M6" s="153" t="s">
        <v>54</v>
      </c>
      <c r="N6" s="153" t="s">
        <v>55</v>
      </c>
      <c r="O6" s="153" t="s">
        <v>56</v>
      </c>
      <c r="P6" s="153" t="s">
        <v>57</v>
      </c>
      <c r="Q6" s="153" t="s">
        <v>58</v>
      </c>
      <c r="R6" s="153" t="s">
        <v>51</v>
      </c>
      <c r="S6" s="153" t="s">
        <v>52</v>
      </c>
      <c r="T6" s="153" t="s">
        <v>53</v>
      </c>
      <c r="U6" s="153" t="s">
        <v>54</v>
      </c>
      <c r="V6" s="153" t="s">
        <v>55</v>
      </c>
      <c r="W6" s="153" t="s">
        <v>56</v>
      </c>
      <c r="X6" s="153" t="s">
        <v>57</v>
      </c>
      <c r="Y6" s="153" t="s">
        <v>58</v>
      </c>
      <c r="Z6" s="153" t="s">
        <v>51</v>
      </c>
      <c r="AA6" s="153" t="s">
        <v>52</v>
      </c>
      <c r="AB6" s="153" t="s">
        <v>53</v>
      </c>
      <c r="AC6" s="153" t="s">
        <v>54</v>
      </c>
      <c r="AD6" s="153" t="s">
        <v>55</v>
      </c>
      <c r="AE6" s="153" t="s">
        <v>56</v>
      </c>
      <c r="AF6" s="153" t="s">
        <v>57</v>
      </c>
      <c r="AG6" s="153" t="s">
        <v>58</v>
      </c>
    </row>
    <row r="7" spans="1:33">
      <c r="A7" s="128" t="s">
        <v>62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</row>
    <row r="8" spans="1:33">
      <c r="A8" s="127" t="s">
        <v>12</v>
      </c>
      <c r="B8" s="224">
        <v>0</v>
      </c>
      <c r="C8" s="224">
        <v>0</v>
      </c>
      <c r="D8" s="225">
        <v>0</v>
      </c>
      <c r="E8" s="224">
        <v>0</v>
      </c>
      <c r="F8" s="224">
        <v>0</v>
      </c>
      <c r="G8" s="225">
        <v>0</v>
      </c>
      <c r="H8" s="224">
        <v>0</v>
      </c>
      <c r="I8" s="225">
        <v>0</v>
      </c>
      <c r="J8" s="224">
        <v>0</v>
      </c>
      <c r="K8" s="224">
        <v>0</v>
      </c>
      <c r="L8" s="225">
        <v>0</v>
      </c>
      <c r="M8" s="224">
        <v>0</v>
      </c>
      <c r="N8" s="224">
        <v>0</v>
      </c>
      <c r="O8" s="225">
        <v>0</v>
      </c>
      <c r="P8" s="224">
        <v>0</v>
      </c>
      <c r="Q8" s="225">
        <v>0</v>
      </c>
      <c r="R8" s="224">
        <v>0</v>
      </c>
      <c r="S8" s="224">
        <v>0</v>
      </c>
      <c r="T8" s="225">
        <v>0</v>
      </c>
      <c r="U8" s="224">
        <v>0</v>
      </c>
      <c r="V8" s="224">
        <v>0</v>
      </c>
      <c r="W8" s="225">
        <v>0</v>
      </c>
      <c r="X8" s="224">
        <v>0</v>
      </c>
      <c r="Y8" s="225">
        <v>0</v>
      </c>
      <c r="Z8" s="224">
        <v>0</v>
      </c>
      <c r="AA8" s="224">
        <v>0</v>
      </c>
      <c r="AB8" s="225">
        <v>0</v>
      </c>
      <c r="AC8" s="224">
        <v>0</v>
      </c>
      <c r="AD8" s="224">
        <v>339.86099999999999</v>
      </c>
      <c r="AE8" s="225">
        <v>-1</v>
      </c>
      <c r="AF8" s="224">
        <v>0</v>
      </c>
      <c r="AG8" s="225">
        <v>-1</v>
      </c>
    </row>
    <row r="9" spans="1:33">
      <c r="A9" s="127" t="s">
        <v>11</v>
      </c>
      <c r="B9" s="224">
        <v>0</v>
      </c>
      <c r="C9" s="224">
        <v>0</v>
      </c>
      <c r="D9" s="225">
        <v>0</v>
      </c>
      <c r="E9" s="224">
        <v>0</v>
      </c>
      <c r="F9" s="224">
        <v>0</v>
      </c>
      <c r="G9" s="225">
        <v>0</v>
      </c>
      <c r="H9" s="224">
        <v>0</v>
      </c>
      <c r="I9" s="225">
        <v>0</v>
      </c>
      <c r="J9" s="224">
        <v>0</v>
      </c>
      <c r="K9" s="224">
        <v>0</v>
      </c>
      <c r="L9" s="225">
        <v>0</v>
      </c>
      <c r="M9" s="224">
        <v>0</v>
      </c>
      <c r="N9" s="224">
        <v>0</v>
      </c>
      <c r="O9" s="225">
        <v>0</v>
      </c>
      <c r="P9" s="224">
        <v>0</v>
      </c>
      <c r="Q9" s="225">
        <v>0</v>
      </c>
      <c r="R9" s="224">
        <v>0</v>
      </c>
      <c r="S9" s="224">
        <v>0</v>
      </c>
      <c r="T9" s="225">
        <v>0</v>
      </c>
      <c r="U9" s="224">
        <v>0</v>
      </c>
      <c r="V9" s="224">
        <v>95245.187999999995</v>
      </c>
      <c r="W9" s="225">
        <v>-1</v>
      </c>
      <c r="X9" s="224">
        <v>0</v>
      </c>
      <c r="Y9" s="225">
        <v>-1</v>
      </c>
      <c r="Z9" s="224">
        <v>0</v>
      </c>
      <c r="AA9" s="224">
        <v>0</v>
      </c>
      <c r="AB9" s="225">
        <v>0</v>
      </c>
      <c r="AC9" s="224">
        <v>0</v>
      </c>
      <c r="AD9" s="224">
        <v>0</v>
      </c>
      <c r="AE9" s="225">
        <v>0</v>
      </c>
      <c r="AF9" s="224">
        <v>0</v>
      </c>
      <c r="AG9" s="225">
        <v>0</v>
      </c>
    </row>
    <row r="10" spans="1:33">
      <c r="A10" s="127" t="s">
        <v>69</v>
      </c>
      <c r="B10" s="224">
        <v>14355.235000000001</v>
      </c>
      <c r="C10" s="224">
        <v>14959.986999999999</v>
      </c>
      <c r="D10" s="225">
        <v>-4.0424634100000002E-2</v>
      </c>
      <c r="E10" s="224">
        <v>64551.455999999998</v>
      </c>
      <c r="F10" s="224">
        <v>64530.483</v>
      </c>
      <c r="G10" s="225">
        <v>3.2500919999999998E-4</v>
      </c>
      <c r="H10" s="224">
        <v>205997.43799999999</v>
      </c>
      <c r="I10" s="225">
        <v>3.3609329200000003E-2</v>
      </c>
      <c r="J10" s="224">
        <v>15899.897999999999</v>
      </c>
      <c r="K10" s="224">
        <v>14727.669</v>
      </c>
      <c r="L10" s="225">
        <v>7.9593654599999994E-2</v>
      </c>
      <c r="M10" s="224">
        <v>67373.663</v>
      </c>
      <c r="N10" s="224">
        <v>63521.142</v>
      </c>
      <c r="O10" s="225">
        <v>6.0649429099999999E-2</v>
      </c>
      <c r="P10" s="224">
        <v>218689.027</v>
      </c>
      <c r="Q10" s="225">
        <v>5.6184728000000003E-2</v>
      </c>
      <c r="R10" s="224">
        <v>8619.6</v>
      </c>
      <c r="S10" s="224">
        <v>13863.616</v>
      </c>
      <c r="T10" s="225">
        <v>-0.3782574474</v>
      </c>
      <c r="U10" s="224">
        <v>38080.243999999999</v>
      </c>
      <c r="V10" s="224">
        <v>36320.781000000003</v>
      </c>
      <c r="W10" s="225">
        <v>4.8442322900000001E-2</v>
      </c>
      <c r="X10" s="224">
        <v>317919.92300000001</v>
      </c>
      <c r="Y10" s="225">
        <v>0.21798515739999999</v>
      </c>
      <c r="Z10" s="224">
        <v>153416.853</v>
      </c>
      <c r="AA10" s="224">
        <v>146769.96599999999</v>
      </c>
      <c r="AB10" s="225">
        <v>4.52877873E-2</v>
      </c>
      <c r="AC10" s="224">
        <v>604453.37800000003</v>
      </c>
      <c r="AD10" s="224">
        <v>632735.59199999995</v>
      </c>
      <c r="AE10" s="225">
        <v>-4.4698313699999999E-2</v>
      </c>
      <c r="AF10" s="224">
        <v>1780615.2220000001</v>
      </c>
      <c r="AG10" s="225">
        <v>-5.4818736200000003E-2</v>
      </c>
    </row>
    <row r="11" spans="1:33">
      <c r="A11" s="127" t="s">
        <v>9</v>
      </c>
      <c r="B11" s="224">
        <v>3.7610000000000001</v>
      </c>
      <c r="C11" s="224">
        <v>1.296</v>
      </c>
      <c r="D11" s="225">
        <v>1.9020061728</v>
      </c>
      <c r="E11" s="224">
        <v>32.563000000000002</v>
      </c>
      <c r="F11" s="224">
        <v>16.891999999999999</v>
      </c>
      <c r="G11" s="225">
        <v>0.92771726259999998</v>
      </c>
      <c r="H11" s="224">
        <v>199.072</v>
      </c>
      <c r="I11" s="225">
        <v>-0.63554878579999996</v>
      </c>
      <c r="J11" s="224">
        <v>3.8170000000000002</v>
      </c>
      <c r="K11" s="224">
        <v>2.8940000000000001</v>
      </c>
      <c r="L11" s="225">
        <v>0.31893572910000001</v>
      </c>
      <c r="M11" s="224">
        <v>52.110999999999997</v>
      </c>
      <c r="N11" s="224">
        <v>14.641999999999999</v>
      </c>
      <c r="O11" s="225">
        <v>2.5590083321999999</v>
      </c>
      <c r="P11" s="224">
        <v>139.352</v>
      </c>
      <c r="Q11" s="225">
        <v>-0.45991364940000001</v>
      </c>
      <c r="R11" s="224">
        <v>22619.537</v>
      </c>
      <c r="S11" s="224">
        <v>25040.585999999999</v>
      </c>
      <c r="T11" s="225">
        <v>-9.6684997699999997E-2</v>
      </c>
      <c r="U11" s="224">
        <v>96694.929000000004</v>
      </c>
      <c r="V11" s="224">
        <v>95485.316000000006</v>
      </c>
      <c r="W11" s="225">
        <v>1.2668052500000001E-2</v>
      </c>
      <c r="X11" s="224">
        <v>418656.56099999999</v>
      </c>
      <c r="Y11" s="225">
        <v>3.4288356200000002E-2</v>
      </c>
      <c r="Z11" s="224">
        <v>34690.565999999999</v>
      </c>
      <c r="AA11" s="224">
        <v>15002.691000000001</v>
      </c>
      <c r="AB11" s="225">
        <v>1.3122895752999999</v>
      </c>
      <c r="AC11" s="224">
        <v>118731.878</v>
      </c>
      <c r="AD11" s="224">
        <v>102827.192</v>
      </c>
      <c r="AE11" s="225">
        <v>0.15467393099999999</v>
      </c>
      <c r="AF11" s="224">
        <v>285306.05699999997</v>
      </c>
      <c r="AG11" s="225">
        <v>7.0653430500000003E-2</v>
      </c>
    </row>
    <row r="12" spans="1:33">
      <c r="A12" s="127" t="s">
        <v>8</v>
      </c>
      <c r="B12" s="224">
        <v>0</v>
      </c>
      <c r="C12" s="224">
        <v>0</v>
      </c>
      <c r="D12" s="225">
        <v>0</v>
      </c>
      <c r="E12" s="224">
        <v>0</v>
      </c>
      <c r="F12" s="224">
        <v>0</v>
      </c>
      <c r="G12" s="225">
        <v>0</v>
      </c>
      <c r="H12" s="224">
        <v>0</v>
      </c>
      <c r="I12" s="225">
        <v>0</v>
      </c>
      <c r="J12" s="224">
        <v>0</v>
      </c>
      <c r="K12" s="224">
        <v>0</v>
      </c>
      <c r="L12" s="225">
        <v>0</v>
      </c>
      <c r="M12" s="224">
        <v>0</v>
      </c>
      <c r="N12" s="224">
        <v>0</v>
      </c>
      <c r="O12" s="225">
        <v>0</v>
      </c>
      <c r="P12" s="224">
        <v>0</v>
      </c>
      <c r="Q12" s="225">
        <v>0</v>
      </c>
      <c r="R12" s="224">
        <v>0</v>
      </c>
      <c r="S12" s="224">
        <v>0</v>
      </c>
      <c r="T12" s="225">
        <v>0</v>
      </c>
      <c r="U12" s="224">
        <v>0</v>
      </c>
      <c r="V12" s="224">
        <v>0</v>
      </c>
      <c r="W12" s="225">
        <v>0</v>
      </c>
      <c r="X12" s="224">
        <v>0</v>
      </c>
      <c r="Y12" s="225">
        <v>0</v>
      </c>
      <c r="Z12" s="224">
        <v>106513.632</v>
      </c>
      <c r="AA12" s="224">
        <v>98063.034</v>
      </c>
      <c r="AB12" s="225">
        <v>8.6175163599999993E-2</v>
      </c>
      <c r="AC12" s="224">
        <v>399584.33799999999</v>
      </c>
      <c r="AD12" s="224">
        <v>418849.49800000002</v>
      </c>
      <c r="AE12" s="225">
        <v>-4.5995423399999999E-2</v>
      </c>
      <c r="AF12" s="224">
        <v>1219872.1850000001</v>
      </c>
      <c r="AG12" s="225">
        <v>5.8053329000000001E-2</v>
      </c>
    </row>
    <row r="13" spans="1:33">
      <c r="A13" s="127" t="s">
        <v>25</v>
      </c>
      <c r="B13" s="224">
        <v>0</v>
      </c>
      <c r="C13" s="224">
        <v>0</v>
      </c>
      <c r="D13" s="225">
        <v>0</v>
      </c>
      <c r="E13" s="224">
        <v>0</v>
      </c>
      <c r="F13" s="224">
        <v>0</v>
      </c>
      <c r="G13" s="225">
        <v>0</v>
      </c>
      <c r="H13" s="224">
        <v>0</v>
      </c>
      <c r="I13" s="225">
        <v>0</v>
      </c>
      <c r="J13" s="224">
        <v>0</v>
      </c>
      <c r="K13" s="224">
        <v>0</v>
      </c>
      <c r="L13" s="225">
        <v>0</v>
      </c>
      <c r="M13" s="224">
        <v>0</v>
      </c>
      <c r="N13" s="224">
        <v>0</v>
      </c>
      <c r="O13" s="225">
        <v>0</v>
      </c>
      <c r="P13" s="224">
        <v>0</v>
      </c>
      <c r="Q13" s="225">
        <v>0</v>
      </c>
      <c r="R13" s="224">
        <v>217826.639</v>
      </c>
      <c r="S13" s="224">
        <v>226590.076</v>
      </c>
      <c r="T13" s="225">
        <v>-3.8675290399999999E-2</v>
      </c>
      <c r="U13" s="224">
        <v>973133.83400000003</v>
      </c>
      <c r="V13" s="224">
        <v>923355.16899999999</v>
      </c>
      <c r="W13" s="225">
        <v>5.3910636599999999E-2</v>
      </c>
      <c r="X13" s="224">
        <v>3176784.0649999999</v>
      </c>
      <c r="Y13" s="225">
        <v>7.7111366200000003E-2</v>
      </c>
      <c r="Z13" s="224">
        <v>284691.47200000001</v>
      </c>
      <c r="AA13" s="224">
        <v>290702.50900000002</v>
      </c>
      <c r="AB13" s="225">
        <v>-2.0677623400000001E-2</v>
      </c>
      <c r="AC13" s="224">
        <v>1185749.8859999999</v>
      </c>
      <c r="AD13" s="224">
        <v>1173475.5460000001</v>
      </c>
      <c r="AE13" s="225">
        <v>1.0459817499999999E-2</v>
      </c>
      <c r="AF13" s="224">
        <v>3808324.503</v>
      </c>
      <c r="AG13" s="225">
        <v>4.2686151399999997E-2</v>
      </c>
    </row>
    <row r="14" spans="1:33">
      <c r="A14" s="127" t="s">
        <v>24</v>
      </c>
      <c r="B14" s="224">
        <v>0</v>
      </c>
      <c r="C14" s="224">
        <v>0</v>
      </c>
      <c r="D14" s="225">
        <v>0</v>
      </c>
      <c r="E14" s="224">
        <v>0</v>
      </c>
      <c r="F14" s="224">
        <v>0</v>
      </c>
      <c r="G14" s="225">
        <v>0</v>
      </c>
      <c r="H14" s="224">
        <v>0</v>
      </c>
      <c r="I14" s="225">
        <v>0</v>
      </c>
      <c r="J14" s="224">
        <v>0</v>
      </c>
      <c r="K14" s="224">
        <v>0</v>
      </c>
      <c r="L14" s="225">
        <v>0</v>
      </c>
      <c r="M14" s="224">
        <v>0</v>
      </c>
      <c r="N14" s="224">
        <v>0</v>
      </c>
      <c r="O14" s="225">
        <v>0</v>
      </c>
      <c r="P14" s="224">
        <v>0</v>
      </c>
      <c r="Q14" s="225">
        <v>0</v>
      </c>
      <c r="R14" s="224">
        <v>0</v>
      </c>
      <c r="S14" s="224">
        <v>0</v>
      </c>
      <c r="T14" s="225">
        <v>0</v>
      </c>
      <c r="U14" s="224">
        <v>0</v>
      </c>
      <c r="V14" s="224">
        <v>0</v>
      </c>
      <c r="W14" s="225">
        <v>0</v>
      </c>
      <c r="X14" s="224">
        <v>0</v>
      </c>
      <c r="Y14" s="225">
        <v>0</v>
      </c>
      <c r="Z14" s="224">
        <v>0</v>
      </c>
      <c r="AA14" s="224">
        <v>0</v>
      </c>
      <c r="AB14" s="225">
        <v>0</v>
      </c>
      <c r="AC14" s="224">
        <v>0</v>
      </c>
      <c r="AD14" s="224">
        <v>0</v>
      </c>
      <c r="AE14" s="225">
        <v>0</v>
      </c>
      <c r="AF14" s="224">
        <v>0</v>
      </c>
      <c r="AG14" s="225">
        <v>0</v>
      </c>
    </row>
    <row r="15" spans="1:33">
      <c r="A15" s="127" t="s">
        <v>6</v>
      </c>
      <c r="B15" s="224">
        <v>0</v>
      </c>
      <c r="C15" s="224">
        <v>0</v>
      </c>
      <c r="D15" s="225">
        <v>0</v>
      </c>
      <c r="E15" s="224">
        <v>0</v>
      </c>
      <c r="F15" s="224">
        <v>0</v>
      </c>
      <c r="G15" s="225">
        <v>0</v>
      </c>
      <c r="H15" s="224">
        <v>0</v>
      </c>
      <c r="I15" s="225">
        <v>0</v>
      </c>
      <c r="J15" s="224">
        <v>0</v>
      </c>
      <c r="K15" s="224">
        <v>0</v>
      </c>
      <c r="L15" s="225">
        <v>0</v>
      </c>
      <c r="M15" s="224">
        <v>0</v>
      </c>
      <c r="N15" s="224">
        <v>0</v>
      </c>
      <c r="O15" s="225">
        <v>0</v>
      </c>
      <c r="P15" s="224">
        <v>0</v>
      </c>
      <c r="Q15" s="225">
        <v>0</v>
      </c>
      <c r="R15" s="224">
        <v>0</v>
      </c>
      <c r="S15" s="224">
        <v>0</v>
      </c>
      <c r="T15" s="225">
        <v>0</v>
      </c>
      <c r="U15" s="224">
        <v>0</v>
      </c>
      <c r="V15" s="224">
        <v>0</v>
      </c>
      <c r="W15" s="225">
        <v>0</v>
      </c>
      <c r="X15" s="224">
        <v>0</v>
      </c>
      <c r="Y15" s="225">
        <v>0</v>
      </c>
      <c r="Z15" s="224">
        <v>1462.3150000000001</v>
      </c>
      <c r="AA15" s="224">
        <v>1763.2380000000001</v>
      </c>
      <c r="AB15" s="225">
        <v>-0.1706649925</v>
      </c>
      <c r="AC15" s="224">
        <v>5987.7110000000002</v>
      </c>
      <c r="AD15" s="224">
        <v>5397.6750000000002</v>
      </c>
      <c r="AE15" s="225">
        <v>0.1093129912</v>
      </c>
      <c r="AF15" s="224">
        <v>22778.713</v>
      </c>
      <c r="AG15" s="225">
        <v>-3.52911536E-2</v>
      </c>
    </row>
    <row r="16" spans="1:33">
      <c r="A16" s="127" t="s">
        <v>5</v>
      </c>
      <c r="B16" s="224">
        <v>0</v>
      </c>
      <c r="C16" s="224">
        <v>0</v>
      </c>
      <c r="D16" s="225">
        <v>0</v>
      </c>
      <c r="E16" s="224">
        <v>0</v>
      </c>
      <c r="F16" s="224">
        <v>0</v>
      </c>
      <c r="G16" s="225">
        <v>0</v>
      </c>
      <c r="H16" s="224">
        <v>0</v>
      </c>
      <c r="I16" s="225">
        <v>0</v>
      </c>
      <c r="J16" s="224">
        <v>0</v>
      </c>
      <c r="K16" s="224">
        <v>0</v>
      </c>
      <c r="L16" s="225">
        <v>0</v>
      </c>
      <c r="M16" s="224">
        <v>0</v>
      </c>
      <c r="N16" s="224">
        <v>0</v>
      </c>
      <c r="O16" s="225">
        <v>0</v>
      </c>
      <c r="P16" s="224">
        <v>0</v>
      </c>
      <c r="Q16" s="225">
        <v>0</v>
      </c>
      <c r="R16" s="224">
        <v>0</v>
      </c>
      <c r="S16" s="224">
        <v>0</v>
      </c>
      <c r="T16" s="225">
        <v>0</v>
      </c>
      <c r="U16" s="224">
        <v>0</v>
      </c>
      <c r="V16" s="224">
        <v>0</v>
      </c>
      <c r="W16" s="225">
        <v>0</v>
      </c>
      <c r="X16" s="224">
        <v>0</v>
      </c>
      <c r="Y16" s="225">
        <v>0</v>
      </c>
      <c r="Z16" s="224">
        <v>81917.770999999993</v>
      </c>
      <c r="AA16" s="224">
        <v>105257.16</v>
      </c>
      <c r="AB16" s="225">
        <v>-0.2217368301</v>
      </c>
      <c r="AC16" s="224">
        <v>435297.614</v>
      </c>
      <c r="AD16" s="224">
        <v>385842.86200000002</v>
      </c>
      <c r="AE16" s="225">
        <v>0.12817329769999999</v>
      </c>
      <c r="AF16" s="224">
        <v>1422640.5419999999</v>
      </c>
      <c r="AG16" s="225">
        <v>-1.7954491600000001E-2</v>
      </c>
    </row>
    <row r="17" spans="1:33">
      <c r="A17" s="127" t="s">
        <v>4</v>
      </c>
      <c r="B17" s="224">
        <v>1.2999999999999999E-2</v>
      </c>
      <c r="C17" s="224">
        <v>8.9999999999999993E-3</v>
      </c>
      <c r="D17" s="225">
        <v>0.44444444440000003</v>
      </c>
      <c r="E17" s="224">
        <v>2.1999999999999999E-2</v>
      </c>
      <c r="F17" s="224">
        <v>2.3E-2</v>
      </c>
      <c r="G17" s="225">
        <v>-4.3478260900000003E-2</v>
      </c>
      <c r="H17" s="224">
        <v>6.5000000000000002E-2</v>
      </c>
      <c r="I17" s="225">
        <v>-0.50757575759999995</v>
      </c>
      <c r="J17" s="224">
        <v>4.67</v>
      </c>
      <c r="K17" s="224">
        <v>6.532</v>
      </c>
      <c r="L17" s="225">
        <v>-0.28505817509999998</v>
      </c>
      <c r="M17" s="224">
        <v>14.468</v>
      </c>
      <c r="N17" s="224">
        <v>19.939</v>
      </c>
      <c r="O17" s="225">
        <v>-0.27438688</v>
      </c>
      <c r="P17" s="224">
        <v>61.442999999999998</v>
      </c>
      <c r="Q17" s="225">
        <v>-9.41885836E-2</v>
      </c>
      <c r="R17" s="224">
        <v>58732.978000000003</v>
      </c>
      <c r="S17" s="224">
        <v>49048.961000000003</v>
      </c>
      <c r="T17" s="225">
        <v>0.19743572140000001</v>
      </c>
      <c r="U17" s="224">
        <v>166355.59099999999</v>
      </c>
      <c r="V17" s="224">
        <v>140172.98300000001</v>
      </c>
      <c r="W17" s="225">
        <v>0.1867878349</v>
      </c>
      <c r="X17" s="224">
        <v>538784.47400000005</v>
      </c>
      <c r="Y17" s="225">
        <v>7.0887077399999998E-2</v>
      </c>
      <c r="Z17" s="224">
        <v>40686.394999999997</v>
      </c>
      <c r="AA17" s="224">
        <v>38331.470999999998</v>
      </c>
      <c r="AB17" s="225">
        <v>6.1435784700000003E-2</v>
      </c>
      <c r="AC17" s="224">
        <v>147511.14000000001</v>
      </c>
      <c r="AD17" s="224">
        <v>143592.28599999999</v>
      </c>
      <c r="AE17" s="225">
        <v>2.7291535700000001E-2</v>
      </c>
      <c r="AF17" s="224">
        <v>465333.272</v>
      </c>
      <c r="AG17" s="225">
        <v>8.2928875799999996E-2</v>
      </c>
    </row>
    <row r="18" spans="1:33">
      <c r="A18" s="127" t="s">
        <v>22</v>
      </c>
      <c r="B18" s="224">
        <v>0</v>
      </c>
      <c r="C18" s="224">
        <v>0</v>
      </c>
      <c r="D18" s="225">
        <v>0</v>
      </c>
      <c r="E18" s="224">
        <v>0</v>
      </c>
      <c r="F18" s="224">
        <v>0</v>
      </c>
      <c r="G18" s="225">
        <v>0</v>
      </c>
      <c r="H18" s="224">
        <v>0</v>
      </c>
      <c r="I18" s="225">
        <v>0</v>
      </c>
      <c r="J18" s="224">
        <v>0</v>
      </c>
      <c r="K18" s="224">
        <v>0</v>
      </c>
      <c r="L18" s="225">
        <v>0</v>
      </c>
      <c r="M18" s="224">
        <v>0</v>
      </c>
      <c r="N18" s="224">
        <v>0</v>
      </c>
      <c r="O18" s="225">
        <v>0</v>
      </c>
      <c r="P18" s="224">
        <v>0</v>
      </c>
      <c r="Q18" s="225">
        <v>0</v>
      </c>
      <c r="R18" s="224">
        <v>1581.5540000000001</v>
      </c>
      <c r="S18" s="224">
        <v>216.173</v>
      </c>
      <c r="T18" s="225">
        <v>6.3161495653999999</v>
      </c>
      <c r="U18" s="224">
        <v>4870.241</v>
      </c>
      <c r="V18" s="224">
        <v>1001.3</v>
      </c>
      <c r="W18" s="225">
        <v>3.8639179066999998</v>
      </c>
      <c r="X18" s="224">
        <v>8592.9609999999993</v>
      </c>
      <c r="Y18" s="225">
        <v>2.0581053326999998</v>
      </c>
      <c r="Z18" s="224">
        <v>839.65599999999995</v>
      </c>
      <c r="AA18" s="224">
        <v>1466.7380000000001</v>
      </c>
      <c r="AB18" s="225">
        <v>-0.42753511529999999</v>
      </c>
      <c r="AC18" s="224">
        <v>3524.2869999999998</v>
      </c>
      <c r="AD18" s="224">
        <v>5287.2860000000001</v>
      </c>
      <c r="AE18" s="225">
        <v>-0.33344120220000001</v>
      </c>
      <c r="AF18" s="224">
        <v>11083.155000000001</v>
      </c>
      <c r="AG18" s="225">
        <v>-0.1265970528</v>
      </c>
    </row>
    <row r="19" spans="1:33">
      <c r="A19" s="127" t="s">
        <v>23</v>
      </c>
      <c r="B19" s="224">
        <v>0</v>
      </c>
      <c r="C19" s="224">
        <v>0</v>
      </c>
      <c r="D19" s="225">
        <v>0</v>
      </c>
      <c r="E19" s="224">
        <v>0</v>
      </c>
      <c r="F19" s="224">
        <v>0</v>
      </c>
      <c r="G19" s="225">
        <v>0</v>
      </c>
      <c r="H19" s="224">
        <v>0</v>
      </c>
      <c r="I19" s="225">
        <v>0</v>
      </c>
      <c r="J19" s="224">
        <v>0</v>
      </c>
      <c r="K19" s="224">
        <v>0</v>
      </c>
      <c r="L19" s="225">
        <v>0</v>
      </c>
      <c r="M19" s="224">
        <v>0</v>
      </c>
      <c r="N19" s="224">
        <v>0</v>
      </c>
      <c r="O19" s="225">
        <v>0</v>
      </c>
      <c r="P19" s="224">
        <v>0</v>
      </c>
      <c r="Q19" s="225">
        <v>0</v>
      </c>
      <c r="R19" s="224">
        <v>2626.277</v>
      </c>
      <c r="S19" s="224">
        <v>2443.7060000000001</v>
      </c>
      <c r="T19" s="225">
        <v>7.4710705799999999E-2</v>
      </c>
      <c r="U19" s="224">
        <v>8416.16</v>
      </c>
      <c r="V19" s="224">
        <v>12011.216</v>
      </c>
      <c r="W19" s="225">
        <v>-0.29930824659999999</v>
      </c>
      <c r="X19" s="224">
        <v>34221.504000000001</v>
      </c>
      <c r="Y19" s="225">
        <v>-3.9363885899999999E-2</v>
      </c>
      <c r="Z19" s="224">
        <v>0</v>
      </c>
      <c r="AA19" s="224">
        <v>0</v>
      </c>
      <c r="AB19" s="225">
        <v>0</v>
      </c>
      <c r="AC19" s="224">
        <v>0</v>
      </c>
      <c r="AD19" s="224">
        <v>0</v>
      </c>
      <c r="AE19" s="225">
        <v>0</v>
      </c>
      <c r="AF19" s="224">
        <v>0</v>
      </c>
      <c r="AG19" s="225">
        <v>0</v>
      </c>
    </row>
    <row r="20" spans="1:33">
      <c r="A20" s="127" t="s">
        <v>46</v>
      </c>
      <c r="B20" s="224">
        <v>0</v>
      </c>
      <c r="C20" s="224">
        <v>0</v>
      </c>
      <c r="D20" s="225">
        <v>0</v>
      </c>
      <c r="E20" s="224">
        <v>0</v>
      </c>
      <c r="F20" s="224">
        <v>0</v>
      </c>
      <c r="G20" s="225">
        <v>0</v>
      </c>
      <c r="H20" s="224">
        <v>0</v>
      </c>
      <c r="I20" s="225">
        <v>0</v>
      </c>
      <c r="J20" s="224">
        <v>426.19549999999998</v>
      </c>
      <c r="K20" s="224">
        <v>577.69150000000002</v>
      </c>
      <c r="L20" s="225">
        <v>-0.26224377539999999</v>
      </c>
      <c r="M20" s="224">
        <v>1855.221</v>
      </c>
      <c r="N20" s="224">
        <v>2239.5365000000002</v>
      </c>
      <c r="O20" s="225">
        <v>-0.1716049281</v>
      </c>
      <c r="P20" s="224">
        <v>5786.9430000000002</v>
      </c>
      <c r="Q20" s="225">
        <v>-2.8982319100000001E-2</v>
      </c>
      <c r="R20" s="224">
        <v>15144.128000000001</v>
      </c>
      <c r="S20" s="224">
        <v>12984.986999999999</v>
      </c>
      <c r="T20" s="225">
        <v>0.16627979679999999</v>
      </c>
      <c r="U20" s="224">
        <v>38053.527000000002</v>
      </c>
      <c r="V20" s="224">
        <v>41903.385000000002</v>
      </c>
      <c r="W20" s="225">
        <v>-9.1874630200000001E-2</v>
      </c>
      <c r="X20" s="224">
        <v>132690.65299999999</v>
      </c>
      <c r="Y20" s="225">
        <v>-9.9064080999999998E-2</v>
      </c>
      <c r="Z20" s="224">
        <v>0</v>
      </c>
      <c r="AA20" s="224">
        <v>0</v>
      </c>
      <c r="AB20" s="225">
        <v>0</v>
      </c>
      <c r="AC20" s="224">
        <v>0</v>
      </c>
      <c r="AD20" s="224">
        <v>0</v>
      </c>
      <c r="AE20" s="225">
        <v>0</v>
      </c>
      <c r="AF20" s="224">
        <v>0</v>
      </c>
      <c r="AG20" s="225">
        <v>0</v>
      </c>
    </row>
    <row r="21" spans="1:33">
      <c r="A21" s="127" t="s">
        <v>47</v>
      </c>
      <c r="B21" s="224">
        <v>0</v>
      </c>
      <c r="C21" s="224">
        <v>0</v>
      </c>
      <c r="D21" s="225">
        <v>0</v>
      </c>
      <c r="E21" s="224">
        <v>0</v>
      </c>
      <c r="F21" s="224">
        <v>0</v>
      </c>
      <c r="G21" s="225">
        <v>0</v>
      </c>
      <c r="H21" s="224">
        <v>0</v>
      </c>
      <c r="I21" s="225">
        <v>0</v>
      </c>
      <c r="J21" s="224">
        <v>426.19549999999998</v>
      </c>
      <c r="K21" s="224">
        <v>577.69150000000002</v>
      </c>
      <c r="L21" s="225">
        <v>-0.26224377539999999</v>
      </c>
      <c r="M21" s="224">
        <v>1855.221</v>
      </c>
      <c r="N21" s="224">
        <v>2239.5365000000002</v>
      </c>
      <c r="O21" s="225">
        <v>-0.1716049281</v>
      </c>
      <c r="P21" s="224">
        <v>5786.9430000000002</v>
      </c>
      <c r="Q21" s="225">
        <v>-2.8982319100000001E-2</v>
      </c>
      <c r="R21" s="224">
        <v>15144.128000000001</v>
      </c>
      <c r="S21" s="224">
        <v>12984.986999999999</v>
      </c>
      <c r="T21" s="225">
        <v>0.16627979679999999</v>
      </c>
      <c r="U21" s="224">
        <v>38053.527000000002</v>
      </c>
      <c r="V21" s="224">
        <v>41903.385000000002</v>
      </c>
      <c r="W21" s="225">
        <v>-9.1874630200000001E-2</v>
      </c>
      <c r="X21" s="224">
        <v>132690.65299999999</v>
      </c>
      <c r="Y21" s="225">
        <v>-9.9064080999999998E-2</v>
      </c>
      <c r="Z21" s="224">
        <v>0</v>
      </c>
      <c r="AA21" s="224">
        <v>0</v>
      </c>
      <c r="AB21" s="225">
        <v>0</v>
      </c>
      <c r="AC21" s="224">
        <v>0</v>
      </c>
      <c r="AD21" s="224">
        <v>0</v>
      </c>
      <c r="AE21" s="225">
        <v>0</v>
      </c>
      <c r="AF21" s="224">
        <v>0</v>
      </c>
      <c r="AG21" s="225">
        <v>0</v>
      </c>
    </row>
    <row r="22" spans="1:33">
      <c r="A22" s="131" t="s">
        <v>2</v>
      </c>
      <c r="B22" s="226">
        <v>14359.009</v>
      </c>
      <c r="C22" s="226">
        <v>14961.291999999999</v>
      </c>
      <c r="D22" s="227">
        <v>-4.0256082200000001E-2</v>
      </c>
      <c r="E22" s="226">
        <v>64584.040999999997</v>
      </c>
      <c r="F22" s="226">
        <v>64547.398000000001</v>
      </c>
      <c r="G22" s="227">
        <v>5.6769139999999997E-4</v>
      </c>
      <c r="H22" s="226">
        <v>206196.57500000001</v>
      </c>
      <c r="I22" s="227">
        <v>3.17800076E-2</v>
      </c>
      <c r="J22" s="226">
        <v>16760.776000000002</v>
      </c>
      <c r="K22" s="226">
        <v>15892.477999999999</v>
      </c>
      <c r="L22" s="227">
        <v>5.4635784299999997E-2</v>
      </c>
      <c r="M22" s="226">
        <v>71150.683999999994</v>
      </c>
      <c r="N22" s="226">
        <v>68034.796000000002</v>
      </c>
      <c r="O22" s="227">
        <v>4.5798446999999999E-2</v>
      </c>
      <c r="P22" s="226">
        <v>230463.70800000001</v>
      </c>
      <c r="Q22" s="227">
        <v>5.0902042299999999E-2</v>
      </c>
      <c r="R22" s="226">
        <v>342294.84100000001</v>
      </c>
      <c r="S22" s="226">
        <v>343173.092</v>
      </c>
      <c r="T22" s="227">
        <v>-2.5592071E-3</v>
      </c>
      <c r="U22" s="226">
        <v>1363658.0530000001</v>
      </c>
      <c r="V22" s="226">
        <v>1387398.723</v>
      </c>
      <c r="W22" s="227">
        <v>-1.7111641800000001E-2</v>
      </c>
      <c r="X22" s="226">
        <v>4760340.7939999998</v>
      </c>
      <c r="Y22" s="227">
        <v>3.3830719799999999E-2</v>
      </c>
      <c r="Z22" s="226">
        <v>704218.66</v>
      </c>
      <c r="AA22" s="226">
        <v>697356.80700000003</v>
      </c>
      <c r="AB22" s="227">
        <v>9.8398020999999995E-3</v>
      </c>
      <c r="AC22" s="226">
        <v>2900840.2319999998</v>
      </c>
      <c r="AD22" s="226">
        <v>2868347.798</v>
      </c>
      <c r="AE22" s="227">
        <v>1.1327926800000001E-2</v>
      </c>
      <c r="AF22" s="226">
        <v>9015953.6490000002</v>
      </c>
      <c r="AG22" s="227">
        <v>1.6112174100000001E-2</v>
      </c>
    </row>
    <row r="23" spans="1:33">
      <c r="A23" s="127" t="s">
        <v>95</v>
      </c>
      <c r="B23" s="224">
        <v>0</v>
      </c>
      <c r="C23" s="224">
        <v>0</v>
      </c>
      <c r="D23" s="225">
        <v>0</v>
      </c>
      <c r="E23" s="224">
        <v>0</v>
      </c>
      <c r="F23" s="224">
        <v>0</v>
      </c>
      <c r="G23" s="225">
        <v>0</v>
      </c>
      <c r="H23" s="224">
        <v>0</v>
      </c>
      <c r="I23" s="225">
        <v>0</v>
      </c>
      <c r="J23" s="224">
        <v>0</v>
      </c>
      <c r="K23" s="224">
        <v>0</v>
      </c>
      <c r="L23" s="225">
        <v>0</v>
      </c>
      <c r="M23" s="224">
        <v>0</v>
      </c>
      <c r="N23" s="224">
        <v>0</v>
      </c>
      <c r="O23" s="225">
        <v>0</v>
      </c>
      <c r="P23" s="224">
        <v>0</v>
      </c>
      <c r="Q23" s="225">
        <v>0</v>
      </c>
      <c r="R23" s="224">
        <v>0</v>
      </c>
      <c r="S23" s="224">
        <v>0.98099999999999998</v>
      </c>
      <c r="T23" s="225">
        <v>-1</v>
      </c>
      <c r="U23" s="224">
        <v>0</v>
      </c>
      <c r="V23" s="224">
        <v>17.073</v>
      </c>
      <c r="W23" s="225">
        <v>-1</v>
      </c>
      <c r="X23" s="224">
        <v>72.418000000000006</v>
      </c>
      <c r="Y23" s="225">
        <v>-0.53317260580000003</v>
      </c>
      <c r="Z23" s="224">
        <v>0</v>
      </c>
      <c r="AA23" s="224">
        <v>0</v>
      </c>
      <c r="AB23" s="225">
        <v>0</v>
      </c>
      <c r="AC23" s="224">
        <v>37.061999999999998</v>
      </c>
      <c r="AD23" s="224">
        <v>0</v>
      </c>
      <c r="AE23" s="225">
        <v>0</v>
      </c>
      <c r="AF23" s="224">
        <v>43.375999999999998</v>
      </c>
      <c r="AG23" s="225">
        <v>0</v>
      </c>
    </row>
    <row r="24" spans="1:33">
      <c r="A24" s="127" t="s">
        <v>96</v>
      </c>
      <c r="B24" s="224">
        <v>0</v>
      </c>
      <c r="C24" s="224">
        <v>0</v>
      </c>
      <c r="D24" s="225">
        <v>0</v>
      </c>
      <c r="E24" s="224">
        <v>0</v>
      </c>
      <c r="F24" s="224">
        <v>0</v>
      </c>
      <c r="G24" s="225">
        <v>0</v>
      </c>
      <c r="H24" s="224">
        <v>0</v>
      </c>
      <c r="I24" s="225">
        <v>0</v>
      </c>
      <c r="J24" s="224">
        <v>0</v>
      </c>
      <c r="K24" s="224">
        <v>0</v>
      </c>
      <c r="L24" s="225">
        <v>0</v>
      </c>
      <c r="M24" s="224">
        <v>0</v>
      </c>
      <c r="N24" s="224">
        <v>0</v>
      </c>
      <c r="O24" s="225">
        <v>0</v>
      </c>
      <c r="P24" s="224">
        <v>0</v>
      </c>
      <c r="Q24" s="225">
        <v>0</v>
      </c>
      <c r="R24" s="224">
        <v>0</v>
      </c>
      <c r="S24" s="224">
        <v>-6.423</v>
      </c>
      <c r="T24" s="225">
        <v>-1</v>
      </c>
      <c r="U24" s="224">
        <v>-0.38700000000000001</v>
      </c>
      <c r="V24" s="224">
        <v>-52.652000000000001</v>
      </c>
      <c r="W24" s="225">
        <v>-0.99264985189999999</v>
      </c>
      <c r="X24" s="224">
        <v>-206.834</v>
      </c>
      <c r="Y24" s="225">
        <v>-0.48808533809999999</v>
      </c>
      <c r="Z24" s="224">
        <v>-22.315000000000001</v>
      </c>
      <c r="AA24" s="224">
        <v>0</v>
      </c>
      <c r="AB24" s="225">
        <v>0</v>
      </c>
      <c r="AC24" s="224">
        <v>-105.925</v>
      </c>
      <c r="AD24" s="224">
        <v>0</v>
      </c>
      <c r="AE24" s="225">
        <v>0</v>
      </c>
      <c r="AF24" s="224">
        <v>-167.81899999999999</v>
      </c>
      <c r="AG24" s="225">
        <v>0</v>
      </c>
    </row>
    <row r="25" spans="1:33">
      <c r="A25" s="127" t="s">
        <v>21</v>
      </c>
      <c r="B25" s="224">
        <v>0</v>
      </c>
      <c r="C25" s="224">
        <v>0</v>
      </c>
      <c r="D25" s="225">
        <v>0</v>
      </c>
      <c r="E25" s="224">
        <v>0</v>
      </c>
      <c r="F25" s="224">
        <v>0</v>
      </c>
      <c r="G25" s="225">
        <v>0</v>
      </c>
      <c r="H25" s="224">
        <v>0</v>
      </c>
      <c r="I25" s="225">
        <v>0</v>
      </c>
      <c r="J25" s="224">
        <v>0</v>
      </c>
      <c r="K25" s="224">
        <v>0</v>
      </c>
      <c r="L25" s="225">
        <v>0</v>
      </c>
      <c r="M25" s="224">
        <v>0</v>
      </c>
      <c r="N25" s="224">
        <v>0</v>
      </c>
      <c r="O25" s="225">
        <v>0</v>
      </c>
      <c r="P25" s="224">
        <v>0</v>
      </c>
      <c r="Q25" s="225">
        <v>0</v>
      </c>
      <c r="R25" s="224">
        <v>97533.115999999995</v>
      </c>
      <c r="S25" s="224">
        <v>85306.769</v>
      </c>
      <c r="T25" s="225">
        <v>0.14332212020000001</v>
      </c>
      <c r="U25" s="224">
        <v>443594.14600000001</v>
      </c>
      <c r="V25" s="224">
        <v>374766.16600000003</v>
      </c>
      <c r="W25" s="225">
        <v>0.1836557999</v>
      </c>
      <c r="X25" s="224">
        <v>1604666.2949999999</v>
      </c>
      <c r="Y25" s="225">
        <v>7.1893005900000001E-2</v>
      </c>
      <c r="Z25" s="224">
        <v>0</v>
      </c>
      <c r="AA25" s="224">
        <v>0</v>
      </c>
      <c r="AB25" s="225">
        <v>0</v>
      </c>
      <c r="AC25" s="224">
        <v>0</v>
      </c>
      <c r="AD25" s="224">
        <v>0</v>
      </c>
      <c r="AE25" s="225">
        <v>0</v>
      </c>
      <c r="AF25" s="224">
        <v>0</v>
      </c>
      <c r="AG25" s="225">
        <v>0</v>
      </c>
    </row>
    <row r="26" spans="1:33">
      <c r="A26" s="131" t="s">
        <v>70</v>
      </c>
      <c r="B26" s="226">
        <v>14359.009</v>
      </c>
      <c r="C26" s="226">
        <v>14961.291999999999</v>
      </c>
      <c r="D26" s="227">
        <v>-4.0256082200000001E-2</v>
      </c>
      <c r="E26" s="226">
        <v>64584.040999999997</v>
      </c>
      <c r="F26" s="226">
        <v>64547.398000000001</v>
      </c>
      <c r="G26" s="227">
        <v>5.6769139999999997E-4</v>
      </c>
      <c r="H26" s="226">
        <v>206196.57500000001</v>
      </c>
      <c r="I26" s="227">
        <v>3.17800076E-2</v>
      </c>
      <c r="J26" s="226">
        <v>16760.776000000002</v>
      </c>
      <c r="K26" s="226">
        <v>15892.477999999999</v>
      </c>
      <c r="L26" s="227">
        <v>5.4635784299999997E-2</v>
      </c>
      <c r="M26" s="226">
        <v>71150.683999999994</v>
      </c>
      <c r="N26" s="226">
        <v>68034.796000000002</v>
      </c>
      <c r="O26" s="227">
        <v>4.5798446999999999E-2</v>
      </c>
      <c r="P26" s="226">
        <v>230463.70800000001</v>
      </c>
      <c r="Q26" s="227">
        <v>5.0902042299999999E-2</v>
      </c>
      <c r="R26" s="226">
        <v>439827.95699999999</v>
      </c>
      <c r="S26" s="226">
        <v>428474.41899999999</v>
      </c>
      <c r="T26" s="227">
        <v>2.64975865E-2</v>
      </c>
      <c r="U26" s="226">
        <v>1807251.8119999999</v>
      </c>
      <c r="V26" s="226">
        <v>1762129.31</v>
      </c>
      <c r="W26" s="227">
        <v>2.5606805199999999E-2</v>
      </c>
      <c r="X26" s="226">
        <v>6364872.6730000004</v>
      </c>
      <c r="Y26" s="227">
        <v>4.31898966E-2</v>
      </c>
      <c r="Z26" s="226">
        <v>704196.34499999997</v>
      </c>
      <c r="AA26" s="226">
        <v>697356.80700000003</v>
      </c>
      <c r="AB26" s="227">
        <v>9.8078026999999998E-3</v>
      </c>
      <c r="AC26" s="226">
        <v>2900771.3689999999</v>
      </c>
      <c r="AD26" s="226">
        <v>2868347.798</v>
      </c>
      <c r="AE26" s="227">
        <v>1.1303918899999999E-2</v>
      </c>
      <c r="AF26" s="226">
        <v>9015829.2060000002</v>
      </c>
      <c r="AG26" s="227">
        <v>1.60981491E-2</v>
      </c>
    </row>
    <row r="27" spans="1:33" ht="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R28" s="201"/>
      <c r="S28" s="201"/>
    </row>
    <row r="29" spans="1:33" ht="15">
      <c r="A29" s="128" t="s">
        <v>59</v>
      </c>
      <c r="B29" s="278" t="str">
        <f>A2</f>
        <v>Abril 2026</v>
      </c>
      <c r="C29" s="279"/>
    </row>
    <row r="30" spans="1:33" ht="15">
      <c r="A30" s="128" t="s">
        <v>61</v>
      </c>
      <c r="B30" s="275" t="s">
        <v>64</v>
      </c>
      <c r="C30" s="276"/>
    </row>
    <row r="31" spans="1:33">
      <c r="A31" s="126" t="s">
        <v>60</v>
      </c>
      <c r="B31" s="153" t="s">
        <v>49</v>
      </c>
      <c r="C31" s="153" t="s">
        <v>50</v>
      </c>
    </row>
    <row r="32" spans="1:33">
      <c r="A32" s="128" t="s">
        <v>62</v>
      </c>
      <c r="B32" s="129"/>
      <c r="C32" s="129"/>
    </row>
    <row r="33" spans="1:6">
      <c r="A33" s="127" t="s">
        <v>12</v>
      </c>
      <c r="B33" s="157"/>
      <c r="C33" s="157">
        <v>0.76300000000000001</v>
      </c>
    </row>
    <row r="34" spans="1:6">
      <c r="A34" s="127" t="s">
        <v>11</v>
      </c>
      <c r="B34" s="157">
        <v>241.2</v>
      </c>
      <c r="C34" s="157"/>
    </row>
    <row r="35" spans="1:6">
      <c r="A35" s="127" t="s">
        <v>69</v>
      </c>
      <c r="B35" s="157">
        <v>139.4</v>
      </c>
      <c r="C35" s="157">
        <v>487.64</v>
      </c>
    </row>
    <row r="36" spans="1:6">
      <c r="A36" s="127" t="s">
        <v>9</v>
      </c>
      <c r="B36" s="157">
        <v>591.6</v>
      </c>
      <c r="C36" s="157">
        <v>520.75</v>
      </c>
    </row>
    <row r="37" spans="1:6">
      <c r="A37" s="127" t="s">
        <v>8</v>
      </c>
      <c r="B37" s="157"/>
      <c r="C37" s="157">
        <v>482.64</v>
      </c>
    </row>
    <row r="38" spans="1:6">
      <c r="A38" s="127" t="s">
        <v>25</v>
      </c>
      <c r="B38" s="157">
        <v>822.9</v>
      </c>
      <c r="C38" s="157">
        <v>865.4</v>
      </c>
    </row>
    <row r="39" spans="1:6">
      <c r="A39" s="127" t="s">
        <v>24</v>
      </c>
      <c r="B39" s="157"/>
      <c r="C39" s="157"/>
    </row>
    <row r="40" spans="1:6">
      <c r="A40" s="127" t="s">
        <v>6</v>
      </c>
      <c r="B40" s="157"/>
      <c r="C40" s="157">
        <v>11.32</v>
      </c>
    </row>
    <row r="41" spans="1:6">
      <c r="A41" s="127" t="s">
        <v>5</v>
      </c>
      <c r="B41" s="157">
        <v>3.5575000000000001</v>
      </c>
      <c r="C41" s="157">
        <v>677.43499999999995</v>
      </c>
      <c r="D41" s="156"/>
    </row>
    <row r="42" spans="1:6">
      <c r="A42" s="127" t="s">
        <v>4</v>
      </c>
      <c r="B42" s="157">
        <v>422.17309499999999</v>
      </c>
      <c r="C42" s="157">
        <v>343.62493499999999</v>
      </c>
      <c r="D42" s="156"/>
    </row>
    <row r="43" spans="1:6">
      <c r="A43" s="127" t="s">
        <v>22</v>
      </c>
      <c r="B43" s="157">
        <v>7.9160000000000004</v>
      </c>
      <c r="C43" s="157">
        <v>8.8059999999999992</v>
      </c>
    </row>
    <row r="44" spans="1:6">
      <c r="A44" s="127" t="s">
        <v>23</v>
      </c>
      <c r="B44" s="157">
        <v>10.523</v>
      </c>
      <c r="C44" s="157">
        <v>38.200000000000003</v>
      </c>
    </row>
    <row r="45" spans="1:6">
      <c r="A45" s="127" t="s">
        <v>46</v>
      </c>
      <c r="B45" s="157">
        <v>37.4</v>
      </c>
      <c r="C45" s="157"/>
    </row>
    <row r="46" spans="1:6">
      <c r="A46" s="127" t="s">
        <v>47</v>
      </c>
      <c r="B46" s="157">
        <v>37.4</v>
      </c>
      <c r="C46" s="157"/>
    </row>
    <row r="47" spans="1:6" ht="15">
      <c r="A47" s="127" t="s">
        <v>121</v>
      </c>
      <c r="B47" s="99">
        <v>1.2</v>
      </c>
      <c r="C47" s="99">
        <v>5.08</v>
      </c>
      <c r="D47" s="202">
        <f>+C47</f>
        <v>5.08</v>
      </c>
      <c r="E47" s="99" t="str">
        <f>CONCATENATE(A47," ",TEXT(C47,"0,0")," MW")</f>
        <v>Baterías 5,1 MW</v>
      </c>
      <c r="F47" s="172">
        <f>+D47/C47</f>
        <v>1</v>
      </c>
    </row>
    <row r="48" spans="1:6" ht="15">
      <c r="A48" s="131" t="s">
        <v>2</v>
      </c>
      <c r="B48" s="158">
        <f>SUM(B33:B47)</f>
        <v>2315.2695950000002</v>
      </c>
      <c r="C48" s="158">
        <f>SUM(C33:C47)</f>
        <v>3441.6589349999999</v>
      </c>
      <c r="D48" s="202">
        <f>+B47</f>
        <v>1.2</v>
      </c>
      <c r="E48" s="99" t="str">
        <f>CONCATENATE(A47," ",TEXT(B47,"0,0")," MW")</f>
        <v>Baterías 1,2 MW</v>
      </c>
      <c r="F48" s="172">
        <f>+D48/B47</f>
        <v>1</v>
      </c>
    </row>
    <row r="49" spans="1:12" ht="15">
      <c r="A49"/>
      <c r="B49"/>
      <c r="C49"/>
    </row>
    <row r="50" spans="1:12">
      <c r="A50" s="97" t="s">
        <v>28</v>
      </c>
      <c r="B50" s="98"/>
      <c r="C50" s="98"/>
      <c r="F50" s="97" t="s">
        <v>29</v>
      </c>
      <c r="G50" s="98"/>
      <c r="H50" s="98"/>
    </row>
    <row r="51" spans="1:12">
      <c r="A51" s="100"/>
      <c r="B51" s="101" t="s">
        <v>27</v>
      </c>
      <c r="C51" s="101" t="s">
        <v>26</v>
      </c>
      <c r="F51" s="100"/>
      <c r="G51" s="101" t="s">
        <v>27</v>
      </c>
      <c r="H51" s="101" t="s">
        <v>26</v>
      </c>
      <c r="J51" s="175"/>
      <c r="K51" s="176" t="s">
        <v>113</v>
      </c>
      <c r="L51" s="176" t="s">
        <v>114</v>
      </c>
    </row>
    <row r="52" spans="1:12">
      <c r="A52" s="102" t="s">
        <v>11</v>
      </c>
      <c r="B52" s="103">
        <f>B34</f>
        <v>241.2</v>
      </c>
      <c r="C52" s="104">
        <f t="shared" ref="C52:C57" si="0">B52/$B$63*100</f>
        <v>10.423195591055679</v>
      </c>
      <c r="D52" s="155"/>
      <c r="F52" s="102" t="s">
        <v>10</v>
      </c>
      <c r="G52" s="103">
        <f>C35</f>
        <v>487.64</v>
      </c>
      <c r="H52" s="104">
        <f>G52/$G$62*100</f>
        <v>14.189692983146918</v>
      </c>
      <c r="J52" s="174" t="s">
        <v>111</v>
      </c>
      <c r="K52" s="177">
        <f>SUM(C52:C58)</f>
        <v>79.644233863243002</v>
      </c>
      <c r="L52" s="177">
        <f>SUM(H52:H56)</f>
        <v>69.68063429627</v>
      </c>
    </row>
    <row r="53" spans="1:12">
      <c r="A53" s="102" t="s">
        <v>10</v>
      </c>
      <c r="B53" s="103">
        <f t="shared" ref="B53:B54" si="1">B35</f>
        <v>139.4</v>
      </c>
      <c r="C53" s="104">
        <f t="shared" si="0"/>
        <v>6.024019342426044</v>
      </c>
      <c r="D53" s="155"/>
      <c r="F53" s="102" t="s">
        <v>9</v>
      </c>
      <c r="G53" s="103">
        <f>C36</f>
        <v>520.75</v>
      </c>
      <c r="H53" s="104">
        <f t="shared" ref="H53:H61" si="2">G53/$G$62*100</f>
        <v>15.153151138080872</v>
      </c>
      <c r="J53" s="178" t="s">
        <v>112</v>
      </c>
      <c r="K53" s="179">
        <f>SUM(C59:C62)</f>
        <v>20.355766136757005</v>
      </c>
      <c r="L53" s="179">
        <f>SUM(H57:H61)</f>
        <v>30.319365703730011</v>
      </c>
    </row>
    <row r="54" spans="1:12">
      <c r="A54" s="102" t="s">
        <v>9</v>
      </c>
      <c r="B54" s="103">
        <f t="shared" si="1"/>
        <v>591.6</v>
      </c>
      <c r="C54" s="104">
        <f t="shared" si="0"/>
        <v>25.565350380051989</v>
      </c>
      <c r="D54" s="155"/>
      <c r="F54" s="102" t="s">
        <v>8</v>
      </c>
      <c r="G54" s="103">
        <f>C37</f>
        <v>482.64</v>
      </c>
      <c r="H54" s="104">
        <f t="shared" si="2"/>
        <v>14.044199453256558</v>
      </c>
    </row>
    <row r="55" spans="1:12">
      <c r="A55" s="102" t="s">
        <v>25</v>
      </c>
      <c r="B55" s="103">
        <f>B38</f>
        <v>822.9</v>
      </c>
      <c r="C55" s="104">
        <f t="shared" si="0"/>
        <v>35.560728241624041</v>
      </c>
      <c r="D55" s="155"/>
      <c r="F55" s="102" t="s">
        <v>25</v>
      </c>
      <c r="G55" s="103">
        <f>C38</f>
        <v>865.4</v>
      </c>
      <c r="H55" s="104">
        <f t="shared" si="2"/>
        <v>25.182020153423306</v>
      </c>
    </row>
    <row r="56" spans="1:12">
      <c r="A56" s="102" t="s">
        <v>24</v>
      </c>
      <c r="B56" s="103">
        <f>B39</f>
        <v>0</v>
      </c>
      <c r="C56" s="104">
        <f t="shared" si="0"/>
        <v>0</v>
      </c>
      <c r="D56" s="155"/>
      <c r="F56" s="102" t="s">
        <v>23</v>
      </c>
      <c r="G56" s="103">
        <f>C44</f>
        <v>38.200000000000003</v>
      </c>
      <c r="H56" s="104">
        <f t="shared" si="2"/>
        <v>1.1115705683623416</v>
      </c>
    </row>
    <row r="57" spans="1:12">
      <c r="A57" s="102" t="s">
        <v>23</v>
      </c>
      <c r="B57" s="103">
        <f>B44</f>
        <v>10.523</v>
      </c>
      <c r="C57" s="104">
        <f t="shared" si="0"/>
        <v>0.45473999670264892</v>
      </c>
      <c r="D57" s="155"/>
      <c r="F57" s="102" t="s">
        <v>12</v>
      </c>
      <c r="G57" s="104">
        <f>C33</f>
        <v>0.76300000000000001</v>
      </c>
      <c r="H57" s="104">
        <f t="shared" si="2"/>
        <v>2.220231266126876E-2</v>
      </c>
    </row>
    <row r="58" spans="1:12">
      <c r="A58" s="102" t="s">
        <v>47</v>
      </c>
      <c r="B58" s="103">
        <f>B46</f>
        <v>37.4</v>
      </c>
      <c r="C58" s="104">
        <f t="shared" ref="C58:C61" si="3">B58/$B$63*100</f>
        <v>1.6162003113825971</v>
      </c>
      <c r="D58" s="155"/>
      <c r="F58" s="102" t="s">
        <v>6</v>
      </c>
      <c r="G58" s="103">
        <f>C40</f>
        <v>11.32</v>
      </c>
      <c r="H58" s="104">
        <f t="shared" si="2"/>
        <v>0.32939735167177242</v>
      </c>
    </row>
    <row r="59" spans="1:12">
      <c r="A59" s="102" t="s">
        <v>46</v>
      </c>
      <c r="B59" s="103">
        <f>B45</f>
        <v>37.4</v>
      </c>
      <c r="C59" s="104">
        <f t="shared" si="3"/>
        <v>1.6162003113825971</v>
      </c>
      <c r="D59" s="155"/>
      <c r="F59" s="102" t="s">
        <v>5</v>
      </c>
      <c r="G59" s="103">
        <f>C41</f>
        <v>677.43499999999995</v>
      </c>
      <c r="H59" s="104">
        <f t="shared" si="2"/>
        <v>19.712481884255048</v>
      </c>
    </row>
    <row r="60" spans="1:12" ht="10.15" customHeight="1">
      <c r="A60" s="102" t="s">
        <v>5</v>
      </c>
      <c r="B60" s="103">
        <f>B41</f>
        <v>3.5575000000000001</v>
      </c>
      <c r="C60" s="104">
        <f>B60/$B$63*100</f>
        <v>0.15373349218565746</v>
      </c>
      <c r="D60" s="155"/>
      <c r="F60" s="102" t="s">
        <v>4</v>
      </c>
      <c r="G60" s="103">
        <f>C42</f>
        <v>343.62493499999999</v>
      </c>
      <c r="H60" s="104">
        <f t="shared" si="2"/>
        <v>9.9990409502990243</v>
      </c>
    </row>
    <row r="61" spans="1:12">
      <c r="A61" s="102" t="s">
        <v>4</v>
      </c>
      <c r="B61" s="103">
        <f>B42</f>
        <v>422.17309499999999</v>
      </c>
      <c r="C61" s="104">
        <f t="shared" si="3"/>
        <v>18.243751005250125</v>
      </c>
      <c r="D61" s="155"/>
      <c r="F61" s="102" t="s">
        <v>22</v>
      </c>
      <c r="G61" s="103">
        <f>C43</f>
        <v>8.8059999999999992</v>
      </c>
      <c r="H61" s="104">
        <f t="shared" si="2"/>
        <v>0.25624320484289997</v>
      </c>
    </row>
    <row r="62" spans="1:12">
      <c r="A62" s="102" t="s">
        <v>22</v>
      </c>
      <c r="B62" s="103">
        <f>B43</f>
        <v>7.9160000000000004</v>
      </c>
      <c r="C62" s="104">
        <f>B62/$B$63*100</f>
        <v>0.34208132793862672</v>
      </c>
      <c r="D62" s="155"/>
      <c r="F62" s="105" t="s">
        <v>20</v>
      </c>
      <c r="G62" s="106">
        <f>SUM(G52:G61)</f>
        <v>3436.5789349999995</v>
      </c>
      <c r="H62" s="107">
        <f>SUM(H52:H61)</f>
        <v>100.00000000000001</v>
      </c>
    </row>
    <row r="63" spans="1:12">
      <c r="A63" s="105" t="s">
        <v>20</v>
      </c>
      <c r="B63" s="106">
        <f>SUM(B52:B62)</f>
        <v>2314.0695949999999</v>
      </c>
      <c r="C63" s="107">
        <f>SUM(C52:C62)</f>
        <v>100.00000000000001</v>
      </c>
    </row>
    <row r="66" spans="1:15">
      <c r="A66" s="97" t="s">
        <v>103</v>
      </c>
      <c r="B66" s="98"/>
      <c r="F66" s="97" t="s">
        <v>104</v>
      </c>
      <c r="G66" s="98"/>
    </row>
    <row r="67" spans="1:15">
      <c r="A67" s="100"/>
      <c r="B67" s="101" t="s">
        <v>106</v>
      </c>
      <c r="C67" s="101" t="s">
        <v>105</v>
      </c>
      <c r="D67" s="101" t="s">
        <v>93</v>
      </c>
      <c r="F67" s="100"/>
      <c r="G67" s="101" t="s">
        <v>26</v>
      </c>
      <c r="H67" s="101" t="s">
        <v>93</v>
      </c>
      <c r="J67" s="175"/>
      <c r="K67" s="176" t="s">
        <v>113</v>
      </c>
      <c r="L67" s="176" t="s">
        <v>114</v>
      </c>
    </row>
    <row r="68" spans="1:15">
      <c r="A68" s="102" t="s">
        <v>11</v>
      </c>
      <c r="B68" s="104">
        <f t="shared" ref="B68:B79" si="4">D68/$D$80*100</f>
        <v>0</v>
      </c>
      <c r="C68" s="104">
        <f>(D68/SUM($D$68:$D$78))*100</f>
        <v>0</v>
      </c>
      <c r="D68" s="103">
        <f>IF(R9&lt;0,0,R9)</f>
        <v>0</v>
      </c>
      <c r="F68" s="102" t="s">
        <v>10</v>
      </c>
      <c r="G68" s="104">
        <f>SUM(Z10,Z14)/Z$22*100</f>
        <v>21.785400148300528</v>
      </c>
      <c r="H68" s="104"/>
      <c r="J68" s="174" t="s">
        <v>111</v>
      </c>
      <c r="K68" s="177">
        <f>SUM(C68:C74)</f>
        <v>77.955069442603715</v>
      </c>
      <c r="L68" s="177">
        <f>SUM(G68:G72)</f>
        <v>82.263159996356819</v>
      </c>
    </row>
    <row r="69" spans="1:15">
      <c r="A69" s="102" t="s">
        <v>10</v>
      </c>
      <c r="B69" s="104">
        <f t="shared" si="4"/>
        <v>1.9597662819782962</v>
      </c>
      <c r="C69" s="104">
        <f>(D69/SUM($D$68:$D$78))*100</f>
        <v>2.5181799336554995</v>
      </c>
      <c r="D69" s="103">
        <f>R10</f>
        <v>8619.6</v>
      </c>
      <c r="F69" s="102" t="s">
        <v>9</v>
      </c>
      <c r="G69" s="104">
        <f>Z11/Z$22*100</f>
        <v>4.9261071838113457</v>
      </c>
      <c r="H69" s="104"/>
      <c r="J69" s="178" t="s">
        <v>112</v>
      </c>
      <c r="K69" s="179">
        <f>SUM(C75:C78)</f>
        <v>22.04493055739627</v>
      </c>
      <c r="L69" s="179">
        <f>SUM(G73:G77)</f>
        <v>17.736840003643184</v>
      </c>
    </row>
    <row r="70" spans="1:15">
      <c r="A70" s="102" t="s">
        <v>9</v>
      </c>
      <c r="B70" s="104">
        <f t="shared" si="4"/>
        <v>5.1428147392640611</v>
      </c>
      <c r="C70" s="104">
        <f>(D70/SUM($D$68:$D$78))*100</f>
        <v>6.6082027219335151</v>
      </c>
      <c r="D70" s="103">
        <f>R11</f>
        <v>22619.537</v>
      </c>
      <c r="F70" s="102" t="s">
        <v>8</v>
      </c>
      <c r="G70" s="104">
        <f>Z12/Z$22*100</f>
        <v>15.125079474605229</v>
      </c>
      <c r="H70" s="104"/>
    </row>
    <row r="71" spans="1:15">
      <c r="A71" s="102" t="s">
        <v>25</v>
      </c>
      <c r="B71" s="104">
        <f t="shared" si="4"/>
        <v>49.525419094721158</v>
      </c>
      <c r="C71" s="104">
        <f>(D71/SUM($D$68:$D$78))*100</f>
        <v>63.63713761026272</v>
      </c>
      <c r="D71" s="103">
        <f>R13</f>
        <v>217826.639</v>
      </c>
      <c r="F71" s="102" t="s">
        <v>25</v>
      </c>
      <c r="G71" s="104">
        <f>Z13/Z$22*100</f>
        <v>40.426573189639711</v>
      </c>
      <c r="H71" s="104"/>
      <c r="J71" s="214" t="s">
        <v>129</v>
      </c>
    </row>
    <row r="72" spans="1:15">
      <c r="A72" s="102" t="s">
        <v>24</v>
      </c>
      <c r="B72" s="104">
        <f t="shared" si="4"/>
        <v>0</v>
      </c>
      <c r="C72" s="104"/>
      <c r="D72" s="103">
        <f>R14</f>
        <v>0</v>
      </c>
      <c r="F72" s="102" t="s">
        <v>23</v>
      </c>
      <c r="G72" s="104">
        <f>Z19/Z$22*100</f>
        <v>0</v>
      </c>
      <c r="H72" s="104"/>
      <c r="J72" s="101"/>
      <c r="K72" s="101" t="s">
        <v>105</v>
      </c>
      <c r="L72" s="101" t="s">
        <v>93</v>
      </c>
    </row>
    <row r="73" spans="1:15" ht="12.75">
      <c r="A73" s="102" t="s">
        <v>23</v>
      </c>
      <c r="B73" s="104">
        <f t="shared" si="4"/>
        <v>0.59711461224826134</v>
      </c>
      <c r="C73" s="104">
        <f t="shared" ref="C73:C77" si="5">(D73/SUM($D$68:$D$78))*100</f>
        <v>0.76725579396038857</v>
      </c>
      <c r="D73" s="103">
        <f>R19</f>
        <v>2626.277</v>
      </c>
      <c r="F73" s="102" t="s">
        <v>12</v>
      </c>
      <c r="G73" s="104">
        <f>Z8/Z$22*100</f>
        <v>0</v>
      </c>
      <c r="H73" s="104"/>
      <c r="J73" s="213" t="s">
        <v>128</v>
      </c>
      <c r="K73" s="218">
        <f>IF(L73=0,0,L73/L73)</f>
        <v>0</v>
      </c>
      <c r="L73" s="216">
        <f>R23</f>
        <v>0</v>
      </c>
      <c r="M73" s="215" t="str">
        <f>CONCATENATE(J73," ",TEXT(L73,"0,00")," MWh")</f>
        <v>Entrega baterías 0,00 MWh</v>
      </c>
      <c r="N73" s="217">
        <f>1-K73</f>
        <v>1</v>
      </c>
      <c r="O73" s="223">
        <f>1-N73</f>
        <v>0</v>
      </c>
    </row>
    <row r="74" spans="1:15" ht="12.75">
      <c r="A74" s="102" t="s">
        <v>47</v>
      </c>
      <c r="B74" s="104">
        <f t="shared" si="4"/>
        <v>3.4431935848952864</v>
      </c>
      <c r="C74" s="104">
        <f t="shared" si="5"/>
        <v>4.4242933827915909</v>
      </c>
      <c r="D74" s="103">
        <f>R21</f>
        <v>15144.128000000001</v>
      </c>
      <c r="F74" s="102" t="s">
        <v>6</v>
      </c>
      <c r="G74" s="104">
        <f>Z15/Z$22*100</f>
        <v>0.20765070326310298</v>
      </c>
      <c r="H74" s="104"/>
      <c r="J74" s="213" t="s">
        <v>132</v>
      </c>
      <c r="K74" s="218">
        <f>IF(L74=0,0,L74/L74)</f>
        <v>0</v>
      </c>
      <c r="L74" s="216">
        <f>R24</f>
        <v>0</v>
      </c>
      <c r="M74" s="215" t="str">
        <f>CONCATENATE(J74," ",TEXT(L74,"0,00")," MWh")</f>
        <v>Carga baterías 0,00 MWh</v>
      </c>
      <c r="N74" s="217">
        <f>1-K74</f>
        <v>1</v>
      </c>
      <c r="O74" s="223">
        <f>1-N74</f>
        <v>0</v>
      </c>
    </row>
    <row r="75" spans="1:15">
      <c r="A75" s="102" t="s">
        <v>46</v>
      </c>
      <c r="B75" s="104">
        <f t="shared" si="4"/>
        <v>3.4431935848952864</v>
      </c>
      <c r="C75" s="104">
        <f t="shared" si="5"/>
        <v>4.4242933827915909</v>
      </c>
      <c r="D75" s="103">
        <f>R20</f>
        <v>15144.128000000001</v>
      </c>
      <c r="F75" s="102" t="s">
        <v>5</v>
      </c>
      <c r="G75" s="104">
        <f>Z16/Z$22*100</f>
        <v>11.63243402269403</v>
      </c>
      <c r="H75" s="104"/>
      <c r="L75" s="222"/>
    </row>
    <row r="76" spans="1:15">
      <c r="A76" s="102" t="s">
        <v>5</v>
      </c>
      <c r="B76" s="104">
        <f t="shared" si="4"/>
        <v>0</v>
      </c>
      <c r="C76" s="104">
        <f>(D76/SUM($D$68:$D$78))*100</f>
        <v>0</v>
      </c>
      <c r="D76" s="103">
        <f>R16</f>
        <v>0</v>
      </c>
      <c r="F76" s="102" t="s">
        <v>4</v>
      </c>
      <c r="G76" s="104">
        <f>Z17/Z$22*100</f>
        <v>5.7775229926454941</v>
      </c>
      <c r="H76" s="104"/>
    </row>
    <row r="77" spans="1:15">
      <c r="A77" s="102" t="s">
        <v>4</v>
      </c>
      <c r="B77" s="104">
        <f t="shared" si="4"/>
        <v>13.353625449507295</v>
      </c>
      <c r="C77" s="104">
        <f t="shared" si="5"/>
        <v>17.158592816769911</v>
      </c>
      <c r="D77" s="103">
        <f>R17</f>
        <v>58732.978000000003</v>
      </c>
      <c r="F77" s="102" t="s">
        <v>22</v>
      </c>
      <c r="G77" s="104">
        <f>Z18/Z$22*100</f>
        <v>0.11923228504055827</v>
      </c>
      <c r="H77" s="104"/>
      <c r="J77" s="214" t="s">
        <v>136</v>
      </c>
    </row>
    <row r="78" spans="1:15">
      <c r="A78" s="102" t="s">
        <v>22</v>
      </c>
      <c r="B78" s="104">
        <f t="shared" si="4"/>
        <v>0.35958469097497592</v>
      </c>
      <c r="C78" s="104">
        <f>(D78/SUM($D$68:$D$78))*100</f>
        <v>0.46204435783477082</v>
      </c>
      <c r="D78" s="103">
        <f>R18</f>
        <v>1581.5540000000001</v>
      </c>
      <c r="F78" s="105" t="s">
        <v>20</v>
      </c>
      <c r="G78" s="107">
        <f>SUM(G68:G77)</f>
        <v>99.999999999999986</v>
      </c>
      <c r="H78" s="107"/>
      <c r="J78" s="101"/>
      <c r="K78" s="101" t="s">
        <v>105</v>
      </c>
      <c r="L78" s="101" t="s">
        <v>93</v>
      </c>
    </row>
    <row r="79" spans="1:15" ht="12.75">
      <c r="A79" s="102" t="s">
        <v>21</v>
      </c>
      <c r="B79" s="104">
        <f t="shared" si="4"/>
        <v>22.175287961515366</v>
      </c>
      <c r="C79" s="104"/>
      <c r="D79" s="103">
        <f>R25</f>
        <v>97533.115999999995</v>
      </c>
      <c r="J79" s="213" t="s">
        <v>128</v>
      </c>
      <c r="K79" s="218">
        <f>IF(L79=0,0,L79/L79)</f>
        <v>0</v>
      </c>
      <c r="L79" s="216">
        <f>Z23</f>
        <v>0</v>
      </c>
      <c r="M79" s="215" t="str">
        <f>CONCATENATE(J79," ",TEXT(L79,"0,00")," MWh")</f>
        <v>Entrega baterías 0,00 MWh</v>
      </c>
      <c r="N79" s="217">
        <f>1-K79</f>
        <v>1</v>
      </c>
      <c r="O79" s="223">
        <f>1-N79</f>
        <v>0</v>
      </c>
    </row>
    <row r="80" spans="1:15" ht="12.75">
      <c r="A80" s="105" t="s">
        <v>20</v>
      </c>
      <c r="B80" s="107">
        <f>SUM(B68:B79)</f>
        <v>99.999999999999972</v>
      </c>
      <c r="C80" s="107">
        <f>SUM(C68:C79)</f>
        <v>99.999999999999986</v>
      </c>
      <c r="D80" s="106">
        <f>SUM(D68:D79)</f>
        <v>439827.95700000005</v>
      </c>
      <c r="J80" s="213" t="s">
        <v>132</v>
      </c>
      <c r="K80" s="218">
        <f>IF(L80=0,0,L80/L80)</f>
        <v>1</v>
      </c>
      <c r="L80" s="216">
        <f>Z24</f>
        <v>-22.315000000000001</v>
      </c>
      <c r="M80" s="215" t="str">
        <f>CONCATENATE(J80," ",TEXT(L80,"0,00")," MWh")</f>
        <v>Carga baterías -22,32 MWh</v>
      </c>
      <c r="N80" s="217">
        <f>1-K80</f>
        <v>0</v>
      </c>
      <c r="O80" s="223">
        <f>1-N80</f>
        <v>1</v>
      </c>
    </row>
    <row r="85" spans="1:26" ht="15">
      <c r="A85" s="128"/>
      <c r="B85" s="128" t="s">
        <v>61</v>
      </c>
      <c r="C85" s="284" t="s">
        <v>13</v>
      </c>
      <c r="D85" s="285"/>
      <c r="E85" s="285"/>
      <c r="F85" s="285"/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/>
      <c r="U85"/>
      <c r="V85"/>
      <c r="W85"/>
      <c r="X85"/>
      <c r="Y85"/>
      <c r="Z85"/>
    </row>
    <row r="86" spans="1:26" ht="15">
      <c r="A86" s="128"/>
      <c r="B86" s="126" t="s">
        <v>59</v>
      </c>
      <c r="C86" s="181" t="s">
        <v>94</v>
      </c>
      <c r="D86" s="181" t="s">
        <v>97</v>
      </c>
      <c r="E86" s="181" t="s">
        <v>110</v>
      </c>
      <c r="F86" s="181" t="s">
        <v>117</v>
      </c>
      <c r="G86" s="181" t="s">
        <v>118</v>
      </c>
      <c r="H86" s="181" t="s">
        <v>130</v>
      </c>
      <c r="I86" s="181" t="s">
        <v>131</v>
      </c>
      <c r="J86" s="181" t="s">
        <v>133</v>
      </c>
      <c r="K86" s="181" t="s">
        <v>134</v>
      </c>
      <c r="L86" s="181" t="s">
        <v>135</v>
      </c>
      <c r="M86" s="181" t="s">
        <v>148</v>
      </c>
      <c r="N86" s="181" t="s">
        <v>149</v>
      </c>
      <c r="O86" s="181" t="s">
        <v>150</v>
      </c>
      <c r="P86" s="181" t="s">
        <v>151</v>
      </c>
      <c r="Q86" s="181" t="s">
        <v>152</v>
      </c>
      <c r="R86" s="181" t="s">
        <v>144</v>
      </c>
      <c r="S86" s="181" t="s">
        <v>153</v>
      </c>
      <c r="T86"/>
      <c r="U86"/>
      <c r="V86"/>
      <c r="W86"/>
      <c r="X86"/>
      <c r="Y86"/>
      <c r="Z86"/>
    </row>
    <row r="87" spans="1:26" ht="15">
      <c r="A87" s="128" t="s">
        <v>60</v>
      </c>
      <c r="B87" s="128" t="s">
        <v>62</v>
      </c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/>
      <c r="U87"/>
      <c r="V87"/>
      <c r="W87"/>
      <c r="X87"/>
      <c r="Y87"/>
      <c r="Z87"/>
    </row>
    <row r="88" spans="1:26" ht="15">
      <c r="A88" s="272" t="s">
        <v>49</v>
      </c>
      <c r="B88" s="127" t="s">
        <v>11</v>
      </c>
      <c r="C88" s="228">
        <v>4.6319679999999996</v>
      </c>
      <c r="D88" s="228">
        <v>61.004249999999999</v>
      </c>
      <c r="E88" s="228">
        <v>29.608969999999999</v>
      </c>
      <c r="F88" s="228">
        <v>0</v>
      </c>
      <c r="G88" s="228">
        <v>0</v>
      </c>
      <c r="H88" s="228">
        <v>0</v>
      </c>
      <c r="I88" s="228">
        <v>0</v>
      </c>
      <c r="J88" s="228">
        <v>0</v>
      </c>
      <c r="K88" s="228">
        <v>0</v>
      </c>
      <c r="L88" s="228">
        <v>0</v>
      </c>
      <c r="M88" s="228">
        <v>0</v>
      </c>
      <c r="N88" s="228">
        <v>0</v>
      </c>
      <c r="O88" s="228">
        <v>0</v>
      </c>
      <c r="P88" s="228">
        <v>0</v>
      </c>
      <c r="Q88" s="228">
        <v>0</v>
      </c>
      <c r="R88" s="228">
        <v>0</v>
      </c>
      <c r="S88" s="228">
        <v>0</v>
      </c>
      <c r="T88"/>
      <c r="U88"/>
      <c r="V88"/>
      <c r="W88"/>
      <c r="X88"/>
      <c r="Y88"/>
      <c r="Z88"/>
    </row>
    <row r="89" spans="1:26" ht="15">
      <c r="A89" s="273"/>
      <c r="B89" s="127" t="s">
        <v>69</v>
      </c>
      <c r="C89" s="228">
        <v>8.5854890000000008</v>
      </c>
      <c r="D89" s="228">
        <v>6.4758909999999998</v>
      </c>
      <c r="E89" s="228">
        <v>7.3957850000000001</v>
      </c>
      <c r="F89" s="228">
        <v>13.863616</v>
      </c>
      <c r="G89" s="228">
        <v>17.616911000000002</v>
      </c>
      <c r="H89" s="228">
        <v>36.758597999999999</v>
      </c>
      <c r="I89" s="228">
        <v>62.363782</v>
      </c>
      <c r="J89" s="228">
        <v>66.467855</v>
      </c>
      <c r="K89" s="228">
        <v>45.454340000000002</v>
      </c>
      <c r="L89" s="228">
        <v>22.456917000000001</v>
      </c>
      <c r="M89" s="228">
        <v>17.069234000000002</v>
      </c>
      <c r="N89" s="228">
        <v>11.652042</v>
      </c>
      <c r="O89" s="228">
        <v>14.892018999999999</v>
      </c>
      <c r="P89" s="228">
        <v>6.0359920000000002</v>
      </c>
      <c r="Q89" s="228">
        <v>8.5326330000000006</v>
      </c>
      <c r="R89" s="228">
        <v>8.6196000000000002</v>
      </c>
      <c r="S89" s="228">
        <v>7.8859909999999998</v>
      </c>
      <c r="T89"/>
      <c r="U89"/>
      <c r="V89"/>
      <c r="W89"/>
      <c r="X89"/>
      <c r="Y89"/>
      <c r="Z89"/>
    </row>
    <row r="90" spans="1:26" ht="15">
      <c r="A90" s="273"/>
      <c r="B90" s="127" t="s">
        <v>9</v>
      </c>
      <c r="C90" s="228">
        <v>23.827804</v>
      </c>
      <c r="D90" s="228">
        <v>22.326347999999999</v>
      </c>
      <c r="E90" s="228">
        <v>24.290578</v>
      </c>
      <c r="F90" s="228">
        <v>25.040586000000001</v>
      </c>
      <c r="G90" s="228">
        <v>25.468105999999999</v>
      </c>
      <c r="H90" s="228">
        <v>46.078491</v>
      </c>
      <c r="I90" s="228">
        <v>58.218541000000002</v>
      </c>
      <c r="J90" s="228">
        <v>51.241262999999996</v>
      </c>
      <c r="K90" s="228">
        <v>39.777388999999999</v>
      </c>
      <c r="L90" s="228">
        <v>43.751629999999999</v>
      </c>
      <c r="M90" s="228">
        <v>32.383879</v>
      </c>
      <c r="N90" s="228">
        <v>25.042332999999999</v>
      </c>
      <c r="O90" s="228">
        <v>28.074463000000002</v>
      </c>
      <c r="P90" s="228">
        <v>21.743562000000001</v>
      </c>
      <c r="Q90" s="228">
        <v>24.257366999999999</v>
      </c>
      <c r="R90" s="228">
        <v>22.619537000000001</v>
      </c>
      <c r="S90" s="228">
        <v>12.899048000000001</v>
      </c>
      <c r="T90"/>
      <c r="U90"/>
      <c r="V90"/>
      <c r="W90"/>
      <c r="X90"/>
      <c r="Y90"/>
      <c r="Z90"/>
    </row>
    <row r="91" spans="1:26" ht="15">
      <c r="A91" s="273"/>
      <c r="B91" s="127" t="s">
        <v>25</v>
      </c>
      <c r="C91" s="228">
        <v>284.762474</v>
      </c>
      <c r="D91" s="228">
        <v>188.665806</v>
      </c>
      <c r="E91" s="228">
        <v>223.33681300000001</v>
      </c>
      <c r="F91" s="228">
        <v>226.59007600000001</v>
      </c>
      <c r="G91" s="228">
        <v>244.74023199999999</v>
      </c>
      <c r="H91" s="228">
        <v>274.475863</v>
      </c>
      <c r="I91" s="228">
        <v>334.267562</v>
      </c>
      <c r="J91" s="228">
        <v>319.07413400000002</v>
      </c>
      <c r="K91" s="228">
        <v>274.82982800000002</v>
      </c>
      <c r="L91" s="228">
        <v>257.021049</v>
      </c>
      <c r="M91" s="228">
        <v>234.20941099999999</v>
      </c>
      <c r="N91" s="228">
        <v>265.032152</v>
      </c>
      <c r="O91" s="228">
        <v>271.90836200000001</v>
      </c>
      <c r="P91" s="228">
        <v>219.728983</v>
      </c>
      <c r="Q91" s="228">
        <v>263.66985</v>
      </c>
      <c r="R91" s="228">
        <v>217.826639</v>
      </c>
      <c r="S91" s="228">
        <v>104.72054300000001</v>
      </c>
      <c r="T91"/>
      <c r="U91"/>
      <c r="V91"/>
      <c r="W91"/>
      <c r="X91"/>
      <c r="Y91"/>
      <c r="Z91"/>
    </row>
    <row r="92" spans="1:26" ht="15">
      <c r="A92" s="273"/>
      <c r="B92" s="127" t="s">
        <v>24</v>
      </c>
      <c r="C92" s="228">
        <v>0</v>
      </c>
      <c r="D92" s="228">
        <v>0</v>
      </c>
      <c r="E92" s="228">
        <v>0</v>
      </c>
      <c r="F92" s="228">
        <v>0</v>
      </c>
      <c r="G92" s="228">
        <v>0</v>
      </c>
      <c r="H92" s="228">
        <v>0</v>
      </c>
      <c r="I92" s="228">
        <v>0</v>
      </c>
      <c r="J92" s="228">
        <v>0</v>
      </c>
      <c r="K92" s="228">
        <v>0</v>
      </c>
      <c r="L92" s="228">
        <v>0</v>
      </c>
      <c r="M92" s="228">
        <v>0</v>
      </c>
      <c r="N92" s="228">
        <v>0</v>
      </c>
      <c r="O92" s="228">
        <v>0</v>
      </c>
      <c r="P92" s="228">
        <v>0</v>
      </c>
      <c r="Q92" s="228">
        <v>0</v>
      </c>
      <c r="R92" s="228">
        <v>0</v>
      </c>
      <c r="S92" s="228">
        <v>0</v>
      </c>
      <c r="T92"/>
      <c r="U92"/>
      <c r="V92"/>
      <c r="W92"/>
      <c r="X92"/>
      <c r="Y92"/>
      <c r="Z92"/>
    </row>
    <row r="93" spans="1:26" ht="15">
      <c r="A93" s="273"/>
      <c r="B93" s="127" t="s">
        <v>5</v>
      </c>
      <c r="C93" s="228">
        <v>0</v>
      </c>
      <c r="D93" s="228">
        <v>0</v>
      </c>
      <c r="E93" s="228">
        <v>0</v>
      </c>
      <c r="F93" s="228">
        <v>0</v>
      </c>
      <c r="G93" s="228">
        <v>0</v>
      </c>
      <c r="H93" s="228">
        <v>0</v>
      </c>
      <c r="I93" s="228">
        <v>0</v>
      </c>
      <c r="J93" s="228">
        <v>0</v>
      </c>
      <c r="K93" s="228">
        <v>0</v>
      </c>
      <c r="L93" s="228">
        <v>0</v>
      </c>
      <c r="M93" s="228">
        <v>0</v>
      </c>
      <c r="N93" s="228">
        <v>0</v>
      </c>
      <c r="O93" s="228">
        <v>0</v>
      </c>
      <c r="P93" s="228">
        <v>0</v>
      </c>
      <c r="Q93" s="228">
        <v>0</v>
      </c>
      <c r="R93" s="228">
        <v>0</v>
      </c>
      <c r="S93" s="228">
        <v>0</v>
      </c>
      <c r="T93"/>
      <c r="U93"/>
      <c r="V93"/>
      <c r="W93"/>
      <c r="X93"/>
      <c r="Y93"/>
      <c r="Z93"/>
    </row>
    <row r="94" spans="1:26" ht="15">
      <c r="A94" s="273"/>
      <c r="B94" s="127" t="s">
        <v>4</v>
      </c>
      <c r="C94" s="228">
        <v>27.366243000000001</v>
      </c>
      <c r="D94" s="228">
        <v>29.824808999999998</v>
      </c>
      <c r="E94" s="228">
        <v>33.932969999999997</v>
      </c>
      <c r="F94" s="228">
        <v>49.048960999999998</v>
      </c>
      <c r="G94" s="228">
        <v>55.148218999999997</v>
      </c>
      <c r="H94" s="228">
        <v>64.616387000000003</v>
      </c>
      <c r="I94" s="228">
        <v>58.301254</v>
      </c>
      <c r="J94" s="228">
        <v>58.388308000000002</v>
      </c>
      <c r="K94" s="228">
        <v>48.070135000000001</v>
      </c>
      <c r="L94" s="228">
        <v>38.159438000000002</v>
      </c>
      <c r="M94" s="228">
        <v>28.287680999999999</v>
      </c>
      <c r="N94" s="228">
        <v>21.457460999999999</v>
      </c>
      <c r="O94" s="228">
        <v>26.531222</v>
      </c>
      <c r="P94" s="228">
        <v>38.510109999999997</v>
      </c>
      <c r="Q94" s="228">
        <v>42.581280999999997</v>
      </c>
      <c r="R94" s="228">
        <v>58.732978000000003</v>
      </c>
      <c r="S94" s="228">
        <v>19.098983</v>
      </c>
      <c r="T94"/>
      <c r="U94"/>
      <c r="V94"/>
      <c r="W94"/>
      <c r="X94"/>
      <c r="Y94"/>
      <c r="Z94"/>
    </row>
    <row r="95" spans="1:26" ht="15">
      <c r="A95" s="273"/>
      <c r="B95" s="127" t="s">
        <v>22</v>
      </c>
      <c r="C95" s="228">
        <v>0.256185</v>
      </c>
      <c r="D95" s="228">
        <v>0.25728499999999999</v>
      </c>
      <c r="E95" s="228">
        <v>0.27165699999999998</v>
      </c>
      <c r="F95" s="228">
        <v>0.216173</v>
      </c>
      <c r="G95" s="228">
        <v>0.242977</v>
      </c>
      <c r="H95" s="228">
        <v>0.25375799999999998</v>
      </c>
      <c r="I95" s="228">
        <v>0.13533500000000001</v>
      </c>
      <c r="J95" s="228">
        <v>6.2700000000000006E-2</v>
      </c>
      <c r="K95" s="228">
        <v>0.16319</v>
      </c>
      <c r="L95" s="228">
        <v>0.72397699999999998</v>
      </c>
      <c r="M95" s="228">
        <v>1.328557</v>
      </c>
      <c r="N95" s="228">
        <v>0.812226</v>
      </c>
      <c r="O95" s="228">
        <v>0.97993699999999995</v>
      </c>
      <c r="P95" s="228">
        <v>0.94255900000000004</v>
      </c>
      <c r="Q95" s="228">
        <v>1.3661909999999999</v>
      </c>
      <c r="R95" s="228">
        <v>1.5815539999999999</v>
      </c>
      <c r="S95" s="228">
        <v>0.59777100000000005</v>
      </c>
      <c r="T95"/>
      <c r="U95"/>
      <c r="V95"/>
      <c r="W95"/>
      <c r="X95"/>
      <c r="Y95"/>
      <c r="Z95"/>
    </row>
    <row r="96" spans="1:26" ht="15">
      <c r="A96" s="273"/>
      <c r="B96" s="127" t="s">
        <v>23</v>
      </c>
      <c r="C96" s="228">
        <v>3.6863090000000001</v>
      </c>
      <c r="D96" s="228">
        <v>3.272465</v>
      </c>
      <c r="E96" s="228">
        <v>2.6087359999999999</v>
      </c>
      <c r="F96" s="228">
        <v>2.4437060000000002</v>
      </c>
      <c r="G96" s="228">
        <v>3.266893</v>
      </c>
      <c r="H96" s="228">
        <v>4.1208809999999998</v>
      </c>
      <c r="I96" s="228">
        <v>3.573118</v>
      </c>
      <c r="J96" s="228">
        <v>3.1659009999999999</v>
      </c>
      <c r="K96" s="228">
        <v>2.336195</v>
      </c>
      <c r="L96" s="228">
        <v>3.0284080000000002</v>
      </c>
      <c r="M96" s="228">
        <v>2.5220250000000002</v>
      </c>
      <c r="N96" s="228">
        <v>3.7919230000000002</v>
      </c>
      <c r="O96" s="228">
        <v>3.4251860000000001</v>
      </c>
      <c r="P96" s="228">
        <v>1.3775310000000001</v>
      </c>
      <c r="Q96" s="228">
        <v>0.98716599999999999</v>
      </c>
      <c r="R96" s="228">
        <v>2.626277</v>
      </c>
      <c r="S96" s="228">
        <v>1.2894399999999999</v>
      </c>
      <c r="T96"/>
      <c r="U96"/>
      <c r="V96"/>
      <c r="W96"/>
      <c r="X96"/>
      <c r="Y96"/>
      <c r="Z96"/>
    </row>
    <row r="97" spans="1:26" ht="15">
      <c r="A97" s="273"/>
      <c r="B97" s="127" t="s">
        <v>46</v>
      </c>
      <c r="C97" s="228">
        <v>10.134332000000001</v>
      </c>
      <c r="D97" s="228">
        <v>8.8925330000000002</v>
      </c>
      <c r="E97" s="228">
        <v>9.8915330000000008</v>
      </c>
      <c r="F97" s="228">
        <v>12.984987</v>
      </c>
      <c r="G97" s="228">
        <v>10.486427000000001</v>
      </c>
      <c r="H97" s="228">
        <v>14.345347</v>
      </c>
      <c r="I97" s="228">
        <v>13.9802175</v>
      </c>
      <c r="J97" s="228">
        <v>11.851319</v>
      </c>
      <c r="K97" s="228">
        <v>13.92998</v>
      </c>
      <c r="L97" s="228">
        <v>8.0829000000000004</v>
      </c>
      <c r="M97" s="228">
        <v>12.386824499999999</v>
      </c>
      <c r="N97" s="228">
        <v>9.5741110000000003</v>
      </c>
      <c r="O97" s="228">
        <v>8.3717509999999997</v>
      </c>
      <c r="P97" s="228">
        <v>4.8198524999999997</v>
      </c>
      <c r="Q97" s="228">
        <v>9.7177954999999994</v>
      </c>
      <c r="R97" s="228">
        <v>15.144128</v>
      </c>
      <c r="S97" s="228">
        <v>4.4154249999999999</v>
      </c>
      <c r="T97"/>
      <c r="U97"/>
      <c r="V97"/>
      <c r="W97"/>
      <c r="X97"/>
      <c r="Y97"/>
      <c r="Z97"/>
    </row>
    <row r="98" spans="1:26" ht="15">
      <c r="A98" s="273"/>
      <c r="B98" s="127" t="s">
        <v>47</v>
      </c>
      <c r="C98" s="228">
        <v>10.134332000000001</v>
      </c>
      <c r="D98" s="228">
        <v>8.8925330000000002</v>
      </c>
      <c r="E98" s="228">
        <v>9.8915330000000008</v>
      </c>
      <c r="F98" s="228">
        <v>12.984987</v>
      </c>
      <c r="G98" s="228">
        <v>10.486427000000001</v>
      </c>
      <c r="H98" s="228">
        <v>14.345347</v>
      </c>
      <c r="I98" s="228">
        <v>13.9802175</v>
      </c>
      <c r="J98" s="228">
        <v>11.851319</v>
      </c>
      <c r="K98" s="228">
        <v>13.92998</v>
      </c>
      <c r="L98" s="228">
        <v>8.0829000000000004</v>
      </c>
      <c r="M98" s="228">
        <v>12.386824499999999</v>
      </c>
      <c r="N98" s="228">
        <v>9.5741110000000003</v>
      </c>
      <c r="O98" s="228">
        <v>8.3717509999999997</v>
      </c>
      <c r="P98" s="228">
        <v>4.8198524999999997</v>
      </c>
      <c r="Q98" s="228">
        <v>9.7177954999999994</v>
      </c>
      <c r="R98" s="228">
        <v>15.144128</v>
      </c>
      <c r="S98" s="228">
        <v>4.4154249999999999</v>
      </c>
      <c r="T98"/>
      <c r="U98"/>
      <c r="V98"/>
      <c r="W98"/>
      <c r="X98"/>
      <c r="Y98"/>
      <c r="Z98"/>
    </row>
    <row r="99" spans="1:26" ht="15">
      <c r="A99" s="273"/>
      <c r="B99" s="131" t="s">
        <v>2</v>
      </c>
      <c r="C99" s="229">
        <v>373.38513599999999</v>
      </c>
      <c r="D99" s="229">
        <v>329.61192</v>
      </c>
      <c r="E99" s="229">
        <v>341.22857499999998</v>
      </c>
      <c r="F99" s="229">
        <v>343.173092</v>
      </c>
      <c r="G99" s="229">
        <v>367.45619199999999</v>
      </c>
      <c r="H99" s="229">
        <v>454.99467199999998</v>
      </c>
      <c r="I99" s="229">
        <v>544.82002699999998</v>
      </c>
      <c r="J99" s="229">
        <v>522.102799</v>
      </c>
      <c r="K99" s="229">
        <v>438.49103700000001</v>
      </c>
      <c r="L99" s="229">
        <v>381.30721899999998</v>
      </c>
      <c r="M99" s="229">
        <v>340.57443599999999</v>
      </c>
      <c r="N99" s="229">
        <v>346.93635899999998</v>
      </c>
      <c r="O99" s="229">
        <v>362.55469099999999</v>
      </c>
      <c r="P99" s="229">
        <v>297.97844199999997</v>
      </c>
      <c r="Q99" s="229">
        <v>360.83007900000001</v>
      </c>
      <c r="R99" s="229">
        <v>342.29484100000002</v>
      </c>
      <c r="S99" s="229">
        <v>155.32262600000001</v>
      </c>
      <c r="T99"/>
      <c r="U99"/>
      <c r="V99"/>
      <c r="W99"/>
      <c r="X99"/>
      <c r="Y99"/>
      <c r="Z99"/>
    </row>
    <row r="100" spans="1:26" ht="15">
      <c r="A100" s="273"/>
      <c r="B100" s="127" t="s">
        <v>95</v>
      </c>
      <c r="C100" s="228">
        <v>5.3210000000000002E-3</v>
      </c>
      <c r="D100" s="228">
        <v>9.2090000000000002E-3</v>
      </c>
      <c r="E100" s="228">
        <v>1.562E-3</v>
      </c>
      <c r="F100" s="228">
        <v>9.810000000000001E-4</v>
      </c>
      <c r="G100" s="228">
        <v>8.0190000000000001E-3</v>
      </c>
      <c r="H100" s="228">
        <v>3.3307000000000003E-2</v>
      </c>
      <c r="I100" s="228">
        <v>2.5804000000000001E-2</v>
      </c>
      <c r="J100" s="228">
        <v>0</v>
      </c>
      <c r="K100" s="228">
        <v>2.65E-3</v>
      </c>
      <c r="L100" s="228">
        <v>1.1019999999999999E-3</v>
      </c>
      <c r="M100" s="228">
        <v>1.536E-3</v>
      </c>
      <c r="N100" s="228">
        <v>0</v>
      </c>
      <c r="O100" s="228">
        <v>0</v>
      </c>
      <c r="P100" s="228">
        <v>0</v>
      </c>
      <c r="Q100" s="228">
        <v>0</v>
      </c>
      <c r="R100" s="228">
        <v>0</v>
      </c>
      <c r="S100" s="228">
        <v>0</v>
      </c>
      <c r="T100"/>
      <c r="U100"/>
      <c r="V100"/>
      <c r="W100"/>
      <c r="X100"/>
      <c r="Y100"/>
      <c r="Z100"/>
    </row>
    <row r="101" spans="1:26" ht="15">
      <c r="A101" s="273"/>
      <c r="B101" s="127" t="s">
        <v>96</v>
      </c>
      <c r="C101" s="228">
        <v>-2.0024E-2</v>
      </c>
      <c r="D101" s="228">
        <v>-1.9650000000000001E-2</v>
      </c>
      <c r="E101" s="228">
        <v>-6.5550000000000001E-3</v>
      </c>
      <c r="F101" s="228">
        <v>-6.4229999999999999E-3</v>
      </c>
      <c r="G101" s="228">
        <v>-2.7414000000000001E-2</v>
      </c>
      <c r="H101" s="228">
        <v>-6.6456000000000001E-2</v>
      </c>
      <c r="I101" s="228">
        <v>-8.4402000000000005E-2</v>
      </c>
      <c r="J101" s="228">
        <v>-3.7090000000000001E-3</v>
      </c>
      <c r="K101" s="228">
        <v>-8.4089999999999998E-3</v>
      </c>
      <c r="L101" s="228">
        <v>-6.4120000000000002E-3</v>
      </c>
      <c r="M101" s="228">
        <v>-5.6010000000000001E-3</v>
      </c>
      <c r="N101" s="228">
        <v>-4.0439999999999999E-3</v>
      </c>
      <c r="O101" s="228">
        <v>-3.8699999999999997E-4</v>
      </c>
      <c r="P101" s="228">
        <v>0</v>
      </c>
      <c r="Q101" s="228">
        <v>0</v>
      </c>
      <c r="R101" s="228">
        <v>0</v>
      </c>
      <c r="S101" s="228">
        <v>0</v>
      </c>
      <c r="T101"/>
      <c r="U101"/>
      <c r="V101"/>
      <c r="W101"/>
      <c r="X101"/>
      <c r="Y101"/>
      <c r="Z101"/>
    </row>
    <row r="102" spans="1:26" ht="15">
      <c r="A102" s="273"/>
      <c r="B102" s="127" t="s">
        <v>21</v>
      </c>
      <c r="C102" s="228">
        <v>85.443509000000006</v>
      </c>
      <c r="D102" s="228">
        <v>90.795297000000005</v>
      </c>
      <c r="E102" s="228">
        <v>113.220591</v>
      </c>
      <c r="F102" s="228">
        <v>85.306769000000003</v>
      </c>
      <c r="G102" s="228">
        <v>110.447626</v>
      </c>
      <c r="H102" s="228">
        <v>171.035324</v>
      </c>
      <c r="I102" s="228">
        <v>188.42781500000001</v>
      </c>
      <c r="J102" s="228">
        <v>208.61120199999999</v>
      </c>
      <c r="K102" s="228">
        <v>166.21217300000001</v>
      </c>
      <c r="L102" s="228">
        <v>119.248762</v>
      </c>
      <c r="M102" s="228">
        <v>76.900411000000005</v>
      </c>
      <c r="N102" s="228">
        <v>120.18883599999999</v>
      </c>
      <c r="O102" s="228">
        <v>138.53626600000001</v>
      </c>
      <c r="P102" s="228">
        <v>102.627172</v>
      </c>
      <c r="Q102" s="228">
        <v>104.897592</v>
      </c>
      <c r="R102" s="228">
        <v>97.533116000000007</v>
      </c>
      <c r="S102" s="228">
        <v>46.451120000000003</v>
      </c>
      <c r="T102"/>
      <c r="U102"/>
      <c r="V102"/>
      <c r="W102"/>
      <c r="X102"/>
      <c r="Y102"/>
      <c r="Z102"/>
    </row>
    <row r="103" spans="1:26" ht="15">
      <c r="A103" s="274"/>
      <c r="B103" s="131" t="s">
        <v>70</v>
      </c>
      <c r="C103" s="229">
        <v>458.813942</v>
      </c>
      <c r="D103" s="229">
        <v>420.39677599999999</v>
      </c>
      <c r="E103" s="229">
        <v>454.44417299999998</v>
      </c>
      <c r="F103" s="229">
        <v>428.47441900000001</v>
      </c>
      <c r="G103" s="229">
        <v>477.88442300000003</v>
      </c>
      <c r="H103" s="229">
        <v>625.996847</v>
      </c>
      <c r="I103" s="229">
        <v>733.18924400000003</v>
      </c>
      <c r="J103" s="229">
        <v>730.71029199999998</v>
      </c>
      <c r="K103" s="229">
        <v>604.697451</v>
      </c>
      <c r="L103" s="229">
        <v>500.55067100000002</v>
      </c>
      <c r="M103" s="229">
        <v>417.47078199999999</v>
      </c>
      <c r="N103" s="229">
        <v>467.121151</v>
      </c>
      <c r="O103" s="229">
        <v>501.09057000000001</v>
      </c>
      <c r="P103" s="229">
        <v>400.605614</v>
      </c>
      <c r="Q103" s="229">
        <v>465.72767099999999</v>
      </c>
      <c r="R103" s="229">
        <v>439.82795700000003</v>
      </c>
      <c r="S103" s="229">
        <v>201.77374599999999</v>
      </c>
      <c r="T103"/>
      <c r="U103"/>
      <c r="V103"/>
      <c r="W103"/>
      <c r="X103"/>
      <c r="Y103"/>
      <c r="Z103"/>
    </row>
    <row r="104" spans="1:26" ht="15">
      <c r="A104" s="277" t="s">
        <v>50</v>
      </c>
      <c r="B104" s="127" t="s">
        <v>12</v>
      </c>
      <c r="C104" s="228">
        <v>0.285242</v>
      </c>
      <c r="D104" s="228">
        <v>5.4619000000000001E-2</v>
      </c>
      <c r="E104" s="228">
        <v>0</v>
      </c>
      <c r="F104" s="228">
        <v>0</v>
      </c>
      <c r="G104" s="228">
        <v>0</v>
      </c>
      <c r="H104" s="228">
        <v>0</v>
      </c>
      <c r="I104" s="228">
        <v>0</v>
      </c>
      <c r="J104" s="228">
        <v>0</v>
      </c>
      <c r="K104" s="228">
        <v>0</v>
      </c>
      <c r="L104" s="228">
        <v>0</v>
      </c>
      <c r="M104" s="228">
        <v>0</v>
      </c>
      <c r="N104" s="228">
        <v>0</v>
      </c>
      <c r="O104" s="228">
        <v>0</v>
      </c>
      <c r="P104" s="228">
        <v>0</v>
      </c>
      <c r="Q104" s="228">
        <v>0</v>
      </c>
      <c r="R104" s="228">
        <v>0</v>
      </c>
      <c r="S104" s="228">
        <v>0</v>
      </c>
      <c r="T104"/>
      <c r="U104"/>
      <c r="V104"/>
      <c r="W104"/>
      <c r="X104"/>
      <c r="Y104"/>
      <c r="Z104"/>
    </row>
    <row r="105" spans="1:26" ht="15">
      <c r="A105" s="273"/>
      <c r="B105" s="127" t="s">
        <v>69</v>
      </c>
      <c r="C105" s="228">
        <v>164.446281</v>
      </c>
      <c r="D105" s="228">
        <v>147.685913</v>
      </c>
      <c r="E105" s="228">
        <v>173.83343199999999</v>
      </c>
      <c r="F105" s="228">
        <v>146.76996600000001</v>
      </c>
      <c r="G105" s="228">
        <v>139.11880199999999</v>
      </c>
      <c r="H105" s="228">
        <v>133.454463</v>
      </c>
      <c r="I105" s="228">
        <v>138.95366799999999</v>
      </c>
      <c r="J105" s="228">
        <v>156.429901</v>
      </c>
      <c r="K105" s="228">
        <v>146.533942</v>
      </c>
      <c r="L105" s="228">
        <v>159.05462600000001</v>
      </c>
      <c r="M105" s="228">
        <v>144.58958999999999</v>
      </c>
      <c r="N105" s="228">
        <v>158.02685199999999</v>
      </c>
      <c r="O105" s="228">
        <v>158.381069</v>
      </c>
      <c r="P105" s="228">
        <v>143.06514300000001</v>
      </c>
      <c r="Q105" s="228">
        <v>149.59031300000001</v>
      </c>
      <c r="R105" s="228">
        <v>153.416853</v>
      </c>
      <c r="S105" s="228">
        <v>62.448709999999998</v>
      </c>
      <c r="T105"/>
      <c r="U105"/>
      <c r="V105"/>
      <c r="W105"/>
      <c r="X105"/>
      <c r="Y105"/>
      <c r="Z105"/>
    </row>
    <row r="106" spans="1:26" ht="15">
      <c r="A106" s="273"/>
      <c r="B106" s="127" t="s">
        <v>9</v>
      </c>
      <c r="C106" s="228">
        <v>37.045735999999998</v>
      </c>
      <c r="D106" s="228">
        <v>22.268398999999999</v>
      </c>
      <c r="E106" s="228">
        <v>28.510366000000001</v>
      </c>
      <c r="F106" s="228">
        <v>15.002691</v>
      </c>
      <c r="G106" s="228">
        <v>15.518791</v>
      </c>
      <c r="H106" s="228">
        <v>14.439681999999999</v>
      </c>
      <c r="I106" s="228">
        <v>17.277450000000002</v>
      </c>
      <c r="J106" s="228">
        <v>21.905804</v>
      </c>
      <c r="K106" s="228">
        <v>21.204673</v>
      </c>
      <c r="L106" s="228">
        <v>28.975633999999999</v>
      </c>
      <c r="M106" s="228">
        <v>21.440819999999999</v>
      </c>
      <c r="N106" s="228">
        <v>25.811325</v>
      </c>
      <c r="O106" s="228">
        <v>28.873301000000001</v>
      </c>
      <c r="P106" s="228">
        <v>25.555015999999998</v>
      </c>
      <c r="Q106" s="228">
        <v>29.612995000000002</v>
      </c>
      <c r="R106" s="228">
        <v>34.690565999999997</v>
      </c>
      <c r="S106" s="228">
        <v>6.5342250000000002</v>
      </c>
      <c r="T106"/>
      <c r="U106"/>
      <c r="V106"/>
      <c r="W106"/>
      <c r="X106"/>
      <c r="Y106"/>
      <c r="Z106"/>
    </row>
    <row r="107" spans="1:26" ht="15">
      <c r="A107" s="273"/>
      <c r="B107" s="127" t="s">
        <v>8</v>
      </c>
      <c r="C107" s="228">
        <v>82.867552000000003</v>
      </c>
      <c r="D107" s="228">
        <v>111.33840600000001</v>
      </c>
      <c r="E107" s="228">
        <v>126.580506</v>
      </c>
      <c r="F107" s="228">
        <v>98.063034000000002</v>
      </c>
      <c r="G107" s="228">
        <v>81.823025999999999</v>
      </c>
      <c r="H107" s="228">
        <v>84.304407999999995</v>
      </c>
      <c r="I107" s="228">
        <v>97.398498000000004</v>
      </c>
      <c r="J107" s="228">
        <v>100.21077</v>
      </c>
      <c r="K107" s="228">
        <v>99.346721000000002</v>
      </c>
      <c r="L107" s="228">
        <v>125.06728200000001</v>
      </c>
      <c r="M107" s="228">
        <v>112.30573</v>
      </c>
      <c r="N107" s="228">
        <v>119.831412</v>
      </c>
      <c r="O107" s="228">
        <v>117.60937199999999</v>
      </c>
      <c r="P107" s="228">
        <v>92.890253999999999</v>
      </c>
      <c r="Q107" s="228">
        <v>82.571079999999995</v>
      </c>
      <c r="R107" s="228">
        <v>106.513632</v>
      </c>
      <c r="S107" s="228">
        <v>59.041274000000001</v>
      </c>
      <c r="T107"/>
      <c r="U107"/>
      <c r="V107"/>
      <c r="W107"/>
      <c r="X107"/>
      <c r="Y107"/>
      <c r="Z107"/>
    </row>
    <row r="108" spans="1:26" ht="15">
      <c r="A108" s="273"/>
      <c r="B108" s="127" t="s">
        <v>25</v>
      </c>
      <c r="C108" s="228">
        <v>342.56568199999998</v>
      </c>
      <c r="D108" s="228">
        <v>249.83534599999999</v>
      </c>
      <c r="E108" s="228">
        <v>290.37200899999999</v>
      </c>
      <c r="F108" s="228">
        <v>290.70250900000002</v>
      </c>
      <c r="G108" s="228">
        <v>328.89233899999999</v>
      </c>
      <c r="H108" s="228">
        <v>284.16690399999999</v>
      </c>
      <c r="I108" s="228">
        <v>316.70403900000002</v>
      </c>
      <c r="J108" s="228">
        <v>340.02993600000002</v>
      </c>
      <c r="K108" s="228">
        <v>307.60187999999999</v>
      </c>
      <c r="L108" s="228">
        <v>357.47449</v>
      </c>
      <c r="M108" s="228">
        <v>343.63677799999999</v>
      </c>
      <c r="N108" s="228">
        <v>344.06825099999998</v>
      </c>
      <c r="O108" s="228">
        <v>331.93350299999997</v>
      </c>
      <c r="P108" s="228">
        <v>287.05643500000002</v>
      </c>
      <c r="Q108" s="228">
        <v>282.06847599999998</v>
      </c>
      <c r="R108" s="228">
        <v>284.69147199999998</v>
      </c>
      <c r="S108" s="228">
        <v>129.01490100000001</v>
      </c>
      <c r="T108"/>
      <c r="U108"/>
      <c r="V108"/>
      <c r="W108"/>
      <c r="X108"/>
      <c r="Y108"/>
      <c r="Z108"/>
    </row>
    <row r="109" spans="1:26" ht="15">
      <c r="A109" s="273"/>
      <c r="B109" s="127" t="s">
        <v>6</v>
      </c>
      <c r="C109" s="228">
        <v>1.249555</v>
      </c>
      <c r="D109" s="228">
        <v>1.142978</v>
      </c>
      <c r="E109" s="228">
        <v>1.2419039999999999</v>
      </c>
      <c r="F109" s="228">
        <v>1.7632380000000001</v>
      </c>
      <c r="G109" s="228">
        <v>1.701465</v>
      </c>
      <c r="H109" s="228">
        <v>2.9528669999999999</v>
      </c>
      <c r="I109" s="228">
        <v>3.2914970000000001</v>
      </c>
      <c r="J109" s="228">
        <v>2.7481429999999998</v>
      </c>
      <c r="K109" s="228">
        <v>2.5908169999999999</v>
      </c>
      <c r="L109" s="228">
        <v>1.167157</v>
      </c>
      <c r="M109" s="228">
        <v>0.94978899999999999</v>
      </c>
      <c r="N109" s="228">
        <v>1.389267</v>
      </c>
      <c r="O109" s="228">
        <v>1.2355400000000001</v>
      </c>
      <c r="P109" s="228">
        <v>1.2530779999999999</v>
      </c>
      <c r="Q109" s="228">
        <v>2.036778</v>
      </c>
      <c r="R109" s="228">
        <v>1.462315</v>
      </c>
      <c r="S109" s="228">
        <v>0</v>
      </c>
      <c r="T109"/>
      <c r="U109"/>
      <c r="V109"/>
      <c r="W109"/>
      <c r="X109"/>
      <c r="Y109"/>
      <c r="Z109"/>
    </row>
    <row r="110" spans="1:26" ht="15">
      <c r="A110" s="273"/>
      <c r="B110" s="127" t="s">
        <v>5</v>
      </c>
      <c r="C110" s="228">
        <v>94.891767999999999</v>
      </c>
      <c r="D110" s="228">
        <v>107.781023</v>
      </c>
      <c r="E110" s="228">
        <v>77.912910999999994</v>
      </c>
      <c r="F110" s="228">
        <v>105.25716</v>
      </c>
      <c r="G110" s="228">
        <v>99.456442999999993</v>
      </c>
      <c r="H110" s="228">
        <v>143.551423</v>
      </c>
      <c r="I110" s="228">
        <v>166.964561</v>
      </c>
      <c r="J110" s="228">
        <v>149.445853</v>
      </c>
      <c r="K110" s="228">
        <v>165.43614400000001</v>
      </c>
      <c r="L110" s="228">
        <v>84.341824000000003</v>
      </c>
      <c r="M110" s="228">
        <v>95.968860000000006</v>
      </c>
      <c r="N110" s="228">
        <v>82.177819999999997</v>
      </c>
      <c r="O110" s="228">
        <v>97.153379000000001</v>
      </c>
      <c r="P110" s="228">
        <v>91.083347000000003</v>
      </c>
      <c r="Q110" s="228">
        <v>165.14311699999999</v>
      </c>
      <c r="R110" s="228">
        <v>81.917771000000002</v>
      </c>
      <c r="S110" s="228">
        <v>23.862984999999998</v>
      </c>
      <c r="T110"/>
      <c r="U110"/>
      <c r="V110"/>
      <c r="W110"/>
      <c r="X110"/>
      <c r="Y110"/>
      <c r="Z110"/>
    </row>
    <row r="111" spans="1:26" ht="15">
      <c r="A111" s="273"/>
      <c r="B111" s="127" t="s">
        <v>4</v>
      </c>
      <c r="C111" s="228">
        <v>32.201141</v>
      </c>
      <c r="D111" s="228">
        <v>35.576335999999998</v>
      </c>
      <c r="E111" s="228">
        <v>37.483338000000003</v>
      </c>
      <c r="F111" s="228">
        <v>38.331471000000001</v>
      </c>
      <c r="G111" s="228">
        <v>44.747520000000002</v>
      </c>
      <c r="H111" s="228">
        <v>42.657446</v>
      </c>
      <c r="I111" s="228">
        <v>44.683625999999997</v>
      </c>
      <c r="J111" s="228">
        <v>46.097631</v>
      </c>
      <c r="K111" s="228">
        <v>39.592024000000002</v>
      </c>
      <c r="L111" s="228">
        <v>35.989100999999998</v>
      </c>
      <c r="M111" s="228">
        <v>32.078172000000002</v>
      </c>
      <c r="N111" s="228">
        <v>31.976611999999999</v>
      </c>
      <c r="O111" s="228">
        <v>33.762532</v>
      </c>
      <c r="P111" s="228">
        <v>36.724344000000002</v>
      </c>
      <c r="Q111" s="228">
        <v>36.337868999999998</v>
      </c>
      <c r="R111" s="228">
        <v>40.686394999999997</v>
      </c>
      <c r="S111" s="228">
        <v>17.280190999999999</v>
      </c>
      <c r="T111"/>
      <c r="U111"/>
      <c r="V111"/>
      <c r="W111"/>
      <c r="X111"/>
      <c r="Y111"/>
      <c r="Z111"/>
    </row>
    <row r="112" spans="1:26" ht="15">
      <c r="A112" s="273"/>
      <c r="B112" s="127" t="s">
        <v>22</v>
      </c>
      <c r="C112" s="228">
        <v>1.1695549999999999</v>
      </c>
      <c r="D112" s="228">
        <v>1.2032910000000001</v>
      </c>
      <c r="E112" s="228">
        <v>1.447702</v>
      </c>
      <c r="F112" s="228">
        <v>1.4667380000000001</v>
      </c>
      <c r="G112" s="228">
        <v>1.4553370000000001</v>
      </c>
      <c r="H112" s="228">
        <v>1.2805299999999999</v>
      </c>
      <c r="I112" s="228">
        <v>1.163958</v>
      </c>
      <c r="J112" s="228">
        <v>0.98014500000000004</v>
      </c>
      <c r="K112" s="228">
        <v>0.36074600000000001</v>
      </c>
      <c r="L112" s="228">
        <v>0.77339199999999997</v>
      </c>
      <c r="M112" s="228">
        <v>0.74605500000000002</v>
      </c>
      <c r="N112" s="228">
        <v>0.798705</v>
      </c>
      <c r="O112" s="228">
        <v>0.99824000000000002</v>
      </c>
      <c r="P112" s="228">
        <v>0.82315300000000002</v>
      </c>
      <c r="Q112" s="228">
        <v>0.86323799999999995</v>
      </c>
      <c r="R112" s="228">
        <v>0.83965599999999996</v>
      </c>
      <c r="S112" s="228">
        <v>0</v>
      </c>
      <c r="T112"/>
      <c r="U112"/>
      <c r="V112"/>
      <c r="W112"/>
      <c r="X112"/>
      <c r="Y112"/>
      <c r="Z112"/>
    </row>
    <row r="113" spans="1:26" ht="15">
      <c r="A113" s="273"/>
      <c r="B113" s="131" t="s">
        <v>2</v>
      </c>
      <c r="C113" s="229">
        <v>756.72251200000005</v>
      </c>
      <c r="D113" s="229">
        <v>676.88631099999998</v>
      </c>
      <c r="E113" s="229">
        <v>737.38216799999998</v>
      </c>
      <c r="F113" s="229">
        <v>697.356807</v>
      </c>
      <c r="G113" s="229">
        <v>712.71372299999996</v>
      </c>
      <c r="H113" s="229">
        <v>706.80772300000001</v>
      </c>
      <c r="I113" s="229">
        <v>786.43729699999994</v>
      </c>
      <c r="J113" s="229">
        <v>817.84818299999995</v>
      </c>
      <c r="K113" s="229">
        <v>782.66694700000005</v>
      </c>
      <c r="L113" s="229">
        <v>792.84350600000005</v>
      </c>
      <c r="M113" s="229">
        <v>751.71579399999996</v>
      </c>
      <c r="N113" s="229">
        <v>764.08024399999999</v>
      </c>
      <c r="O113" s="229">
        <v>769.94693600000005</v>
      </c>
      <c r="P113" s="229">
        <v>678.45077000000003</v>
      </c>
      <c r="Q113" s="229">
        <v>748.22386600000004</v>
      </c>
      <c r="R113" s="229">
        <v>704.21866</v>
      </c>
      <c r="S113" s="229">
        <v>298.18228599999998</v>
      </c>
      <c r="T113"/>
      <c r="U113"/>
      <c r="V113"/>
      <c r="W113"/>
      <c r="X113"/>
      <c r="Y113"/>
      <c r="Z113"/>
    </row>
    <row r="114" spans="1:26" ht="15">
      <c r="A114" s="273"/>
      <c r="B114" s="127" t="s">
        <v>95</v>
      </c>
      <c r="C114" s="228">
        <v>0</v>
      </c>
      <c r="D114" s="228">
        <v>0</v>
      </c>
      <c r="E114" s="228">
        <v>0</v>
      </c>
      <c r="F114" s="228">
        <v>0</v>
      </c>
      <c r="G114" s="228">
        <v>0</v>
      </c>
      <c r="H114" s="228">
        <v>0</v>
      </c>
      <c r="I114" s="228">
        <v>0</v>
      </c>
      <c r="J114" s="228">
        <v>0</v>
      </c>
      <c r="K114" s="228">
        <v>0</v>
      </c>
      <c r="L114" s="228">
        <v>6.3000000000000003E-4</v>
      </c>
      <c r="M114" s="228">
        <v>5.5779999999999996E-3</v>
      </c>
      <c r="N114" s="228">
        <v>1.06E-4</v>
      </c>
      <c r="O114" s="228">
        <v>9.9999999999999995E-7</v>
      </c>
      <c r="P114" s="228">
        <v>3.7019000000000003E-2</v>
      </c>
      <c r="Q114" s="228">
        <v>4.1999999999999998E-5</v>
      </c>
      <c r="R114" s="228">
        <v>0</v>
      </c>
      <c r="S114" s="228">
        <v>0</v>
      </c>
      <c r="T114"/>
      <c r="U114"/>
      <c r="V114"/>
      <c r="W114"/>
      <c r="X114"/>
      <c r="Y114"/>
      <c r="Z114"/>
    </row>
    <row r="115" spans="1:26" ht="15">
      <c r="A115" s="273"/>
      <c r="B115" s="127" t="s">
        <v>96</v>
      </c>
      <c r="C115" s="228">
        <v>0</v>
      </c>
      <c r="D115" s="228">
        <v>0</v>
      </c>
      <c r="E115" s="228">
        <v>0</v>
      </c>
      <c r="F115" s="228">
        <v>0</v>
      </c>
      <c r="G115" s="228">
        <v>0</v>
      </c>
      <c r="H115" s="228">
        <v>0</v>
      </c>
      <c r="I115" s="228">
        <v>-1.4660000000000001E-3</v>
      </c>
      <c r="J115" s="228">
        <v>-3.5109999999999998E-3</v>
      </c>
      <c r="K115" s="228">
        <v>-8.7720000000000003E-3</v>
      </c>
      <c r="L115" s="228">
        <v>-1.4031E-2</v>
      </c>
      <c r="M115" s="228">
        <v>-1.7222999999999999E-2</v>
      </c>
      <c r="N115" s="228">
        <v>-1.6891E-2</v>
      </c>
      <c r="O115" s="228">
        <v>-1.1672999999999999E-2</v>
      </c>
      <c r="P115" s="228">
        <v>-5.8445999999999998E-2</v>
      </c>
      <c r="Q115" s="228">
        <v>-1.3491E-2</v>
      </c>
      <c r="R115" s="228">
        <v>-2.2315000000000002E-2</v>
      </c>
      <c r="S115" s="228">
        <v>0</v>
      </c>
      <c r="T115"/>
      <c r="U115"/>
      <c r="V115"/>
      <c r="W115"/>
      <c r="X115"/>
      <c r="Y115"/>
      <c r="Z115"/>
    </row>
    <row r="116" spans="1:26" ht="15">
      <c r="A116" s="274"/>
      <c r="B116" s="131" t="s">
        <v>70</v>
      </c>
      <c r="C116" s="229">
        <v>756.72251200000005</v>
      </c>
      <c r="D116" s="229">
        <v>676.88631099999998</v>
      </c>
      <c r="E116" s="229">
        <v>737.38216799999998</v>
      </c>
      <c r="F116" s="229">
        <v>697.356807</v>
      </c>
      <c r="G116" s="229">
        <v>712.71372299999996</v>
      </c>
      <c r="H116" s="229">
        <v>706.80772300000001</v>
      </c>
      <c r="I116" s="229">
        <v>786.43583100000001</v>
      </c>
      <c r="J116" s="229">
        <v>817.84467199999995</v>
      </c>
      <c r="K116" s="229">
        <v>782.65817500000003</v>
      </c>
      <c r="L116" s="229">
        <v>792.830105</v>
      </c>
      <c r="M116" s="229">
        <v>751.70414900000003</v>
      </c>
      <c r="N116" s="229">
        <v>764.06345899999997</v>
      </c>
      <c r="O116" s="229">
        <v>769.93526399999996</v>
      </c>
      <c r="P116" s="229">
        <v>678.42934300000002</v>
      </c>
      <c r="Q116" s="229">
        <v>748.21041700000001</v>
      </c>
      <c r="R116" s="229">
        <v>704.19634499999995</v>
      </c>
      <c r="S116" s="229">
        <v>298.18228599999998</v>
      </c>
      <c r="T116"/>
      <c r="U116"/>
      <c r="V116"/>
      <c r="W116"/>
      <c r="X116"/>
      <c r="Y116"/>
      <c r="Z116"/>
    </row>
    <row r="117" spans="1:26" ht="1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 ht="1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ht="12" customHeight="1">
      <c r="A119"/>
      <c r="B119" s="99" t="s">
        <v>137</v>
      </c>
      <c r="C119" s="201">
        <f t="shared" ref="C119:O119" si="6">+C135+C136</f>
        <v>-5.4419999999999998E-3</v>
      </c>
      <c r="D119" s="201">
        <f t="shared" si="6"/>
        <v>-1.9395000000000003E-2</v>
      </c>
      <c r="E119" s="201">
        <f t="shared" si="6"/>
        <v>-3.3148999999999998E-2</v>
      </c>
      <c r="F119" s="201">
        <f t="shared" si="6"/>
        <v>-5.8598000000000004E-2</v>
      </c>
      <c r="G119" s="201">
        <f t="shared" si="6"/>
        <v>-3.7090000000000001E-3</v>
      </c>
      <c r="H119" s="201">
        <f t="shared" si="6"/>
        <v>-5.7590000000000002E-3</v>
      </c>
      <c r="I119" s="201">
        <f t="shared" si="6"/>
        <v>-5.3100000000000005E-3</v>
      </c>
      <c r="J119" s="201">
        <f t="shared" si="6"/>
        <v>-4.065E-3</v>
      </c>
      <c r="K119" s="201">
        <f t="shared" si="6"/>
        <v>-4.0439999999999999E-3</v>
      </c>
      <c r="L119" s="201">
        <f t="shared" si="6"/>
        <v>-3.8699999999999997E-4</v>
      </c>
      <c r="M119" s="201">
        <f t="shared" si="6"/>
        <v>0</v>
      </c>
      <c r="N119" s="201">
        <f t="shared" si="6"/>
        <v>0</v>
      </c>
      <c r="O119" s="201">
        <f t="shared" si="6"/>
        <v>0</v>
      </c>
      <c r="P119"/>
      <c r="Q119"/>
      <c r="R119"/>
      <c r="S119"/>
    </row>
    <row r="120" spans="1:26">
      <c r="B120" s="99" t="s">
        <v>138</v>
      </c>
      <c r="C120" s="201">
        <f>+C151+C152</f>
        <v>0</v>
      </c>
      <c r="D120" s="201">
        <f t="shared" ref="D120:O120" si="7">+D151+D152</f>
        <v>0</v>
      </c>
      <c r="E120" s="201">
        <f t="shared" si="7"/>
        <v>0</v>
      </c>
      <c r="F120" s="201">
        <f t="shared" si="7"/>
        <v>-1.4660000000000001E-3</v>
      </c>
      <c r="G120" s="201">
        <f t="shared" si="7"/>
        <v>-3.5109999999999998E-3</v>
      </c>
      <c r="H120" s="201">
        <f t="shared" si="7"/>
        <v>-8.7720000000000003E-3</v>
      </c>
      <c r="I120" s="201">
        <f t="shared" si="7"/>
        <v>-1.3401E-2</v>
      </c>
      <c r="J120" s="201">
        <f t="shared" si="7"/>
        <v>-1.1644999999999999E-2</v>
      </c>
      <c r="K120" s="201">
        <f t="shared" si="7"/>
        <v>-1.6785000000000001E-2</v>
      </c>
      <c r="L120" s="201">
        <f t="shared" si="7"/>
        <v>-1.1672E-2</v>
      </c>
      <c r="M120" s="201">
        <f t="shared" si="7"/>
        <v>-2.1426999999999995E-2</v>
      </c>
      <c r="N120" s="201">
        <f t="shared" si="7"/>
        <v>-1.3448999999999999E-2</v>
      </c>
      <c r="O120" s="201">
        <f t="shared" si="7"/>
        <v>-2.2315000000000002E-2</v>
      </c>
    </row>
    <row r="121" spans="1:26">
      <c r="B121" s="270" t="s">
        <v>65</v>
      </c>
      <c r="C121" s="108" t="str">
        <f>TEXT(EDATE(D121,-1),"mmmm aaaa")</f>
        <v>abril 2025</v>
      </c>
      <c r="D121" s="108" t="str">
        <f t="shared" ref="D121:M121" si="8">TEXT(EDATE(E121,-1),"mmmm aaaa")</f>
        <v>mayo 2025</v>
      </c>
      <c r="E121" s="108" t="str">
        <f t="shared" si="8"/>
        <v>junio 2025</v>
      </c>
      <c r="F121" s="108" t="str">
        <f t="shared" si="8"/>
        <v>julio 2025</v>
      </c>
      <c r="G121" s="108" t="str">
        <f t="shared" si="8"/>
        <v>agosto 2025</v>
      </c>
      <c r="H121" s="108" t="str">
        <f t="shared" si="8"/>
        <v>septiembre 2025</v>
      </c>
      <c r="I121" s="108" t="str">
        <f t="shared" si="8"/>
        <v>octubre 2025</v>
      </c>
      <c r="J121" s="108" t="str">
        <f t="shared" si="8"/>
        <v>noviembre 2025</v>
      </c>
      <c r="K121" s="108" t="str">
        <f t="shared" si="8"/>
        <v>diciembre 2025</v>
      </c>
      <c r="L121" s="108" t="str">
        <f t="shared" si="8"/>
        <v>enero 2026</v>
      </c>
      <c r="M121" s="108" t="str">
        <f t="shared" si="8"/>
        <v>febrero 2026</v>
      </c>
      <c r="N121" s="108" t="str">
        <f>TEXT(EDATE(O121,-1),"mmmm aaaa")</f>
        <v>marzo 2026</v>
      </c>
      <c r="O121" s="109" t="str">
        <f>A2</f>
        <v>Abril 2026</v>
      </c>
    </row>
    <row r="122" spans="1:26">
      <c r="B122" s="271"/>
      <c r="C122" s="116" t="str">
        <f>TEXT(EDATE($A$2,-12),"mmm")&amp;".-"&amp;TEXT(EDATE($A$2,-12),"aa")</f>
        <v>abr.-25</v>
      </c>
      <c r="D122" s="116" t="str">
        <f>TEXT(EDATE($A$2,-11),"mmm")&amp;".-"&amp;TEXT(EDATE($A$2,-11),"aa")</f>
        <v>may.-25</v>
      </c>
      <c r="E122" s="116" t="str">
        <f>TEXT(EDATE($A$2,-10),"mmm")&amp;".-"&amp;TEXT(EDATE($A$2,-10),"aa")</f>
        <v>jun.-25</v>
      </c>
      <c r="F122" s="116" t="str">
        <f>TEXT(EDATE($A$2,-9),"mmm")&amp;".-"&amp;TEXT(EDATE($A$2,-9),"aa")</f>
        <v>jul.-25</v>
      </c>
      <c r="G122" s="116" t="str">
        <f>TEXT(EDATE($A$2,-8),"mmm")&amp;".-"&amp;TEXT(EDATE($A$2,-8),"aa")</f>
        <v>ago.-25</v>
      </c>
      <c r="H122" s="116" t="str">
        <f>TEXT(EDATE($A$2,-7),"mmm")&amp;".-"&amp;TEXT(EDATE($A$2,-7),"aa")</f>
        <v>sep.-25</v>
      </c>
      <c r="I122" s="116" t="str">
        <f>TEXT(EDATE($A$2,-6),"mmm")&amp;".-"&amp;TEXT(EDATE($A$2,-6),"aa")</f>
        <v>oct.-25</v>
      </c>
      <c r="J122" s="116" t="str">
        <f>TEXT(EDATE($A$2,-5),"mmm")&amp;".-"&amp;TEXT(EDATE($A$2,-5),"aa")</f>
        <v>nov.-25</v>
      </c>
      <c r="K122" s="116" t="str">
        <f>TEXT(EDATE($A$2,-4),"mmm")&amp;".-"&amp;TEXT(EDATE($A$2,-4),"aa")</f>
        <v>dic.-25</v>
      </c>
      <c r="L122" s="116" t="str">
        <f>TEXT(EDATE($A$2,-3),"mmm")&amp;".-"&amp;TEXT(EDATE($A$2,-3),"aa")</f>
        <v>ene.-26</v>
      </c>
      <c r="M122" s="116" t="str">
        <f>TEXT(EDATE($A$2,-2),"mmm")&amp;".-"&amp;TEXT(EDATE($A$2,-2),"aa")</f>
        <v>feb.-26</v>
      </c>
      <c r="N122" s="116" t="str">
        <f>TEXT(EDATE($A$2,-1),"mmm")&amp;".-"&amp;TEXT(EDATE($A$2,-1),"aa")</f>
        <v>mar.-26</v>
      </c>
      <c r="O122" s="136" t="str">
        <f>TEXT($A$2,"mmm")&amp;".-"&amp;TEXT($A$2,"aa")</f>
        <v>abr.-26</v>
      </c>
    </row>
    <row r="123" spans="1:26">
      <c r="A123" s="267" t="s">
        <v>67</v>
      </c>
      <c r="B123" s="117" t="s">
        <v>11</v>
      </c>
      <c r="C123" s="118">
        <f t="shared" ref="C123:O123" si="9">HLOOKUP(C$121,$86:$103,3,FALSE)</f>
        <v>0</v>
      </c>
      <c r="D123" s="118">
        <f t="shared" si="9"/>
        <v>0</v>
      </c>
      <c r="E123" s="118">
        <f t="shared" si="9"/>
        <v>0</v>
      </c>
      <c r="F123" s="118">
        <f t="shared" si="9"/>
        <v>0</v>
      </c>
      <c r="G123" s="118">
        <f t="shared" si="9"/>
        <v>0</v>
      </c>
      <c r="H123" s="118">
        <f t="shared" si="9"/>
        <v>0</v>
      </c>
      <c r="I123" s="118">
        <f t="shared" si="9"/>
        <v>0</v>
      </c>
      <c r="J123" s="118">
        <f t="shared" si="9"/>
        <v>0</v>
      </c>
      <c r="K123" s="118">
        <f t="shared" si="9"/>
        <v>0</v>
      </c>
      <c r="L123" s="118">
        <f t="shared" si="9"/>
        <v>0</v>
      </c>
      <c r="M123" s="118">
        <f t="shared" si="9"/>
        <v>0</v>
      </c>
      <c r="N123" s="118">
        <f t="shared" si="9"/>
        <v>0</v>
      </c>
      <c r="O123" s="119">
        <f t="shared" si="9"/>
        <v>0</v>
      </c>
    </row>
    <row r="124" spans="1:26">
      <c r="A124" s="268"/>
      <c r="B124" s="102" t="s">
        <v>10</v>
      </c>
      <c r="C124" s="104">
        <f t="shared" ref="C124:O124" si="10">HLOOKUP(C$121,$86:$103,4,FALSE)</f>
        <v>13.863616</v>
      </c>
      <c r="D124" s="104">
        <f t="shared" si="10"/>
        <v>17.616911000000002</v>
      </c>
      <c r="E124" s="104">
        <f t="shared" si="10"/>
        <v>36.758597999999999</v>
      </c>
      <c r="F124" s="104">
        <f t="shared" si="10"/>
        <v>62.363782</v>
      </c>
      <c r="G124" s="104">
        <f t="shared" si="10"/>
        <v>66.467855</v>
      </c>
      <c r="H124" s="104">
        <f t="shared" si="10"/>
        <v>45.454340000000002</v>
      </c>
      <c r="I124" s="104">
        <f t="shared" si="10"/>
        <v>22.456917000000001</v>
      </c>
      <c r="J124" s="104">
        <f t="shared" si="10"/>
        <v>17.069234000000002</v>
      </c>
      <c r="K124" s="104">
        <f t="shared" si="10"/>
        <v>11.652042</v>
      </c>
      <c r="L124" s="104">
        <f t="shared" si="10"/>
        <v>14.892018999999999</v>
      </c>
      <c r="M124" s="104">
        <f t="shared" si="10"/>
        <v>6.0359920000000002</v>
      </c>
      <c r="N124" s="104">
        <f t="shared" si="10"/>
        <v>8.5326330000000006</v>
      </c>
      <c r="O124" s="119">
        <f t="shared" si="10"/>
        <v>8.6196000000000002</v>
      </c>
    </row>
    <row r="125" spans="1:26">
      <c r="A125" s="268"/>
      <c r="B125" s="102" t="s">
        <v>9</v>
      </c>
      <c r="C125" s="104">
        <f t="shared" ref="C125:O125" si="11">HLOOKUP(C$121,$86:$103,5,FALSE)</f>
        <v>25.040586000000001</v>
      </c>
      <c r="D125" s="104">
        <f t="shared" si="11"/>
        <v>25.468105999999999</v>
      </c>
      <c r="E125" s="104">
        <f t="shared" si="11"/>
        <v>46.078491</v>
      </c>
      <c r="F125" s="104">
        <f t="shared" si="11"/>
        <v>58.218541000000002</v>
      </c>
      <c r="G125" s="104">
        <f t="shared" si="11"/>
        <v>51.241262999999996</v>
      </c>
      <c r="H125" s="104">
        <f t="shared" si="11"/>
        <v>39.777388999999999</v>
      </c>
      <c r="I125" s="104">
        <f t="shared" si="11"/>
        <v>43.751629999999999</v>
      </c>
      <c r="J125" s="104">
        <f t="shared" si="11"/>
        <v>32.383879</v>
      </c>
      <c r="K125" s="104">
        <f t="shared" si="11"/>
        <v>25.042332999999999</v>
      </c>
      <c r="L125" s="104">
        <f t="shared" si="11"/>
        <v>28.074463000000002</v>
      </c>
      <c r="M125" s="104">
        <f t="shared" si="11"/>
        <v>21.743562000000001</v>
      </c>
      <c r="N125" s="104">
        <f t="shared" si="11"/>
        <v>24.257366999999999</v>
      </c>
      <c r="O125" s="119">
        <f t="shared" si="11"/>
        <v>22.619537000000001</v>
      </c>
    </row>
    <row r="126" spans="1:26" ht="14.25">
      <c r="A126" s="268"/>
      <c r="B126" s="102" t="s">
        <v>116</v>
      </c>
      <c r="C126" s="104">
        <f t="shared" ref="C126:O126" si="12">HLOOKUP(C$121,$86:$103,6,FALSE)</f>
        <v>226.59007600000001</v>
      </c>
      <c r="D126" s="104">
        <f t="shared" si="12"/>
        <v>244.74023199999999</v>
      </c>
      <c r="E126" s="104">
        <f t="shared" si="12"/>
        <v>274.475863</v>
      </c>
      <c r="F126" s="104">
        <f t="shared" si="12"/>
        <v>334.267562</v>
      </c>
      <c r="G126" s="104">
        <f t="shared" si="12"/>
        <v>319.07413400000002</v>
      </c>
      <c r="H126" s="104">
        <f t="shared" si="12"/>
        <v>274.82982800000002</v>
      </c>
      <c r="I126" s="104">
        <f t="shared" si="12"/>
        <v>257.021049</v>
      </c>
      <c r="J126" s="104">
        <f t="shared" si="12"/>
        <v>234.20941099999999</v>
      </c>
      <c r="K126" s="104">
        <f t="shared" si="12"/>
        <v>265.032152</v>
      </c>
      <c r="L126" s="104">
        <f t="shared" si="12"/>
        <v>271.90836200000001</v>
      </c>
      <c r="M126" s="104">
        <f t="shared" si="12"/>
        <v>219.728983</v>
      </c>
      <c r="N126" s="104">
        <f t="shared" si="12"/>
        <v>263.66985</v>
      </c>
      <c r="O126" s="119">
        <f t="shared" si="12"/>
        <v>217.826639</v>
      </c>
    </row>
    <row r="127" spans="1:26">
      <c r="A127" s="268"/>
      <c r="B127" s="102" t="s">
        <v>24</v>
      </c>
      <c r="C127" s="104">
        <f t="shared" ref="C127:O127" si="13">HLOOKUP(C$121,$86:$103,7,FALSE)</f>
        <v>0</v>
      </c>
      <c r="D127" s="104">
        <f t="shared" si="13"/>
        <v>0</v>
      </c>
      <c r="E127" s="104">
        <f t="shared" si="13"/>
        <v>0</v>
      </c>
      <c r="F127" s="104">
        <f t="shared" si="13"/>
        <v>0</v>
      </c>
      <c r="G127" s="104">
        <f t="shared" si="13"/>
        <v>0</v>
      </c>
      <c r="H127" s="104">
        <f t="shared" si="13"/>
        <v>0</v>
      </c>
      <c r="I127" s="104">
        <f t="shared" si="13"/>
        <v>0</v>
      </c>
      <c r="J127" s="104">
        <f t="shared" si="13"/>
        <v>0</v>
      </c>
      <c r="K127" s="104">
        <f t="shared" si="13"/>
        <v>0</v>
      </c>
      <c r="L127" s="104">
        <f t="shared" si="13"/>
        <v>0</v>
      </c>
      <c r="M127" s="104">
        <f t="shared" si="13"/>
        <v>0</v>
      </c>
      <c r="N127" s="104">
        <f t="shared" si="13"/>
        <v>0</v>
      </c>
      <c r="O127" s="119">
        <f t="shared" si="13"/>
        <v>0</v>
      </c>
    </row>
    <row r="128" spans="1:26">
      <c r="A128" s="268"/>
      <c r="B128" s="102" t="s">
        <v>5</v>
      </c>
      <c r="C128" s="104">
        <f t="shared" ref="C128:O128" si="14">HLOOKUP(C$121,$86:$104,8,FALSE)</f>
        <v>0</v>
      </c>
      <c r="D128" s="104">
        <f t="shared" si="14"/>
        <v>0</v>
      </c>
      <c r="E128" s="104">
        <f t="shared" si="14"/>
        <v>0</v>
      </c>
      <c r="F128" s="104">
        <f t="shared" si="14"/>
        <v>0</v>
      </c>
      <c r="G128" s="104">
        <f t="shared" si="14"/>
        <v>0</v>
      </c>
      <c r="H128" s="104">
        <f t="shared" si="14"/>
        <v>0</v>
      </c>
      <c r="I128" s="104">
        <f t="shared" si="14"/>
        <v>0</v>
      </c>
      <c r="J128" s="104">
        <f t="shared" si="14"/>
        <v>0</v>
      </c>
      <c r="K128" s="104">
        <f t="shared" si="14"/>
        <v>0</v>
      </c>
      <c r="L128" s="104">
        <f t="shared" si="14"/>
        <v>0</v>
      </c>
      <c r="M128" s="104">
        <f t="shared" si="14"/>
        <v>0</v>
      </c>
      <c r="N128" s="104">
        <f t="shared" si="14"/>
        <v>0</v>
      </c>
      <c r="O128" s="119">
        <f t="shared" si="14"/>
        <v>0</v>
      </c>
    </row>
    <row r="129" spans="1:15">
      <c r="A129" s="268"/>
      <c r="B129" s="102" t="s">
        <v>4</v>
      </c>
      <c r="C129" s="104">
        <f t="shared" ref="C129:O129" si="15">HLOOKUP(C$121,$86:$104,9,FALSE)</f>
        <v>49.048960999999998</v>
      </c>
      <c r="D129" s="104">
        <f t="shared" si="15"/>
        <v>55.148218999999997</v>
      </c>
      <c r="E129" s="104">
        <f t="shared" si="15"/>
        <v>64.616387000000003</v>
      </c>
      <c r="F129" s="104">
        <f t="shared" si="15"/>
        <v>58.301254</v>
      </c>
      <c r="G129" s="104">
        <f t="shared" si="15"/>
        <v>58.388308000000002</v>
      </c>
      <c r="H129" s="104">
        <f t="shared" si="15"/>
        <v>48.070135000000001</v>
      </c>
      <c r="I129" s="104">
        <f t="shared" si="15"/>
        <v>38.159438000000002</v>
      </c>
      <c r="J129" s="104">
        <f t="shared" si="15"/>
        <v>28.287680999999999</v>
      </c>
      <c r="K129" s="104">
        <f t="shared" si="15"/>
        <v>21.457460999999999</v>
      </c>
      <c r="L129" s="104">
        <f t="shared" si="15"/>
        <v>26.531222</v>
      </c>
      <c r="M129" s="104">
        <f t="shared" si="15"/>
        <v>38.510109999999997</v>
      </c>
      <c r="N129" s="104">
        <f t="shared" si="15"/>
        <v>42.581280999999997</v>
      </c>
      <c r="O129" s="119">
        <f t="shared" si="15"/>
        <v>58.732978000000003</v>
      </c>
    </row>
    <row r="130" spans="1:15">
      <c r="A130" s="268"/>
      <c r="B130" s="110" t="s">
        <v>22</v>
      </c>
      <c r="C130" s="104">
        <f t="shared" ref="C130:O130" si="16">HLOOKUP(C$121,$86:$104,10,FALSE)</f>
        <v>0.216173</v>
      </c>
      <c r="D130" s="104">
        <f t="shared" si="16"/>
        <v>0.242977</v>
      </c>
      <c r="E130" s="104">
        <f t="shared" si="16"/>
        <v>0.25375799999999998</v>
      </c>
      <c r="F130" s="104">
        <f t="shared" si="16"/>
        <v>0.13533500000000001</v>
      </c>
      <c r="G130" s="104">
        <f t="shared" si="16"/>
        <v>6.2700000000000006E-2</v>
      </c>
      <c r="H130" s="104">
        <f t="shared" si="16"/>
        <v>0.16319</v>
      </c>
      <c r="I130" s="104">
        <f t="shared" si="16"/>
        <v>0.72397699999999998</v>
      </c>
      <c r="J130" s="104">
        <f t="shared" si="16"/>
        <v>1.328557</v>
      </c>
      <c r="K130" s="104">
        <f t="shared" si="16"/>
        <v>0.812226</v>
      </c>
      <c r="L130" s="104">
        <f t="shared" si="16"/>
        <v>0.97993699999999995</v>
      </c>
      <c r="M130" s="104">
        <f t="shared" si="16"/>
        <v>0.94255900000000004</v>
      </c>
      <c r="N130" s="104">
        <f t="shared" si="16"/>
        <v>1.3661909999999999</v>
      </c>
      <c r="O130" s="119">
        <f t="shared" si="16"/>
        <v>1.5815539999999999</v>
      </c>
    </row>
    <row r="131" spans="1:15">
      <c r="A131" s="268"/>
      <c r="B131" s="110" t="s">
        <v>23</v>
      </c>
      <c r="C131" s="104">
        <f t="shared" ref="C131:O131" si="17">HLOOKUP(C$121,$86:$104,11,FALSE)</f>
        <v>2.4437060000000002</v>
      </c>
      <c r="D131" s="104">
        <f t="shared" si="17"/>
        <v>3.266893</v>
      </c>
      <c r="E131" s="104">
        <f t="shared" si="17"/>
        <v>4.1208809999999998</v>
      </c>
      <c r="F131" s="104">
        <f t="shared" si="17"/>
        <v>3.573118</v>
      </c>
      <c r="G131" s="104">
        <f t="shared" si="17"/>
        <v>3.1659009999999999</v>
      </c>
      <c r="H131" s="104">
        <f t="shared" si="17"/>
        <v>2.336195</v>
      </c>
      <c r="I131" s="104">
        <f t="shared" si="17"/>
        <v>3.0284080000000002</v>
      </c>
      <c r="J131" s="104">
        <f t="shared" si="17"/>
        <v>2.5220250000000002</v>
      </c>
      <c r="K131" s="104">
        <f t="shared" si="17"/>
        <v>3.7919230000000002</v>
      </c>
      <c r="L131" s="104">
        <f t="shared" si="17"/>
        <v>3.4251860000000001</v>
      </c>
      <c r="M131" s="104">
        <f t="shared" si="17"/>
        <v>1.3775310000000001</v>
      </c>
      <c r="N131" s="104">
        <f t="shared" si="17"/>
        <v>0.98716599999999999</v>
      </c>
      <c r="O131" s="119">
        <f t="shared" si="17"/>
        <v>2.626277</v>
      </c>
    </row>
    <row r="132" spans="1:15">
      <c r="A132" s="268"/>
      <c r="B132" s="102" t="s">
        <v>47</v>
      </c>
      <c r="C132" s="104">
        <f t="shared" ref="C132:O132" si="18">HLOOKUP(C$121,$86:$104,13,FALSE)</f>
        <v>12.984987</v>
      </c>
      <c r="D132" s="104">
        <f t="shared" si="18"/>
        <v>10.486427000000001</v>
      </c>
      <c r="E132" s="104">
        <f t="shared" si="18"/>
        <v>14.345347</v>
      </c>
      <c r="F132" s="104">
        <f t="shared" si="18"/>
        <v>13.9802175</v>
      </c>
      <c r="G132" s="104">
        <f t="shared" si="18"/>
        <v>11.851319</v>
      </c>
      <c r="H132" s="104">
        <f t="shared" si="18"/>
        <v>13.92998</v>
      </c>
      <c r="I132" s="104">
        <f t="shared" si="18"/>
        <v>8.0829000000000004</v>
      </c>
      <c r="J132" s="104">
        <f t="shared" si="18"/>
        <v>12.386824499999999</v>
      </c>
      <c r="K132" s="104">
        <f t="shared" si="18"/>
        <v>9.5741110000000003</v>
      </c>
      <c r="L132" s="104">
        <f t="shared" si="18"/>
        <v>8.3717509999999997</v>
      </c>
      <c r="M132" s="104">
        <f t="shared" si="18"/>
        <v>4.8198524999999997</v>
      </c>
      <c r="N132" s="104">
        <f t="shared" si="18"/>
        <v>9.7177954999999994</v>
      </c>
      <c r="O132" s="119">
        <f t="shared" si="18"/>
        <v>15.144128</v>
      </c>
    </row>
    <row r="133" spans="1:15">
      <c r="A133" s="268"/>
      <c r="B133" s="102" t="s">
        <v>46</v>
      </c>
      <c r="C133" s="104">
        <f t="shared" ref="C133:O133" si="19">HLOOKUP(C$121,$86:$104,12,FALSE)</f>
        <v>12.984987</v>
      </c>
      <c r="D133" s="104">
        <f t="shared" si="19"/>
        <v>10.486427000000001</v>
      </c>
      <c r="E133" s="104">
        <f t="shared" si="19"/>
        <v>14.345347</v>
      </c>
      <c r="F133" s="104">
        <f t="shared" si="19"/>
        <v>13.9802175</v>
      </c>
      <c r="G133" s="104">
        <f t="shared" si="19"/>
        <v>11.851319</v>
      </c>
      <c r="H133" s="104">
        <f t="shared" si="19"/>
        <v>13.92998</v>
      </c>
      <c r="I133" s="104">
        <f t="shared" si="19"/>
        <v>8.0829000000000004</v>
      </c>
      <c r="J133" s="104">
        <f t="shared" si="19"/>
        <v>12.386824499999999</v>
      </c>
      <c r="K133" s="104">
        <f t="shared" si="19"/>
        <v>9.5741110000000003</v>
      </c>
      <c r="L133" s="104">
        <f t="shared" si="19"/>
        <v>8.3717509999999997</v>
      </c>
      <c r="M133" s="104">
        <f t="shared" si="19"/>
        <v>4.8198524999999997</v>
      </c>
      <c r="N133" s="104">
        <f t="shared" si="19"/>
        <v>9.7177954999999994</v>
      </c>
      <c r="O133" s="119">
        <f t="shared" si="19"/>
        <v>15.144128</v>
      </c>
    </row>
    <row r="134" spans="1:15">
      <c r="A134" s="268"/>
      <c r="B134" s="111" t="s">
        <v>2</v>
      </c>
      <c r="C134" s="159">
        <f>HLOOKUP(C$121,$86:$104,14,FALSE)</f>
        <v>343.173092</v>
      </c>
      <c r="D134" s="159">
        <f t="shared" ref="D134:O134" si="20">HLOOKUP(D$121,$86:$104,14,FALSE)</f>
        <v>367.45619199999999</v>
      </c>
      <c r="E134" s="159">
        <f t="shared" si="20"/>
        <v>454.99467199999998</v>
      </c>
      <c r="F134" s="159">
        <f t="shared" si="20"/>
        <v>544.82002699999998</v>
      </c>
      <c r="G134" s="159">
        <f t="shared" si="20"/>
        <v>522.102799</v>
      </c>
      <c r="H134" s="159">
        <f t="shared" si="20"/>
        <v>438.49103700000001</v>
      </c>
      <c r="I134" s="159">
        <f t="shared" si="20"/>
        <v>381.30721899999998</v>
      </c>
      <c r="J134" s="159">
        <f t="shared" si="20"/>
        <v>340.57443599999999</v>
      </c>
      <c r="K134" s="159">
        <f t="shared" si="20"/>
        <v>346.93635899999998</v>
      </c>
      <c r="L134" s="159">
        <f t="shared" si="20"/>
        <v>362.55469099999999</v>
      </c>
      <c r="M134" s="159">
        <f t="shared" si="20"/>
        <v>297.97844199999997</v>
      </c>
      <c r="N134" s="159">
        <f t="shared" si="20"/>
        <v>360.83007900000001</v>
      </c>
      <c r="O134" s="160">
        <f t="shared" si="20"/>
        <v>342.29484100000002</v>
      </c>
    </row>
    <row r="135" spans="1:15">
      <c r="A135" s="268"/>
      <c r="B135" s="102" t="s">
        <v>95</v>
      </c>
      <c r="C135" s="104">
        <f>HLOOKUP(C$121,$86:$104,15,FALSE)</f>
        <v>9.810000000000001E-4</v>
      </c>
      <c r="D135" s="104">
        <f t="shared" ref="D135:O135" si="21">HLOOKUP(D$121,$86:$104,15,FALSE)</f>
        <v>8.0190000000000001E-3</v>
      </c>
      <c r="E135" s="104">
        <f t="shared" si="21"/>
        <v>3.3307000000000003E-2</v>
      </c>
      <c r="F135" s="104">
        <f t="shared" si="21"/>
        <v>2.5804000000000001E-2</v>
      </c>
      <c r="G135" s="104">
        <f t="shared" si="21"/>
        <v>0</v>
      </c>
      <c r="H135" s="104">
        <f t="shared" si="21"/>
        <v>2.65E-3</v>
      </c>
      <c r="I135" s="104">
        <f t="shared" si="21"/>
        <v>1.1019999999999999E-3</v>
      </c>
      <c r="J135" s="104">
        <f t="shared" si="21"/>
        <v>1.536E-3</v>
      </c>
      <c r="K135" s="104">
        <f t="shared" si="21"/>
        <v>0</v>
      </c>
      <c r="L135" s="104">
        <f t="shared" si="21"/>
        <v>0</v>
      </c>
      <c r="M135" s="104">
        <f t="shared" si="21"/>
        <v>0</v>
      </c>
      <c r="N135" s="104">
        <f t="shared" si="21"/>
        <v>0</v>
      </c>
      <c r="O135" s="162">
        <f t="shared" si="21"/>
        <v>0</v>
      </c>
    </row>
    <row r="136" spans="1:15">
      <c r="A136" s="268"/>
      <c r="B136" s="102" t="s">
        <v>96</v>
      </c>
      <c r="C136" s="104">
        <f>HLOOKUP(C$121,$86:$104,16,FALSE)</f>
        <v>-6.4229999999999999E-3</v>
      </c>
      <c r="D136" s="104">
        <f t="shared" ref="D136:O136" si="22">HLOOKUP(D$121,$86:$104,16,FALSE)</f>
        <v>-2.7414000000000001E-2</v>
      </c>
      <c r="E136" s="104">
        <f t="shared" si="22"/>
        <v>-6.6456000000000001E-2</v>
      </c>
      <c r="F136" s="104">
        <f t="shared" si="22"/>
        <v>-8.4402000000000005E-2</v>
      </c>
      <c r="G136" s="104">
        <f t="shared" si="22"/>
        <v>-3.7090000000000001E-3</v>
      </c>
      <c r="H136" s="104">
        <f t="shared" si="22"/>
        <v>-8.4089999999999998E-3</v>
      </c>
      <c r="I136" s="104">
        <f t="shared" si="22"/>
        <v>-6.4120000000000002E-3</v>
      </c>
      <c r="J136" s="104">
        <f t="shared" si="22"/>
        <v>-5.6010000000000001E-3</v>
      </c>
      <c r="K136" s="104">
        <f t="shared" si="22"/>
        <v>-4.0439999999999999E-3</v>
      </c>
      <c r="L136" s="104">
        <f t="shared" si="22"/>
        <v>-3.8699999999999997E-4</v>
      </c>
      <c r="M136" s="104">
        <f t="shared" si="22"/>
        <v>0</v>
      </c>
      <c r="N136" s="104">
        <f t="shared" si="22"/>
        <v>0</v>
      </c>
      <c r="O136" s="163">
        <f t="shared" si="22"/>
        <v>0</v>
      </c>
    </row>
    <row r="137" spans="1:15">
      <c r="A137" s="268"/>
      <c r="B137" s="102" t="s">
        <v>21</v>
      </c>
      <c r="C137" s="161">
        <f>HLOOKUP(C$121,$86:$104,17,FALSE)</f>
        <v>85.306769000000003</v>
      </c>
      <c r="D137" s="161">
        <f t="shared" ref="D137:O137" si="23">HLOOKUP(D$121,$86:$104,17,FALSE)</f>
        <v>110.447626</v>
      </c>
      <c r="E137" s="161">
        <f t="shared" si="23"/>
        <v>171.035324</v>
      </c>
      <c r="F137" s="161">
        <f t="shared" si="23"/>
        <v>188.42781500000001</v>
      </c>
      <c r="G137" s="161">
        <f t="shared" si="23"/>
        <v>208.61120199999999</v>
      </c>
      <c r="H137" s="161">
        <f t="shared" si="23"/>
        <v>166.21217300000001</v>
      </c>
      <c r="I137" s="161">
        <f t="shared" si="23"/>
        <v>119.248762</v>
      </c>
      <c r="J137" s="161">
        <f t="shared" si="23"/>
        <v>76.900411000000005</v>
      </c>
      <c r="K137" s="161">
        <f t="shared" si="23"/>
        <v>120.18883599999999</v>
      </c>
      <c r="L137" s="161">
        <f t="shared" si="23"/>
        <v>138.53626600000001</v>
      </c>
      <c r="M137" s="161">
        <f t="shared" si="23"/>
        <v>102.627172</v>
      </c>
      <c r="N137" s="161">
        <f t="shared" si="23"/>
        <v>104.897592</v>
      </c>
      <c r="O137" s="164">
        <f t="shared" si="23"/>
        <v>97.533116000000007</v>
      </c>
    </row>
    <row r="138" spans="1:15">
      <c r="A138" s="268"/>
      <c r="B138" s="112" t="s">
        <v>1</v>
      </c>
      <c r="C138" s="113">
        <f>HLOOKUP(C$121,$86:$104,18,FALSE)</f>
        <v>428.47441900000001</v>
      </c>
      <c r="D138" s="113">
        <f t="shared" ref="D138:O138" si="24">HLOOKUP(D$121,$86:$104,18,FALSE)</f>
        <v>477.88442300000003</v>
      </c>
      <c r="E138" s="113">
        <f t="shared" si="24"/>
        <v>625.996847</v>
      </c>
      <c r="F138" s="113">
        <f t="shared" si="24"/>
        <v>733.18924400000003</v>
      </c>
      <c r="G138" s="113">
        <f t="shared" si="24"/>
        <v>730.71029199999998</v>
      </c>
      <c r="H138" s="113">
        <f t="shared" si="24"/>
        <v>604.697451</v>
      </c>
      <c r="I138" s="113">
        <f t="shared" si="24"/>
        <v>500.55067100000002</v>
      </c>
      <c r="J138" s="113">
        <f t="shared" si="24"/>
        <v>417.47078199999999</v>
      </c>
      <c r="K138" s="113">
        <f t="shared" si="24"/>
        <v>467.121151</v>
      </c>
      <c r="L138" s="113">
        <f t="shared" si="24"/>
        <v>501.09057000000001</v>
      </c>
      <c r="M138" s="113">
        <f t="shared" si="24"/>
        <v>400.605614</v>
      </c>
      <c r="N138" s="113">
        <f t="shared" si="24"/>
        <v>465.72767099999999</v>
      </c>
      <c r="O138" s="165">
        <f t="shared" si="24"/>
        <v>439.82795700000003</v>
      </c>
    </row>
    <row r="139" spans="1:15" ht="14.25">
      <c r="A139" s="269"/>
      <c r="B139" s="120" t="s">
        <v>66</v>
      </c>
      <c r="C139" s="121">
        <f>C124+C125+C127</f>
        <v>38.904201999999998</v>
      </c>
      <c r="D139" s="121">
        <f>D124+D125+D127</f>
        <v>43.085017000000001</v>
      </c>
      <c r="E139" s="121">
        <f t="shared" ref="E139:O139" si="25">E124+E125+E127</f>
        <v>82.837088999999992</v>
      </c>
      <c r="F139" s="121">
        <f t="shared" si="25"/>
        <v>120.582323</v>
      </c>
      <c r="G139" s="121">
        <f t="shared" si="25"/>
        <v>117.70911799999999</v>
      </c>
      <c r="H139" s="121">
        <f t="shared" si="25"/>
        <v>85.231729000000001</v>
      </c>
      <c r="I139" s="121">
        <f t="shared" si="25"/>
        <v>66.208546999999996</v>
      </c>
      <c r="J139" s="121">
        <f t="shared" si="25"/>
        <v>49.453113000000002</v>
      </c>
      <c r="K139" s="121">
        <f t="shared" si="25"/>
        <v>36.694375000000001</v>
      </c>
      <c r="L139" s="121">
        <f t="shared" si="25"/>
        <v>42.966481999999999</v>
      </c>
      <c r="M139" s="121">
        <f t="shared" si="25"/>
        <v>27.779554000000001</v>
      </c>
      <c r="N139" s="121">
        <f t="shared" si="25"/>
        <v>32.79</v>
      </c>
      <c r="O139" s="121">
        <f t="shared" si="25"/>
        <v>31.239136999999999</v>
      </c>
    </row>
    <row r="140" spans="1:15" ht="14.1" customHeight="1">
      <c r="A140" s="264" t="s">
        <v>68</v>
      </c>
      <c r="B140" s="122" t="s">
        <v>65</v>
      </c>
      <c r="C140" s="108" t="str">
        <f>TEXT(EDATE($A$2,-12),"mmm")&amp;".-"&amp;TEXT(EDATE($A$2,-12),"aa")</f>
        <v>abr.-25</v>
      </c>
      <c r="D140" s="108" t="str">
        <f>TEXT(EDATE($A$2,-11),"mmm")&amp;".-"&amp;TEXT(EDATE($A$2,-11),"aa")</f>
        <v>may.-25</v>
      </c>
      <c r="E140" s="108" t="str">
        <f>TEXT(EDATE($A$2,-10),"mmm")&amp;".-"&amp;TEXT(EDATE($A$2,-10),"aa")</f>
        <v>jun.-25</v>
      </c>
      <c r="F140" s="108" t="str">
        <f>TEXT(EDATE($A$2,-9),"mmm")&amp;".-"&amp;TEXT(EDATE($A$2,-9),"aa")</f>
        <v>jul.-25</v>
      </c>
      <c r="G140" s="108" t="str">
        <f>TEXT(EDATE($A$2,-8),"mmm")&amp;".-"&amp;TEXT(EDATE($A$2,-8),"aa")</f>
        <v>ago.-25</v>
      </c>
      <c r="H140" s="108" t="str">
        <f>TEXT(EDATE($A$2,-7),"mmm")&amp;".-"&amp;TEXT(EDATE($A$2,-7),"aa")</f>
        <v>sep.-25</v>
      </c>
      <c r="I140" s="108" t="str">
        <f>TEXT(EDATE($A$2,-6),"mmm")&amp;".-"&amp;TEXT(EDATE($A$2,-6),"aa")</f>
        <v>oct.-25</v>
      </c>
      <c r="J140" s="108" t="str">
        <f>TEXT(EDATE($A$2,-5),"mmm")&amp;".-"&amp;TEXT(EDATE($A$2,-5),"aa")</f>
        <v>nov.-25</v>
      </c>
      <c r="K140" s="108" t="str">
        <f>TEXT(EDATE($A$2,-4),"mmm")&amp;".-"&amp;TEXT(EDATE($A$2,-4),"aa")</f>
        <v>dic.-25</v>
      </c>
      <c r="L140" s="108" t="str">
        <f>TEXT(EDATE($A$2,-3),"mmm")&amp;".-"&amp;TEXT(EDATE($A$2,-3),"aa")</f>
        <v>ene.-26</v>
      </c>
      <c r="M140" s="108" t="str">
        <f>TEXT(EDATE($A$2,-2),"mmm")&amp;".-"&amp;TEXT(EDATE($A$2,-2),"aa")</f>
        <v>feb.-26</v>
      </c>
      <c r="N140" s="108" t="str">
        <f>TEXT(EDATE($A$2,-1),"mmm")&amp;".-"&amp;TEXT(EDATE($A$2,-1),"aa")</f>
        <v>mar.-26</v>
      </c>
      <c r="O140" s="109" t="str">
        <f>TEXT($A$2,"mmm")&amp;".-"&amp;TEXT($A$2,"aa")</f>
        <v>abr.-26</v>
      </c>
    </row>
    <row r="141" spans="1:15" ht="15" customHeight="1">
      <c r="A141" s="265"/>
      <c r="B141" s="102" t="s">
        <v>12</v>
      </c>
      <c r="C141" s="104">
        <f>HLOOKUP(C$121,$86:$119,19,FALSE)</f>
        <v>0</v>
      </c>
      <c r="D141" s="104">
        <f t="shared" ref="D141:O141" si="26">HLOOKUP(D$121,$86:$119,19,FALSE)</f>
        <v>0</v>
      </c>
      <c r="E141" s="104">
        <f t="shared" si="26"/>
        <v>0</v>
      </c>
      <c r="F141" s="104">
        <f t="shared" si="26"/>
        <v>0</v>
      </c>
      <c r="G141" s="104">
        <f t="shared" si="26"/>
        <v>0</v>
      </c>
      <c r="H141" s="104">
        <f t="shared" si="26"/>
        <v>0</v>
      </c>
      <c r="I141" s="104">
        <f t="shared" si="26"/>
        <v>0</v>
      </c>
      <c r="J141" s="104">
        <f t="shared" si="26"/>
        <v>0</v>
      </c>
      <c r="K141" s="104">
        <f t="shared" si="26"/>
        <v>0</v>
      </c>
      <c r="L141" s="104">
        <f t="shared" si="26"/>
        <v>0</v>
      </c>
      <c r="M141" s="104">
        <f t="shared" si="26"/>
        <v>0</v>
      </c>
      <c r="N141" s="104">
        <f t="shared" si="26"/>
        <v>0</v>
      </c>
      <c r="O141" s="137">
        <f t="shared" si="26"/>
        <v>0</v>
      </c>
    </row>
    <row r="142" spans="1:15" ht="14.1" customHeight="1">
      <c r="A142" s="265"/>
      <c r="B142" s="102" t="s">
        <v>10</v>
      </c>
      <c r="C142" s="104">
        <f>HLOOKUP(C$121,$86:$119,20,FALSE)</f>
        <v>146.76996600000001</v>
      </c>
      <c r="D142" s="104">
        <f t="shared" ref="D142:O142" si="27">HLOOKUP(D$121,$86:$119,20,FALSE)</f>
        <v>139.11880199999999</v>
      </c>
      <c r="E142" s="104">
        <f t="shared" si="27"/>
        <v>133.454463</v>
      </c>
      <c r="F142" s="104">
        <f t="shared" si="27"/>
        <v>138.95366799999999</v>
      </c>
      <c r="G142" s="104">
        <f t="shared" si="27"/>
        <v>156.429901</v>
      </c>
      <c r="H142" s="104">
        <f t="shared" si="27"/>
        <v>146.533942</v>
      </c>
      <c r="I142" s="104">
        <f t="shared" si="27"/>
        <v>159.05462600000001</v>
      </c>
      <c r="J142" s="104">
        <f t="shared" si="27"/>
        <v>144.58958999999999</v>
      </c>
      <c r="K142" s="104">
        <f t="shared" si="27"/>
        <v>158.02685199999999</v>
      </c>
      <c r="L142" s="104">
        <f t="shared" si="27"/>
        <v>158.381069</v>
      </c>
      <c r="M142" s="104">
        <f t="shared" si="27"/>
        <v>143.06514300000001</v>
      </c>
      <c r="N142" s="104">
        <f t="shared" si="27"/>
        <v>149.59031300000001</v>
      </c>
      <c r="O142" s="119">
        <f t="shared" si="27"/>
        <v>153.416853</v>
      </c>
    </row>
    <row r="143" spans="1:15" ht="14.1" customHeight="1">
      <c r="A143" s="265"/>
      <c r="B143" s="102" t="s">
        <v>9</v>
      </c>
      <c r="C143" s="104">
        <f>HLOOKUP(C$121,$86:$119,21,FALSE)</f>
        <v>15.002691</v>
      </c>
      <c r="D143" s="104">
        <f t="shared" ref="D143:O143" si="28">HLOOKUP(D$121,$86:$119,21,FALSE)</f>
        <v>15.518791</v>
      </c>
      <c r="E143" s="104">
        <f t="shared" si="28"/>
        <v>14.439681999999999</v>
      </c>
      <c r="F143" s="104">
        <f t="shared" si="28"/>
        <v>17.277450000000002</v>
      </c>
      <c r="G143" s="104">
        <f t="shared" si="28"/>
        <v>21.905804</v>
      </c>
      <c r="H143" s="104">
        <f t="shared" si="28"/>
        <v>21.204673</v>
      </c>
      <c r="I143" s="104">
        <f t="shared" si="28"/>
        <v>28.975633999999999</v>
      </c>
      <c r="J143" s="104">
        <f t="shared" si="28"/>
        <v>21.440819999999999</v>
      </c>
      <c r="K143" s="104">
        <f t="shared" si="28"/>
        <v>25.811325</v>
      </c>
      <c r="L143" s="104">
        <f t="shared" si="28"/>
        <v>28.873301000000001</v>
      </c>
      <c r="M143" s="104">
        <f t="shared" si="28"/>
        <v>25.555015999999998</v>
      </c>
      <c r="N143" s="104">
        <f t="shared" si="28"/>
        <v>29.612995000000002</v>
      </c>
      <c r="O143" s="119">
        <f t="shared" si="28"/>
        <v>34.690565999999997</v>
      </c>
    </row>
    <row r="144" spans="1:15" ht="14.1" customHeight="1">
      <c r="A144" s="265"/>
      <c r="B144" s="102" t="s">
        <v>8</v>
      </c>
      <c r="C144" s="104">
        <f>HLOOKUP(C$121,$86:$119,22,FALSE)</f>
        <v>98.063034000000002</v>
      </c>
      <c r="D144" s="104">
        <f t="shared" ref="D144:O144" si="29">HLOOKUP(D$121,$86:$119,22,FALSE)</f>
        <v>81.823025999999999</v>
      </c>
      <c r="E144" s="104">
        <f t="shared" si="29"/>
        <v>84.304407999999995</v>
      </c>
      <c r="F144" s="104">
        <f t="shared" si="29"/>
        <v>97.398498000000004</v>
      </c>
      <c r="G144" s="104">
        <f t="shared" si="29"/>
        <v>100.21077</v>
      </c>
      <c r="H144" s="104">
        <f t="shared" si="29"/>
        <v>99.346721000000002</v>
      </c>
      <c r="I144" s="104">
        <f t="shared" si="29"/>
        <v>125.06728200000001</v>
      </c>
      <c r="J144" s="104">
        <f t="shared" si="29"/>
        <v>112.30573</v>
      </c>
      <c r="K144" s="104">
        <f t="shared" si="29"/>
        <v>119.831412</v>
      </c>
      <c r="L144" s="104">
        <f t="shared" si="29"/>
        <v>117.60937199999999</v>
      </c>
      <c r="M144" s="104">
        <f t="shared" si="29"/>
        <v>92.890253999999999</v>
      </c>
      <c r="N144" s="104">
        <f t="shared" si="29"/>
        <v>82.571079999999995</v>
      </c>
      <c r="O144" s="119">
        <f t="shared" si="29"/>
        <v>106.513632</v>
      </c>
    </row>
    <row r="145" spans="1:26" ht="14.45" customHeight="1">
      <c r="A145" s="265"/>
      <c r="B145" s="102" t="s">
        <v>116</v>
      </c>
      <c r="C145" s="104">
        <f>HLOOKUP(C$121,$86:$119,23,FALSE)</f>
        <v>290.70250900000002</v>
      </c>
      <c r="D145" s="104">
        <f t="shared" ref="D145:O145" si="30">HLOOKUP(D$121,$86:$119,23,FALSE)</f>
        <v>328.89233899999999</v>
      </c>
      <c r="E145" s="104">
        <f t="shared" si="30"/>
        <v>284.16690399999999</v>
      </c>
      <c r="F145" s="104">
        <f t="shared" si="30"/>
        <v>316.70403900000002</v>
      </c>
      <c r="G145" s="104">
        <f t="shared" si="30"/>
        <v>340.02993600000002</v>
      </c>
      <c r="H145" s="104">
        <f t="shared" si="30"/>
        <v>307.60187999999999</v>
      </c>
      <c r="I145" s="104">
        <f t="shared" si="30"/>
        <v>357.47449</v>
      </c>
      <c r="J145" s="104">
        <f t="shared" si="30"/>
        <v>343.63677799999999</v>
      </c>
      <c r="K145" s="104">
        <f t="shared" si="30"/>
        <v>344.06825099999998</v>
      </c>
      <c r="L145" s="104">
        <f t="shared" si="30"/>
        <v>331.93350299999997</v>
      </c>
      <c r="M145" s="104">
        <f t="shared" si="30"/>
        <v>287.05643500000002</v>
      </c>
      <c r="N145" s="104">
        <f t="shared" si="30"/>
        <v>282.06847599999998</v>
      </c>
      <c r="O145" s="119">
        <f t="shared" si="30"/>
        <v>284.69147199999998</v>
      </c>
    </row>
    <row r="146" spans="1:26" ht="14.1" customHeight="1">
      <c r="A146" s="265"/>
      <c r="B146" s="102" t="s">
        <v>6</v>
      </c>
      <c r="C146" s="104">
        <f>HLOOKUP(C$121,$86:$119,24,FALSE)</f>
        <v>1.7632380000000001</v>
      </c>
      <c r="D146" s="104">
        <f t="shared" ref="D146:O146" si="31">HLOOKUP(D$121,$86:$119,24,FALSE)</f>
        <v>1.701465</v>
      </c>
      <c r="E146" s="104">
        <f t="shared" si="31"/>
        <v>2.9528669999999999</v>
      </c>
      <c r="F146" s="104">
        <f t="shared" si="31"/>
        <v>3.2914970000000001</v>
      </c>
      <c r="G146" s="104">
        <f t="shared" si="31"/>
        <v>2.7481429999999998</v>
      </c>
      <c r="H146" s="104">
        <f t="shared" si="31"/>
        <v>2.5908169999999999</v>
      </c>
      <c r="I146" s="104">
        <f t="shared" si="31"/>
        <v>1.167157</v>
      </c>
      <c r="J146" s="104">
        <f t="shared" si="31"/>
        <v>0.94978899999999999</v>
      </c>
      <c r="K146" s="104">
        <f t="shared" si="31"/>
        <v>1.389267</v>
      </c>
      <c r="L146" s="104">
        <f t="shared" si="31"/>
        <v>1.2355400000000001</v>
      </c>
      <c r="M146" s="104">
        <f t="shared" si="31"/>
        <v>1.2530779999999999</v>
      </c>
      <c r="N146" s="104">
        <f t="shared" si="31"/>
        <v>2.036778</v>
      </c>
      <c r="O146" s="119">
        <f t="shared" si="31"/>
        <v>1.462315</v>
      </c>
    </row>
    <row r="147" spans="1:26" ht="14.1" customHeight="1">
      <c r="A147" s="265"/>
      <c r="B147" s="102" t="s">
        <v>5</v>
      </c>
      <c r="C147" s="104">
        <f>HLOOKUP(C$121,$86:$119,25,FALSE)</f>
        <v>105.25716</v>
      </c>
      <c r="D147" s="104">
        <f t="shared" ref="D147:O147" si="32">HLOOKUP(D$121,$86:$119,25,FALSE)</f>
        <v>99.456442999999993</v>
      </c>
      <c r="E147" s="104">
        <f t="shared" si="32"/>
        <v>143.551423</v>
      </c>
      <c r="F147" s="104">
        <f t="shared" si="32"/>
        <v>166.964561</v>
      </c>
      <c r="G147" s="104">
        <f t="shared" si="32"/>
        <v>149.445853</v>
      </c>
      <c r="H147" s="104">
        <f t="shared" si="32"/>
        <v>165.43614400000001</v>
      </c>
      <c r="I147" s="104">
        <f t="shared" si="32"/>
        <v>84.341824000000003</v>
      </c>
      <c r="J147" s="104">
        <f t="shared" si="32"/>
        <v>95.968860000000006</v>
      </c>
      <c r="K147" s="104">
        <f t="shared" si="32"/>
        <v>82.177819999999997</v>
      </c>
      <c r="L147" s="104">
        <f t="shared" si="32"/>
        <v>97.153379000000001</v>
      </c>
      <c r="M147" s="104">
        <f t="shared" si="32"/>
        <v>91.083347000000003</v>
      </c>
      <c r="N147" s="104">
        <f t="shared" si="32"/>
        <v>165.14311699999999</v>
      </c>
      <c r="O147" s="119">
        <f t="shared" si="32"/>
        <v>81.917771000000002</v>
      </c>
    </row>
    <row r="148" spans="1:26" ht="14.1" customHeight="1">
      <c r="A148" s="265"/>
      <c r="B148" s="102" t="s">
        <v>4</v>
      </c>
      <c r="C148" s="104">
        <f>HLOOKUP(C$121,$86:$119,26,FALSE)</f>
        <v>38.331471000000001</v>
      </c>
      <c r="D148" s="104">
        <f t="shared" ref="D148:O148" si="33">HLOOKUP(D$121,$86:$119,26,FALSE)</f>
        <v>44.747520000000002</v>
      </c>
      <c r="E148" s="104">
        <f t="shared" si="33"/>
        <v>42.657446</v>
      </c>
      <c r="F148" s="104">
        <f t="shared" si="33"/>
        <v>44.683625999999997</v>
      </c>
      <c r="G148" s="104">
        <f t="shared" si="33"/>
        <v>46.097631</v>
      </c>
      <c r="H148" s="104">
        <f t="shared" si="33"/>
        <v>39.592024000000002</v>
      </c>
      <c r="I148" s="104">
        <f t="shared" si="33"/>
        <v>35.989100999999998</v>
      </c>
      <c r="J148" s="104">
        <f t="shared" si="33"/>
        <v>32.078172000000002</v>
      </c>
      <c r="K148" s="104">
        <f t="shared" si="33"/>
        <v>31.976611999999999</v>
      </c>
      <c r="L148" s="104">
        <f t="shared" si="33"/>
        <v>33.762532</v>
      </c>
      <c r="M148" s="104">
        <f t="shared" si="33"/>
        <v>36.724344000000002</v>
      </c>
      <c r="N148" s="104">
        <f t="shared" si="33"/>
        <v>36.337868999999998</v>
      </c>
      <c r="O148" s="119">
        <f t="shared" si="33"/>
        <v>40.686394999999997</v>
      </c>
    </row>
    <row r="149" spans="1:26" ht="14.1" customHeight="1">
      <c r="A149" s="265"/>
      <c r="B149" s="102" t="s">
        <v>22</v>
      </c>
      <c r="C149" s="104">
        <f>HLOOKUP(C$121,$86:$119,27,FALSE)</f>
        <v>1.4667380000000001</v>
      </c>
      <c r="D149" s="104">
        <f t="shared" ref="D149:O149" si="34">HLOOKUP(D$121,$86:$119,27,FALSE)</f>
        <v>1.4553370000000001</v>
      </c>
      <c r="E149" s="104">
        <f t="shared" si="34"/>
        <v>1.2805299999999999</v>
      </c>
      <c r="F149" s="104">
        <f t="shared" si="34"/>
        <v>1.163958</v>
      </c>
      <c r="G149" s="104">
        <f t="shared" si="34"/>
        <v>0.98014500000000004</v>
      </c>
      <c r="H149" s="104">
        <f t="shared" si="34"/>
        <v>0.36074600000000001</v>
      </c>
      <c r="I149" s="104">
        <f t="shared" si="34"/>
        <v>0.77339199999999997</v>
      </c>
      <c r="J149" s="104">
        <f t="shared" si="34"/>
        <v>0.74605500000000002</v>
      </c>
      <c r="K149" s="104">
        <f t="shared" si="34"/>
        <v>0.798705</v>
      </c>
      <c r="L149" s="104">
        <f t="shared" si="34"/>
        <v>0.99824000000000002</v>
      </c>
      <c r="M149" s="104">
        <f t="shared" si="34"/>
        <v>0.82315300000000002</v>
      </c>
      <c r="N149" s="104">
        <f t="shared" si="34"/>
        <v>0.86323799999999995</v>
      </c>
      <c r="O149" s="119">
        <f t="shared" si="34"/>
        <v>0.83965599999999996</v>
      </c>
    </row>
    <row r="150" spans="1:26" ht="14.1" customHeight="1">
      <c r="A150" s="265"/>
      <c r="B150" s="111" t="s">
        <v>2</v>
      </c>
      <c r="C150" s="159">
        <f>HLOOKUP(C$121,$86:$119,28,FALSE)</f>
        <v>697.356807</v>
      </c>
      <c r="D150" s="159">
        <f t="shared" ref="D150:O150" si="35">HLOOKUP(D$121,$86:$119,28,FALSE)</f>
        <v>712.71372299999996</v>
      </c>
      <c r="E150" s="159">
        <f t="shared" si="35"/>
        <v>706.80772300000001</v>
      </c>
      <c r="F150" s="159">
        <f t="shared" si="35"/>
        <v>786.43729699999994</v>
      </c>
      <c r="G150" s="159">
        <f t="shared" si="35"/>
        <v>817.84818299999995</v>
      </c>
      <c r="H150" s="159">
        <f t="shared" si="35"/>
        <v>782.66694700000005</v>
      </c>
      <c r="I150" s="159">
        <f t="shared" si="35"/>
        <v>792.84350600000005</v>
      </c>
      <c r="J150" s="159">
        <f t="shared" si="35"/>
        <v>751.71579399999996</v>
      </c>
      <c r="K150" s="159">
        <f t="shared" si="35"/>
        <v>764.08024399999999</v>
      </c>
      <c r="L150" s="159">
        <f t="shared" si="35"/>
        <v>769.94693600000005</v>
      </c>
      <c r="M150" s="159">
        <f t="shared" si="35"/>
        <v>678.45077000000003</v>
      </c>
      <c r="N150" s="159">
        <f t="shared" si="35"/>
        <v>748.22386600000004</v>
      </c>
      <c r="O150" s="160">
        <f t="shared" si="35"/>
        <v>704.21866</v>
      </c>
    </row>
    <row r="151" spans="1:26" ht="14.1" customHeight="1">
      <c r="A151" s="265"/>
      <c r="B151" s="102" t="s">
        <v>95</v>
      </c>
      <c r="C151" s="104">
        <f>HLOOKUP(C$121,$86:$119,29,FALSE)</f>
        <v>0</v>
      </c>
      <c r="D151" s="104">
        <f t="shared" ref="D151:O151" si="36">HLOOKUP(D$121,$86:$119,29,FALSE)</f>
        <v>0</v>
      </c>
      <c r="E151" s="104">
        <f t="shared" si="36"/>
        <v>0</v>
      </c>
      <c r="F151" s="104">
        <f t="shared" si="36"/>
        <v>0</v>
      </c>
      <c r="G151" s="104">
        <f t="shared" si="36"/>
        <v>0</v>
      </c>
      <c r="H151" s="104">
        <f t="shared" si="36"/>
        <v>0</v>
      </c>
      <c r="I151" s="104">
        <f t="shared" si="36"/>
        <v>6.3000000000000003E-4</v>
      </c>
      <c r="J151" s="104">
        <f t="shared" si="36"/>
        <v>5.5779999999999996E-3</v>
      </c>
      <c r="K151" s="104">
        <f t="shared" si="36"/>
        <v>1.06E-4</v>
      </c>
      <c r="L151" s="104">
        <f t="shared" si="36"/>
        <v>9.9999999999999995E-7</v>
      </c>
      <c r="M151" s="104">
        <f t="shared" si="36"/>
        <v>3.7019000000000003E-2</v>
      </c>
      <c r="N151" s="104">
        <f t="shared" si="36"/>
        <v>4.1999999999999998E-5</v>
      </c>
      <c r="O151" s="119">
        <f t="shared" si="36"/>
        <v>0</v>
      </c>
    </row>
    <row r="152" spans="1:26" ht="14.1" customHeight="1">
      <c r="A152" s="265"/>
      <c r="B152" s="102" t="s">
        <v>96</v>
      </c>
      <c r="C152" s="104">
        <f>HLOOKUP(C$121,$86:$119,30,FALSE)</f>
        <v>0</v>
      </c>
      <c r="D152" s="104">
        <f t="shared" ref="D152:O152" si="37">HLOOKUP(D$121,$86:$119,30,FALSE)</f>
        <v>0</v>
      </c>
      <c r="E152" s="104">
        <f t="shared" si="37"/>
        <v>0</v>
      </c>
      <c r="F152" s="104">
        <f t="shared" si="37"/>
        <v>-1.4660000000000001E-3</v>
      </c>
      <c r="G152" s="104">
        <f t="shared" si="37"/>
        <v>-3.5109999999999998E-3</v>
      </c>
      <c r="H152" s="104">
        <f t="shared" si="37"/>
        <v>-8.7720000000000003E-3</v>
      </c>
      <c r="I152" s="104">
        <f t="shared" si="37"/>
        <v>-1.4031E-2</v>
      </c>
      <c r="J152" s="104">
        <f t="shared" si="37"/>
        <v>-1.7222999999999999E-2</v>
      </c>
      <c r="K152" s="104">
        <f t="shared" si="37"/>
        <v>-1.6891E-2</v>
      </c>
      <c r="L152" s="104">
        <f t="shared" si="37"/>
        <v>-1.1672999999999999E-2</v>
      </c>
      <c r="M152" s="104">
        <f t="shared" si="37"/>
        <v>-5.8445999999999998E-2</v>
      </c>
      <c r="N152" s="104">
        <f t="shared" si="37"/>
        <v>-1.3491E-2</v>
      </c>
      <c r="O152" s="119">
        <f t="shared" si="37"/>
        <v>-2.2315000000000002E-2</v>
      </c>
    </row>
    <row r="153" spans="1:26" ht="14.1" customHeight="1">
      <c r="A153" s="265"/>
      <c r="B153" s="112" t="s">
        <v>1</v>
      </c>
      <c r="C153" s="113">
        <f>HLOOKUP(C$121,$86:$119,31,FALSE)</f>
        <v>697.356807</v>
      </c>
      <c r="D153" s="113">
        <f t="shared" ref="D153:O153" si="38">HLOOKUP(D$121,$86:$119,31,FALSE)</f>
        <v>712.71372299999996</v>
      </c>
      <c r="E153" s="113">
        <f t="shared" si="38"/>
        <v>706.80772300000001</v>
      </c>
      <c r="F153" s="113">
        <f t="shared" si="38"/>
        <v>786.43583100000001</v>
      </c>
      <c r="G153" s="113">
        <f t="shared" si="38"/>
        <v>817.84467199999995</v>
      </c>
      <c r="H153" s="113">
        <f t="shared" si="38"/>
        <v>782.65817500000003</v>
      </c>
      <c r="I153" s="113">
        <f t="shared" si="38"/>
        <v>792.830105</v>
      </c>
      <c r="J153" s="113">
        <f t="shared" si="38"/>
        <v>751.70414900000003</v>
      </c>
      <c r="K153" s="113">
        <f t="shared" si="38"/>
        <v>764.06345899999997</v>
      </c>
      <c r="L153" s="113">
        <f t="shared" si="38"/>
        <v>769.93526399999996</v>
      </c>
      <c r="M153" s="113">
        <f t="shared" si="38"/>
        <v>678.42934300000002</v>
      </c>
      <c r="N153" s="113">
        <f t="shared" si="38"/>
        <v>748.21041700000001</v>
      </c>
      <c r="O153" s="166">
        <f t="shared" si="38"/>
        <v>704.19634499999995</v>
      </c>
    </row>
    <row r="154" spans="1:26" ht="14.1" customHeight="1">
      <c r="A154" s="265"/>
      <c r="B154" s="114"/>
      <c r="C154" s="115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5"/>
      <c r="O154" s="123"/>
    </row>
    <row r="155" spans="1:26" ht="14.1" customHeight="1">
      <c r="A155" s="266"/>
      <c r="B155" s="120" t="s">
        <v>66</v>
      </c>
      <c r="C155" s="124">
        <f>SUM(C142:C144)</f>
        <v>259.835691</v>
      </c>
      <c r="D155" s="124">
        <f t="shared" ref="D155:O155" si="39">SUM(D142:D144)</f>
        <v>236.46061899999998</v>
      </c>
      <c r="E155" s="124">
        <f t="shared" si="39"/>
        <v>232.198553</v>
      </c>
      <c r="F155" s="124">
        <f t="shared" si="39"/>
        <v>253.629616</v>
      </c>
      <c r="G155" s="124">
        <f t="shared" si="39"/>
        <v>278.54647499999999</v>
      </c>
      <c r="H155" s="124">
        <f t="shared" si="39"/>
        <v>267.08533599999998</v>
      </c>
      <c r="I155" s="124">
        <f t="shared" si="39"/>
        <v>313.09754199999998</v>
      </c>
      <c r="J155" s="124">
        <f t="shared" si="39"/>
        <v>278.33614</v>
      </c>
      <c r="K155" s="124">
        <f t="shared" si="39"/>
        <v>303.66958899999997</v>
      </c>
      <c r="L155" s="124">
        <f t="shared" si="39"/>
        <v>304.863742</v>
      </c>
      <c r="M155" s="124">
        <f t="shared" si="39"/>
        <v>261.51041299999997</v>
      </c>
      <c r="N155" s="124">
        <f t="shared" si="39"/>
        <v>261.77438800000004</v>
      </c>
      <c r="O155" s="125">
        <f t="shared" si="39"/>
        <v>294.62105099999997</v>
      </c>
    </row>
    <row r="156" spans="1:26" ht="1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</row>
    <row r="157" spans="1:26" ht="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1:26" ht="15">
      <c r="A158" s="149"/>
      <c r="B158" s="149" t="s">
        <v>60</v>
      </c>
      <c r="C158" s="280" t="s">
        <v>49</v>
      </c>
      <c r="D158" s="279"/>
      <c r="E158" s="279"/>
      <c r="F158" s="279"/>
      <c r="G158" s="279"/>
      <c r="H158" s="279"/>
      <c r="I158" s="279"/>
      <c r="J158" s="279"/>
      <c r="K158" s="279"/>
      <c r="L158" s="279"/>
      <c r="M158" s="279"/>
      <c r="N158" s="279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ht="15">
      <c r="A159" s="149"/>
      <c r="B159" s="149" t="s">
        <v>61</v>
      </c>
      <c r="C159" s="182" t="s">
        <v>80</v>
      </c>
      <c r="D159" s="182" t="s">
        <v>81</v>
      </c>
      <c r="E159" s="182" t="s">
        <v>82</v>
      </c>
      <c r="F159" s="182" t="s">
        <v>83</v>
      </c>
      <c r="G159" s="182" t="s">
        <v>84</v>
      </c>
      <c r="H159" s="182" t="s">
        <v>85</v>
      </c>
      <c r="I159" s="182" t="s">
        <v>86</v>
      </c>
      <c r="J159" s="182" t="s">
        <v>87</v>
      </c>
      <c r="K159" s="182" t="s">
        <v>88</v>
      </c>
      <c r="L159" s="182" t="s">
        <v>89</v>
      </c>
      <c r="M159" s="182" t="s">
        <v>90</v>
      </c>
      <c r="N159" s="182" t="s">
        <v>91</v>
      </c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>
      <c r="A160" s="149" t="s">
        <v>59</v>
      </c>
      <c r="B160" s="149" t="s">
        <v>92</v>
      </c>
      <c r="C160" s="150"/>
      <c r="D160" s="150"/>
      <c r="E160" s="150"/>
      <c r="F160" s="150"/>
      <c r="G160" s="150"/>
      <c r="H160" s="150"/>
      <c r="I160" s="150"/>
      <c r="J160" s="150"/>
      <c r="K160" s="150"/>
      <c r="L160" s="150"/>
      <c r="M160" s="150"/>
      <c r="N160" s="15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>
      <c r="A161" s="151" t="s">
        <v>144</v>
      </c>
      <c r="B161" s="151" t="s">
        <v>145</v>
      </c>
      <c r="C161" s="230">
        <v>2.6499999999999999E-2</v>
      </c>
      <c r="D161" s="230">
        <v>1.0200000000000001E-3</v>
      </c>
      <c r="E161" s="230">
        <v>2.4250000000000001E-2</v>
      </c>
      <c r="F161" s="230">
        <v>1.23E-3</v>
      </c>
      <c r="G161" s="230">
        <v>2.5610000000000001E-2</v>
      </c>
      <c r="H161" s="230">
        <v>5.6999999999999998E-4</v>
      </c>
      <c r="I161" s="230">
        <v>9.5099999999999994E-3</v>
      </c>
      <c r="J161" s="230">
        <v>1.553E-2</v>
      </c>
      <c r="K161" s="230">
        <v>4.3189999999999999E-2</v>
      </c>
      <c r="L161" s="230">
        <v>1.42E-3</v>
      </c>
      <c r="M161" s="230">
        <v>1.6650000000000002E-2</v>
      </c>
      <c r="N161" s="230">
        <v>2.512E-2</v>
      </c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</row>
    <row r="163" spans="1:26" ht="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26" ht="15">
      <c r="A164" s="149"/>
      <c r="B164" s="149" t="s">
        <v>60</v>
      </c>
      <c r="C164" s="280" t="s">
        <v>50</v>
      </c>
      <c r="D164" s="279"/>
      <c r="E164" s="279"/>
      <c r="F164" s="279"/>
      <c r="G164" s="279"/>
      <c r="H164" s="279"/>
      <c r="I164" s="279"/>
      <c r="J164" s="279"/>
      <c r="K164" s="279"/>
      <c r="L164" s="279"/>
      <c r="M164" s="279"/>
      <c r="N164" s="279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ht="15">
      <c r="A165" s="149"/>
      <c r="B165" s="149" t="s">
        <v>61</v>
      </c>
      <c r="C165" s="182" t="s">
        <v>80</v>
      </c>
      <c r="D165" s="182" t="s">
        <v>81</v>
      </c>
      <c r="E165" s="182" t="s">
        <v>82</v>
      </c>
      <c r="F165" s="182" t="s">
        <v>83</v>
      </c>
      <c r="G165" s="182" t="s">
        <v>84</v>
      </c>
      <c r="H165" s="182" t="s">
        <v>85</v>
      </c>
      <c r="I165" s="182" t="s">
        <v>86</v>
      </c>
      <c r="J165" s="182" t="s">
        <v>87</v>
      </c>
      <c r="K165" s="182" t="s">
        <v>88</v>
      </c>
      <c r="L165" s="182" t="s">
        <v>89</v>
      </c>
      <c r="M165" s="182" t="s">
        <v>90</v>
      </c>
      <c r="N165" s="182" t="s">
        <v>91</v>
      </c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ht="15">
      <c r="A166" s="149" t="s">
        <v>59</v>
      </c>
      <c r="B166" s="149" t="s">
        <v>92</v>
      </c>
      <c r="C166" s="150"/>
      <c r="D166" s="150"/>
      <c r="E166" s="150"/>
      <c r="F166" s="150"/>
      <c r="G166" s="150"/>
      <c r="H166" s="150"/>
      <c r="I166" s="150"/>
      <c r="J166" s="150"/>
      <c r="K166" s="150"/>
      <c r="L166" s="150"/>
      <c r="M166" s="150"/>
      <c r="N166" s="150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ht="15">
      <c r="A167" s="151" t="s">
        <v>144</v>
      </c>
      <c r="B167" s="151" t="s">
        <v>145</v>
      </c>
      <c r="C167" s="230">
        <v>9.8099999999999993E-3</v>
      </c>
      <c r="D167" s="230">
        <v>1.9000000000000001E-4</v>
      </c>
      <c r="E167" s="230">
        <v>5.9000000000000003E-4</v>
      </c>
      <c r="F167" s="230">
        <v>9.0299999999999998E-3</v>
      </c>
      <c r="G167" s="230">
        <v>1.1299999999999999E-2</v>
      </c>
      <c r="H167" s="230">
        <v>5.6999999999999998E-4</v>
      </c>
      <c r="I167" s="230">
        <v>1.7899999999999999E-3</v>
      </c>
      <c r="J167" s="230">
        <v>8.94E-3</v>
      </c>
      <c r="K167" s="230">
        <v>1.61E-2</v>
      </c>
      <c r="L167" s="230">
        <v>4.4999999999999999E-4</v>
      </c>
      <c r="M167" s="230">
        <v>1.8400000000000001E-3</v>
      </c>
      <c r="N167" s="230">
        <v>1.3809999999999999E-2</v>
      </c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ht="1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</row>
    <row r="169" spans="1:26" ht="15">
      <c r="B169" s="221" t="s">
        <v>139</v>
      </c>
      <c r="C169"/>
      <c r="D169"/>
      <c r="E169"/>
      <c r="F169"/>
      <c r="G169"/>
      <c r="H169"/>
      <c r="I169"/>
      <c r="J169"/>
      <c r="K169"/>
      <c r="L169"/>
      <c r="M169"/>
      <c r="N169"/>
    </row>
    <row r="170" spans="1:26">
      <c r="B170" s="270" t="s">
        <v>65</v>
      </c>
      <c r="C170" s="108" t="str">
        <f>TEXT(EDATE(D121,-1),"mmmm aaaa")</f>
        <v>abril 2025</v>
      </c>
      <c r="D170" s="108" t="str">
        <f t="shared" ref="D170:N170" si="40">TEXT(EDATE(E121,-1),"mmmm aaaa")</f>
        <v>mayo 2025</v>
      </c>
      <c r="E170" s="108" t="str">
        <f t="shared" si="40"/>
        <v>junio 2025</v>
      </c>
      <c r="F170" s="108" t="str">
        <f t="shared" si="40"/>
        <v>julio 2025</v>
      </c>
      <c r="G170" s="108" t="str">
        <f t="shared" si="40"/>
        <v>agosto 2025</v>
      </c>
      <c r="H170" s="108" t="str">
        <f t="shared" si="40"/>
        <v>septiembre 2025</v>
      </c>
      <c r="I170" s="108" t="str">
        <f t="shared" si="40"/>
        <v>octubre 2025</v>
      </c>
      <c r="J170" s="108" t="str">
        <f t="shared" si="40"/>
        <v>noviembre 2025</v>
      </c>
      <c r="K170" s="108" t="str">
        <f t="shared" si="40"/>
        <v>diciembre 2025</v>
      </c>
      <c r="L170" s="108" t="str">
        <f t="shared" si="40"/>
        <v>enero 2026</v>
      </c>
      <c r="M170" s="108" t="str">
        <f t="shared" si="40"/>
        <v>febrero 2026</v>
      </c>
      <c r="N170" s="108" t="str">
        <f t="shared" si="40"/>
        <v>marzo 2026</v>
      </c>
      <c r="O170" s="108" t="str">
        <f>A2</f>
        <v>Abril 2026</v>
      </c>
    </row>
    <row r="171" spans="1:26">
      <c r="B171" s="271"/>
      <c r="C171" s="116" t="str">
        <f>MID(UPPER(TEXT(C121,"mmm")),1,1)</f>
        <v>A</v>
      </c>
      <c r="D171" s="116" t="str">
        <f t="shared" ref="D171:N171" si="41">MID(UPPER(TEXT(D121,"mmm")),1,1)</f>
        <v>M</v>
      </c>
      <c r="E171" s="116" t="str">
        <f t="shared" si="41"/>
        <v>J</v>
      </c>
      <c r="F171" s="116" t="str">
        <f t="shared" si="41"/>
        <v>J</v>
      </c>
      <c r="G171" s="116" t="str">
        <f t="shared" si="41"/>
        <v>A</v>
      </c>
      <c r="H171" s="116" t="str">
        <f t="shared" si="41"/>
        <v>S</v>
      </c>
      <c r="I171" s="116" t="str">
        <f t="shared" si="41"/>
        <v>O</v>
      </c>
      <c r="J171" s="116" t="str">
        <f t="shared" si="41"/>
        <v>N</v>
      </c>
      <c r="K171" s="116" t="str">
        <f t="shared" si="41"/>
        <v>D</v>
      </c>
      <c r="L171" s="116" t="str">
        <f t="shared" si="41"/>
        <v>E</v>
      </c>
      <c r="M171" s="116" t="str">
        <f t="shared" si="41"/>
        <v>F</v>
      </c>
      <c r="N171" s="116" t="str">
        <f t="shared" si="41"/>
        <v>M</v>
      </c>
      <c r="O171" s="116" t="str">
        <f t="shared" ref="O171" si="42">MID(UPPER(TEXT(O121,"mmm")),1,1)</f>
        <v>A</v>
      </c>
    </row>
    <row r="172" spans="1:26" ht="14.45" customHeight="1">
      <c r="A172" s="263" t="s">
        <v>17</v>
      </c>
      <c r="B172" s="102" t="s">
        <v>95</v>
      </c>
      <c r="C172" s="219">
        <f>HLOOKUP(C$170,$86:$103,15,FALSE)*1000</f>
        <v>0.98100000000000009</v>
      </c>
      <c r="D172" s="219">
        <f t="shared" ref="D172:O172" si="43">HLOOKUP(D$170,$86:$103,15,FALSE)*1000</f>
        <v>8.0190000000000001</v>
      </c>
      <c r="E172" s="219">
        <f t="shared" si="43"/>
        <v>33.307000000000002</v>
      </c>
      <c r="F172" s="219">
        <f t="shared" si="43"/>
        <v>25.804000000000002</v>
      </c>
      <c r="G172" s="219">
        <f t="shared" si="43"/>
        <v>0</v>
      </c>
      <c r="H172" s="219">
        <f t="shared" si="43"/>
        <v>2.65</v>
      </c>
      <c r="I172" s="219">
        <f t="shared" si="43"/>
        <v>1.1019999999999999</v>
      </c>
      <c r="J172" s="219">
        <f t="shared" si="43"/>
        <v>1.536</v>
      </c>
      <c r="K172" s="219">
        <f t="shared" si="43"/>
        <v>0</v>
      </c>
      <c r="L172" s="219">
        <f t="shared" si="43"/>
        <v>0</v>
      </c>
      <c r="M172" s="219">
        <f t="shared" si="43"/>
        <v>0</v>
      </c>
      <c r="N172" s="219">
        <f t="shared" si="43"/>
        <v>0</v>
      </c>
      <c r="O172" s="219">
        <f t="shared" si="43"/>
        <v>0</v>
      </c>
      <c r="P172" s="201"/>
    </row>
    <row r="173" spans="1:26" ht="14.45" customHeight="1">
      <c r="A173" s="263"/>
      <c r="B173" s="102" t="s">
        <v>96</v>
      </c>
      <c r="C173" s="219">
        <f>HLOOKUP(C$121,$86:$103,16,FALSE)*1000</f>
        <v>-6.423</v>
      </c>
      <c r="D173" s="219">
        <f t="shared" ref="D173:O173" si="44">HLOOKUP(D$121,$86:$103,16,FALSE)*1000</f>
        <v>-27.414000000000001</v>
      </c>
      <c r="E173" s="219">
        <f t="shared" si="44"/>
        <v>-66.456000000000003</v>
      </c>
      <c r="F173" s="219">
        <f t="shared" si="44"/>
        <v>-84.402000000000001</v>
      </c>
      <c r="G173" s="219">
        <f t="shared" si="44"/>
        <v>-3.7090000000000001</v>
      </c>
      <c r="H173" s="219">
        <f t="shared" si="44"/>
        <v>-8.4089999999999989</v>
      </c>
      <c r="I173" s="219">
        <f t="shared" si="44"/>
        <v>-6.4119999999999999</v>
      </c>
      <c r="J173" s="219">
        <f t="shared" si="44"/>
        <v>-5.601</v>
      </c>
      <c r="K173" s="219">
        <f t="shared" si="44"/>
        <v>-4.0439999999999996</v>
      </c>
      <c r="L173" s="219">
        <f t="shared" si="44"/>
        <v>-0.38699999999999996</v>
      </c>
      <c r="M173" s="219">
        <f t="shared" si="44"/>
        <v>0</v>
      </c>
      <c r="N173" s="219">
        <f t="shared" si="44"/>
        <v>0</v>
      </c>
      <c r="O173" s="219">
        <f t="shared" si="44"/>
        <v>0</v>
      </c>
      <c r="P173" s="201"/>
    </row>
    <row r="174" spans="1:26" ht="14.45" customHeight="1">
      <c r="A174" s="263"/>
      <c r="B174" s="111" t="s">
        <v>122</v>
      </c>
      <c r="C174" s="220">
        <f>SUM(C172:C173)</f>
        <v>-5.4420000000000002</v>
      </c>
      <c r="D174" s="220">
        <f t="shared" ref="D174:O174" si="45">SUM(D172:D173)</f>
        <v>-19.395000000000003</v>
      </c>
      <c r="E174" s="220">
        <f t="shared" si="45"/>
        <v>-33.149000000000001</v>
      </c>
      <c r="F174" s="220">
        <f t="shared" si="45"/>
        <v>-58.597999999999999</v>
      </c>
      <c r="G174" s="220">
        <f t="shared" si="45"/>
        <v>-3.7090000000000001</v>
      </c>
      <c r="H174" s="220">
        <f t="shared" si="45"/>
        <v>-5.7589999999999986</v>
      </c>
      <c r="I174" s="220">
        <f t="shared" si="45"/>
        <v>-5.3100000000000005</v>
      </c>
      <c r="J174" s="220">
        <f t="shared" si="45"/>
        <v>-4.0649999999999995</v>
      </c>
      <c r="K174" s="220">
        <f t="shared" si="45"/>
        <v>-4.0439999999999996</v>
      </c>
      <c r="L174" s="220">
        <f t="shared" si="45"/>
        <v>-0.38699999999999996</v>
      </c>
      <c r="M174" s="220">
        <f t="shared" si="45"/>
        <v>0</v>
      </c>
      <c r="N174" s="220">
        <f t="shared" si="45"/>
        <v>0</v>
      </c>
      <c r="O174" s="220">
        <f t="shared" si="45"/>
        <v>0</v>
      </c>
    </row>
    <row r="175" spans="1:26">
      <c r="A175" s="263" t="s">
        <v>16</v>
      </c>
      <c r="B175" s="102" t="s">
        <v>95</v>
      </c>
      <c r="C175" s="219">
        <f>HLOOKUP(C$170,$86:$116,29,FALSE)*1000</f>
        <v>0</v>
      </c>
      <c r="D175" s="219">
        <f t="shared" ref="D175:O175" si="46">HLOOKUP(D$170,$86:$116,29,FALSE)*1000</f>
        <v>0</v>
      </c>
      <c r="E175" s="219">
        <f t="shared" si="46"/>
        <v>0</v>
      </c>
      <c r="F175" s="219">
        <f t="shared" si="46"/>
        <v>0</v>
      </c>
      <c r="G175" s="219">
        <f t="shared" si="46"/>
        <v>0</v>
      </c>
      <c r="H175" s="219">
        <f t="shared" si="46"/>
        <v>0</v>
      </c>
      <c r="I175" s="219">
        <f t="shared" si="46"/>
        <v>0.63</v>
      </c>
      <c r="J175" s="219">
        <f t="shared" si="46"/>
        <v>5.5779999999999994</v>
      </c>
      <c r="K175" s="219">
        <f t="shared" si="46"/>
        <v>0.106</v>
      </c>
      <c r="L175" s="219">
        <f t="shared" si="46"/>
        <v>1E-3</v>
      </c>
      <c r="M175" s="219">
        <f t="shared" si="46"/>
        <v>37.019000000000005</v>
      </c>
      <c r="N175" s="219">
        <f t="shared" si="46"/>
        <v>4.1999999999999996E-2</v>
      </c>
      <c r="O175" s="219">
        <f t="shared" si="46"/>
        <v>0</v>
      </c>
      <c r="P175" s="201"/>
    </row>
    <row r="176" spans="1:26">
      <c r="A176" s="263"/>
      <c r="B176" s="102" t="s">
        <v>96</v>
      </c>
      <c r="C176" s="219">
        <f>HLOOKUP(C$170,$86:$116,30,FALSE)*1000</f>
        <v>0</v>
      </c>
      <c r="D176" s="219">
        <f t="shared" ref="D176:O176" si="47">HLOOKUP(D$170,$86:$116,30,FALSE)*1000</f>
        <v>0</v>
      </c>
      <c r="E176" s="219">
        <f t="shared" si="47"/>
        <v>0</v>
      </c>
      <c r="F176" s="219">
        <f t="shared" si="47"/>
        <v>-1.466</v>
      </c>
      <c r="G176" s="219">
        <f t="shared" si="47"/>
        <v>-3.5109999999999997</v>
      </c>
      <c r="H176" s="219">
        <f t="shared" si="47"/>
        <v>-8.7720000000000002</v>
      </c>
      <c r="I176" s="219">
        <f t="shared" si="47"/>
        <v>-14.031000000000001</v>
      </c>
      <c r="J176" s="219">
        <f t="shared" si="47"/>
        <v>-17.222999999999999</v>
      </c>
      <c r="K176" s="219">
        <f t="shared" si="47"/>
        <v>-16.890999999999998</v>
      </c>
      <c r="L176" s="219">
        <f t="shared" si="47"/>
        <v>-11.673</v>
      </c>
      <c r="M176" s="219">
        <f t="shared" si="47"/>
        <v>-58.445999999999998</v>
      </c>
      <c r="N176" s="219">
        <f t="shared" si="47"/>
        <v>-13.491</v>
      </c>
      <c r="O176" s="219">
        <f t="shared" si="47"/>
        <v>-22.315000000000001</v>
      </c>
      <c r="P176" s="201"/>
    </row>
    <row r="177" spans="1:15">
      <c r="A177" s="263"/>
      <c r="B177" s="111" t="s">
        <v>122</v>
      </c>
      <c r="C177" s="220">
        <f>SUM(C175:C176)</f>
        <v>0</v>
      </c>
      <c r="D177" s="220">
        <f t="shared" ref="D177:O177" si="48">SUM(D175:D176)</f>
        <v>0</v>
      </c>
      <c r="E177" s="220">
        <f t="shared" si="48"/>
        <v>0</v>
      </c>
      <c r="F177" s="220">
        <f t="shared" si="48"/>
        <v>-1.466</v>
      </c>
      <c r="G177" s="220">
        <f t="shared" si="48"/>
        <v>-3.5109999999999997</v>
      </c>
      <c r="H177" s="220">
        <f t="shared" si="48"/>
        <v>-8.7720000000000002</v>
      </c>
      <c r="I177" s="220">
        <f t="shared" si="48"/>
        <v>-13.401</v>
      </c>
      <c r="J177" s="220">
        <f t="shared" si="48"/>
        <v>-11.645</v>
      </c>
      <c r="K177" s="220">
        <f t="shared" si="48"/>
        <v>-16.784999999999997</v>
      </c>
      <c r="L177" s="220">
        <f t="shared" si="48"/>
        <v>-11.672000000000001</v>
      </c>
      <c r="M177" s="220">
        <f t="shared" si="48"/>
        <v>-21.426999999999992</v>
      </c>
      <c r="N177" s="220">
        <f t="shared" si="48"/>
        <v>-13.449</v>
      </c>
      <c r="O177" s="220">
        <f t="shared" si="48"/>
        <v>-22.315000000000001</v>
      </c>
    </row>
    <row r="178" spans="1:15" ht="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5" ht="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</row>
    <row r="180" spans="1:15" ht="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</row>
    <row r="181" spans="1:15" ht="1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</row>
    <row r="182" spans="1:15" ht="1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</row>
    <row r="183" spans="1:15" ht="1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</row>
    <row r="184" spans="1:15" ht="1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</row>
    <row r="185" spans="1:15" ht="1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</row>
  </sheetData>
  <mergeCells count="18">
    <mergeCell ref="B4:AG4"/>
    <mergeCell ref="B5:I5"/>
    <mergeCell ref="J5:Q5"/>
    <mergeCell ref="R5:Y5"/>
    <mergeCell ref="Z5:AG5"/>
    <mergeCell ref="B30:C30"/>
    <mergeCell ref="A104:A116"/>
    <mergeCell ref="B170:B171"/>
    <mergeCell ref="A172:A174"/>
    <mergeCell ref="B29:C29"/>
    <mergeCell ref="C158:N158"/>
    <mergeCell ref="C164:N164"/>
    <mergeCell ref="C85:S85"/>
    <mergeCell ref="A175:A177"/>
    <mergeCell ref="A140:A155"/>
    <mergeCell ref="A123:A139"/>
    <mergeCell ref="B121:B122"/>
    <mergeCell ref="A88:A10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9D67F-C713-496B-B28C-8C55E200B498}">
  <dimension ref="A1:O159"/>
  <sheetViews>
    <sheetView topLeftCell="A57" workbookViewId="0">
      <selection activeCell="C31" sqref="C31"/>
    </sheetView>
  </sheetViews>
  <sheetFormatPr baseColWidth="10" defaultRowHeight="15"/>
  <cols>
    <col min="1" max="1" width="26.7109375" bestFit="1" customWidth="1"/>
    <col min="2" max="2" width="17.7109375" bestFit="1" customWidth="1"/>
    <col min="3" max="3" width="17.5703125" bestFit="1" customWidth="1"/>
    <col min="4" max="4" width="8.28515625" bestFit="1" customWidth="1"/>
    <col min="5" max="5" width="7.7109375" bestFit="1" customWidth="1"/>
    <col min="6" max="6" width="9.140625" bestFit="1" customWidth="1"/>
    <col min="7" max="7" width="12.5703125" bestFit="1" customWidth="1"/>
    <col min="8" max="8" width="9.85546875" bestFit="1" customWidth="1"/>
    <col min="9" max="9" width="12" bestFit="1" customWidth="1"/>
    <col min="10" max="10" width="11.5703125" bestFit="1" customWidth="1"/>
    <col min="11" max="11" width="8.42578125" bestFit="1" customWidth="1"/>
    <col min="12" max="12" width="9.85546875" bestFit="1" customWidth="1"/>
    <col min="13" max="13" width="8.7109375" bestFit="1" customWidth="1"/>
    <col min="14" max="14" width="7.7109375" bestFit="1" customWidth="1"/>
  </cols>
  <sheetData>
    <row r="1" spans="1:15">
      <c r="A1" s="126" t="s">
        <v>59</v>
      </c>
      <c r="B1" s="126" t="s">
        <v>63</v>
      </c>
    </row>
    <row r="2" spans="1:15">
      <c r="A2" s="127" t="s">
        <v>144</v>
      </c>
      <c r="B2" s="127" t="s">
        <v>145</v>
      </c>
    </row>
    <row r="4" spans="1:15">
      <c r="A4" s="241" t="s">
        <v>162</v>
      </c>
      <c r="B4" s="241" t="s">
        <v>49</v>
      </c>
    </row>
    <row r="5" spans="1:15">
      <c r="A5" s="149" t="s">
        <v>61</v>
      </c>
      <c r="B5" s="280" t="s">
        <v>163</v>
      </c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</row>
    <row r="6" spans="1:15">
      <c r="A6" s="149" t="s">
        <v>59</v>
      </c>
      <c r="B6" s="182" t="s">
        <v>164</v>
      </c>
      <c r="C6" s="182" t="s">
        <v>165</v>
      </c>
      <c r="D6" s="182" t="s">
        <v>166</v>
      </c>
      <c r="E6" s="182" t="s">
        <v>167</v>
      </c>
      <c r="F6" s="182" t="s">
        <v>168</v>
      </c>
      <c r="G6" s="182" t="s">
        <v>169</v>
      </c>
      <c r="H6" s="182" t="s">
        <v>170</v>
      </c>
      <c r="I6" s="182" t="s">
        <v>171</v>
      </c>
      <c r="J6" s="182" t="s">
        <v>172</v>
      </c>
      <c r="K6" s="182" t="s">
        <v>173</v>
      </c>
      <c r="L6" s="182" t="s">
        <v>174</v>
      </c>
      <c r="M6" s="182" t="s">
        <v>175</v>
      </c>
      <c r="N6" s="182" t="s">
        <v>212</v>
      </c>
    </row>
    <row r="7" spans="1:15">
      <c r="A7" s="149" t="s">
        <v>176</v>
      </c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</row>
    <row r="8" spans="1:15">
      <c r="A8" s="151" t="s">
        <v>23</v>
      </c>
      <c r="B8" s="242">
        <v>3.649</v>
      </c>
      <c r="C8" s="242">
        <v>3.649</v>
      </c>
      <c r="D8" s="242">
        <v>3.649</v>
      </c>
      <c r="E8" s="242">
        <v>3.649</v>
      </c>
      <c r="F8" s="242">
        <v>3.649</v>
      </c>
      <c r="G8" s="242">
        <v>3.649</v>
      </c>
      <c r="H8" s="242">
        <v>3.649</v>
      </c>
      <c r="I8" s="242">
        <v>3.649</v>
      </c>
      <c r="J8" s="242">
        <v>3.649</v>
      </c>
      <c r="K8" s="242">
        <v>3.649</v>
      </c>
      <c r="L8" s="242">
        <v>3.649</v>
      </c>
      <c r="M8" s="242">
        <v>3.649</v>
      </c>
      <c r="N8" s="242">
        <v>3.649</v>
      </c>
    </row>
    <row r="9" spans="1:15">
      <c r="A9" s="151" t="s">
        <v>5</v>
      </c>
      <c r="B9" s="242">
        <v>0</v>
      </c>
      <c r="C9" s="242">
        <v>5.0000000000000001E-3</v>
      </c>
      <c r="D9" s="242">
        <v>5.0000000000000001E-3</v>
      </c>
      <c r="E9" s="242">
        <v>5.0000000000000001E-3</v>
      </c>
      <c r="F9" s="242">
        <v>5.0000000000000001E-3</v>
      </c>
      <c r="G9" s="242">
        <v>5.0000000000000001E-3</v>
      </c>
      <c r="H9" s="242">
        <v>5.0000000000000001E-3</v>
      </c>
      <c r="I9" s="242">
        <v>5.0000000000000001E-3</v>
      </c>
      <c r="J9" s="242">
        <v>5.0000000000000001E-3</v>
      </c>
      <c r="K9" s="242">
        <v>5.0000000000000001E-3</v>
      </c>
      <c r="L9" s="242">
        <v>5.0000000000000001E-3</v>
      </c>
      <c r="M9" s="242">
        <v>5.0000000000000001E-3</v>
      </c>
      <c r="N9" s="242">
        <v>5.0000000000000001E-3</v>
      </c>
    </row>
    <row r="10" spans="1:15">
      <c r="A10" s="151" t="s">
        <v>177</v>
      </c>
      <c r="B10" s="242">
        <v>3.9319999999999999</v>
      </c>
      <c r="C10" s="242">
        <v>3.9319999999999999</v>
      </c>
      <c r="D10" s="242">
        <v>6.0759999999999996</v>
      </c>
      <c r="E10" s="242">
        <v>6.0759999999999996</v>
      </c>
      <c r="F10" s="242">
        <v>6.0759999999999996</v>
      </c>
      <c r="G10" s="242">
        <v>6.0759999999999996</v>
      </c>
      <c r="H10" s="242">
        <v>6.0759999999999996</v>
      </c>
      <c r="I10" s="242">
        <v>6.0759999999999996</v>
      </c>
      <c r="J10" s="242">
        <v>6.0759999999999996</v>
      </c>
      <c r="K10" s="242">
        <v>6.0759999999999996</v>
      </c>
      <c r="L10" s="242">
        <v>6.0759999999999996</v>
      </c>
      <c r="M10" s="242">
        <v>6.0759999999999996</v>
      </c>
      <c r="N10" s="242">
        <v>6.0759999999999996</v>
      </c>
    </row>
    <row r="11" spans="1:15">
      <c r="A11" s="151" t="s">
        <v>178</v>
      </c>
      <c r="B11" s="242">
        <v>170.133859</v>
      </c>
      <c r="C11" s="242">
        <v>172.18154899999999</v>
      </c>
      <c r="D11" s="242">
        <v>174.429799</v>
      </c>
      <c r="E11" s="242">
        <v>185.236042</v>
      </c>
      <c r="F11" s="242">
        <v>186.75901200000001</v>
      </c>
      <c r="G11" s="242">
        <v>190.85956400000001</v>
      </c>
      <c r="H11" s="242">
        <v>194.62930900000001</v>
      </c>
      <c r="I11" s="242">
        <v>196.89740900000001</v>
      </c>
      <c r="J11" s="242">
        <v>199.11557400000001</v>
      </c>
      <c r="K11" s="242">
        <v>201.01326399999999</v>
      </c>
      <c r="L11" s="242">
        <v>203.127644</v>
      </c>
      <c r="M11" s="242">
        <v>205.409797</v>
      </c>
      <c r="N11" s="242">
        <v>205.409797</v>
      </c>
    </row>
    <row r="12" spans="1:15">
      <c r="A12" s="151" t="s">
        <v>179</v>
      </c>
      <c r="B12" s="242">
        <v>5.0000000000000001E-3</v>
      </c>
      <c r="C12" s="242">
        <v>5.0000000000000001E-3</v>
      </c>
      <c r="D12" s="242">
        <v>5.0000000000000001E-3</v>
      </c>
      <c r="E12" s="242">
        <v>5.0000000000000001E-3</v>
      </c>
      <c r="F12" s="242">
        <v>5.0000000000000001E-3</v>
      </c>
      <c r="G12" s="242">
        <v>5.0000000000000001E-3</v>
      </c>
      <c r="H12" s="242">
        <v>5.0000000000000001E-3</v>
      </c>
      <c r="I12" s="242">
        <v>5.0000000000000001E-3</v>
      </c>
      <c r="J12" s="242">
        <v>5.0000000000000001E-3</v>
      </c>
      <c r="K12" s="242">
        <v>5.0000000000000001E-3</v>
      </c>
      <c r="L12" s="242">
        <v>5.0000000000000001E-3</v>
      </c>
      <c r="M12" s="242">
        <v>5.0000000000000001E-3</v>
      </c>
      <c r="N12" s="242">
        <v>5.0000000000000001E-3</v>
      </c>
    </row>
    <row r="13" spans="1:15">
      <c r="A13" s="243" t="s">
        <v>20</v>
      </c>
      <c r="B13" s="244">
        <v>177.71985900000001</v>
      </c>
      <c r="C13" s="244">
        <v>179.772549</v>
      </c>
      <c r="D13" s="244">
        <v>184.16479899999999</v>
      </c>
      <c r="E13" s="244">
        <v>194.97104200000001</v>
      </c>
      <c r="F13" s="244">
        <v>196.494012</v>
      </c>
      <c r="G13" s="244">
        <v>200.59456399999999</v>
      </c>
      <c r="H13" s="244">
        <v>204.36430899999999</v>
      </c>
      <c r="I13" s="244">
        <v>206.632409</v>
      </c>
      <c r="J13" s="244">
        <v>208.85057399999999</v>
      </c>
      <c r="K13" s="244">
        <v>210.74826400000001</v>
      </c>
      <c r="L13" s="244">
        <v>212.86264399999999</v>
      </c>
      <c r="M13" s="244">
        <v>215.14479700000001</v>
      </c>
      <c r="N13" s="244">
        <v>215.14479700000001</v>
      </c>
      <c r="O13" s="235">
        <f>(+N13/B13-1)*100</f>
        <v>21.058388303132737</v>
      </c>
    </row>
    <row r="15" spans="1:15">
      <c r="A15" s="241" t="s">
        <v>162</v>
      </c>
      <c r="B15" s="241" t="s">
        <v>49</v>
      </c>
    </row>
    <row r="16" spans="1:15">
      <c r="A16" s="149" t="s">
        <v>61</v>
      </c>
      <c r="B16" s="280" t="s">
        <v>163</v>
      </c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</row>
    <row r="17" spans="1:14">
      <c r="A17" s="149" t="s">
        <v>59</v>
      </c>
      <c r="B17" s="182" t="s">
        <v>164</v>
      </c>
      <c r="C17" s="182" t="s">
        <v>165</v>
      </c>
      <c r="D17" s="182" t="s">
        <v>166</v>
      </c>
      <c r="E17" s="182" t="s">
        <v>167</v>
      </c>
      <c r="F17" s="182" t="s">
        <v>168</v>
      </c>
      <c r="G17" s="182" t="s">
        <v>169</v>
      </c>
      <c r="H17" s="182" t="s">
        <v>170</v>
      </c>
      <c r="I17" s="182" t="s">
        <v>171</v>
      </c>
      <c r="J17" s="182" t="s">
        <v>172</v>
      </c>
      <c r="K17" s="182" t="s">
        <v>173</v>
      </c>
      <c r="L17" s="182" t="s">
        <v>174</v>
      </c>
      <c r="M17" s="182" t="s">
        <v>175</v>
      </c>
      <c r="N17" s="182" t="s">
        <v>212</v>
      </c>
    </row>
    <row r="18" spans="1:14">
      <c r="A18" s="149" t="s">
        <v>176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4">
      <c r="A19" s="151" t="s">
        <v>11</v>
      </c>
      <c r="B19" s="242">
        <v>241.2</v>
      </c>
      <c r="C19" s="242">
        <v>241.2</v>
      </c>
      <c r="D19" s="242">
        <v>241.2</v>
      </c>
      <c r="E19" s="242">
        <v>241.2</v>
      </c>
      <c r="F19" s="242">
        <v>241.2</v>
      </c>
      <c r="G19" s="242">
        <v>241.2</v>
      </c>
      <c r="H19" s="242">
        <v>241.2</v>
      </c>
      <c r="I19" s="242">
        <v>241.2</v>
      </c>
      <c r="J19" s="242">
        <v>241.2</v>
      </c>
      <c r="K19" s="242">
        <v>241.2</v>
      </c>
      <c r="L19" s="242">
        <v>241.2</v>
      </c>
      <c r="M19" s="242">
        <v>241.2</v>
      </c>
      <c r="N19" s="242">
        <v>241.2</v>
      </c>
    </row>
    <row r="20" spans="1:14">
      <c r="A20" s="151" t="s">
        <v>180</v>
      </c>
      <c r="B20" s="242">
        <v>822.9</v>
      </c>
      <c r="C20" s="242">
        <v>822.9</v>
      </c>
      <c r="D20" s="242">
        <v>822.9</v>
      </c>
      <c r="E20" s="242">
        <v>822.9</v>
      </c>
      <c r="F20" s="242">
        <v>822.9</v>
      </c>
      <c r="G20" s="242">
        <v>822.9</v>
      </c>
      <c r="H20" s="242">
        <v>822.9</v>
      </c>
      <c r="I20" s="242">
        <v>822.9</v>
      </c>
      <c r="J20" s="242">
        <v>822.9</v>
      </c>
      <c r="K20" s="242">
        <v>822.9</v>
      </c>
      <c r="L20" s="242">
        <v>822.9</v>
      </c>
      <c r="M20" s="242">
        <v>822.9</v>
      </c>
      <c r="N20" s="242">
        <v>822.9</v>
      </c>
    </row>
    <row r="21" spans="1:14">
      <c r="A21" s="151" t="s">
        <v>23</v>
      </c>
      <c r="B21" s="242">
        <v>11.523</v>
      </c>
      <c r="C21" s="242">
        <v>11.523</v>
      </c>
      <c r="D21" s="242">
        <v>11.523</v>
      </c>
      <c r="E21" s="242">
        <v>10.523</v>
      </c>
      <c r="F21" s="242">
        <v>10.523</v>
      </c>
      <c r="G21" s="242">
        <v>10.523</v>
      </c>
      <c r="H21" s="242">
        <v>10.523</v>
      </c>
      <c r="I21" s="242">
        <v>10.523</v>
      </c>
      <c r="J21" s="242">
        <v>10.523</v>
      </c>
      <c r="K21" s="242">
        <v>10.523</v>
      </c>
      <c r="L21" s="242">
        <v>10.523</v>
      </c>
      <c r="M21" s="242">
        <v>10.523</v>
      </c>
      <c r="N21" s="242">
        <v>10.523</v>
      </c>
    </row>
    <row r="22" spans="1:14">
      <c r="A22" s="151" t="s">
        <v>5</v>
      </c>
      <c r="B22" s="242">
        <v>3.5575000000000001</v>
      </c>
      <c r="C22" s="242">
        <v>3.5625</v>
      </c>
      <c r="D22" s="242">
        <v>3.5625</v>
      </c>
      <c r="E22" s="242">
        <v>3.5625</v>
      </c>
      <c r="F22" s="242">
        <v>3.5625</v>
      </c>
      <c r="G22" s="242">
        <v>3.5625</v>
      </c>
      <c r="H22" s="242">
        <v>3.5625</v>
      </c>
      <c r="I22" s="242">
        <v>3.5625</v>
      </c>
      <c r="J22" s="242">
        <v>3.5625</v>
      </c>
      <c r="K22" s="242">
        <v>3.5625</v>
      </c>
      <c r="L22" s="242">
        <v>3.5625</v>
      </c>
      <c r="M22" s="242">
        <v>3.5625</v>
      </c>
      <c r="N22" s="242">
        <v>3.5625</v>
      </c>
    </row>
    <row r="23" spans="1:14">
      <c r="A23" s="151" t="s">
        <v>181</v>
      </c>
      <c r="B23" s="242">
        <v>139.4</v>
      </c>
      <c r="C23" s="242">
        <v>139.4</v>
      </c>
      <c r="D23" s="242">
        <v>139.4</v>
      </c>
      <c r="E23" s="242">
        <v>139.4</v>
      </c>
      <c r="F23" s="242">
        <v>139.4</v>
      </c>
      <c r="G23" s="242">
        <v>139.4</v>
      </c>
      <c r="H23" s="242">
        <v>139.4</v>
      </c>
      <c r="I23" s="242">
        <v>139.4</v>
      </c>
      <c r="J23" s="242">
        <v>139.4</v>
      </c>
      <c r="K23" s="242">
        <v>139.4</v>
      </c>
      <c r="L23" s="242">
        <v>139.4</v>
      </c>
      <c r="M23" s="242">
        <v>139.4</v>
      </c>
      <c r="N23" s="242">
        <v>139.4</v>
      </c>
    </row>
    <row r="24" spans="1:14">
      <c r="A24" s="151" t="s">
        <v>177</v>
      </c>
      <c r="B24" s="242">
        <v>6.0759999999999996</v>
      </c>
      <c r="C24" s="242">
        <v>7.9160000000000004</v>
      </c>
      <c r="D24" s="242">
        <v>7.9160000000000004</v>
      </c>
      <c r="E24" s="242">
        <v>7.9160000000000004</v>
      </c>
      <c r="F24" s="242">
        <v>7.9160000000000004</v>
      </c>
      <c r="G24" s="242">
        <v>7.9160000000000004</v>
      </c>
      <c r="H24" s="242">
        <v>7.9160000000000004</v>
      </c>
      <c r="I24" s="242">
        <v>7.9160000000000004</v>
      </c>
      <c r="J24" s="242">
        <v>7.9160000000000004</v>
      </c>
      <c r="K24" s="242">
        <v>7.9160000000000004</v>
      </c>
      <c r="L24" s="242">
        <v>7.9160000000000004</v>
      </c>
      <c r="M24" s="242">
        <v>7.9160000000000004</v>
      </c>
      <c r="N24" s="242">
        <v>7.9160000000000004</v>
      </c>
    </row>
    <row r="25" spans="1:14">
      <c r="A25" s="151" t="s">
        <v>182</v>
      </c>
      <c r="B25" s="242">
        <v>37.4</v>
      </c>
      <c r="C25" s="242">
        <v>37.4</v>
      </c>
      <c r="D25" s="242">
        <v>37.4</v>
      </c>
      <c r="E25" s="242">
        <v>37.4</v>
      </c>
      <c r="F25" s="242">
        <v>37.4</v>
      </c>
      <c r="G25" s="242">
        <v>37.4</v>
      </c>
      <c r="H25" s="242">
        <v>37.4</v>
      </c>
      <c r="I25" s="242">
        <v>37.4</v>
      </c>
      <c r="J25" s="242">
        <v>37.4</v>
      </c>
      <c r="K25" s="242">
        <v>37.4</v>
      </c>
      <c r="L25" s="242">
        <v>37.4</v>
      </c>
      <c r="M25" s="242">
        <v>37.4</v>
      </c>
      <c r="N25" s="242">
        <v>37.4</v>
      </c>
    </row>
    <row r="26" spans="1:14">
      <c r="A26" s="151" t="s">
        <v>183</v>
      </c>
      <c r="B26" s="242">
        <v>37.4</v>
      </c>
      <c r="C26" s="242">
        <v>37.4</v>
      </c>
      <c r="D26" s="242">
        <v>37.4</v>
      </c>
      <c r="E26" s="242">
        <v>37.4</v>
      </c>
      <c r="F26" s="242">
        <v>37.4</v>
      </c>
      <c r="G26" s="242">
        <v>37.4</v>
      </c>
      <c r="H26" s="242">
        <v>37.4</v>
      </c>
      <c r="I26" s="242">
        <v>37.4</v>
      </c>
      <c r="J26" s="242">
        <v>37.4</v>
      </c>
      <c r="K26" s="242">
        <v>37.4</v>
      </c>
      <c r="L26" s="242">
        <v>37.4</v>
      </c>
      <c r="M26" s="242">
        <v>37.4</v>
      </c>
      <c r="N26" s="242">
        <v>37.4</v>
      </c>
    </row>
    <row r="27" spans="1:14">
      <c r="A27" s="151" t="s">
        <v>178</v>
      </c>
      <c r="B27" s="242">
        <v>513.67803400000003</v>
      </c>
      <c r="C27" s="242">
        <v>523.32822399999998</v>
      </c>
      <c r="D27" s="242">
        <v>525.54397400000005</v>
      </c>
      <c r="E27" s="242">
        <v>527.76277700000003</v>
      </c>
      <c r="F27" s="242">
        <v>529.28574700000001</v>
      </c>
      <c r="G27" s="242">
        <v>542.80639900000006</v>
      </c>
      <c r="H27" s="242">
        <v>546.67614400000002</v>
      </c>
      <c r="I27" s="242">
        <v>548.844244</v>
      </c>
      <c r="J27" s="242">
        <v>551.062409</v>
      </c>
      <c r="K27" s="242">
        <v>552.96009900000001</v>
      </c>
      <c r="L27" s="242">
        <v>555.074479</v>
      </c>
      <c r="M27" s="242">
        <v>603.85663199999999</v>
      </c>
      <c r="N27" s="242">
        <v>603.85663199999999</v>
      </c>
    </row>
    <row r="28" spans="1:14">
      <c r="A28" s="151" t="s">
        <v>179</v>
      </c>
      <c r="B28" s="242">
        <v>5.0000000000000001E-3</v>
      </c>
      <c r="C28" s="242">
        <v>5.0000000000000001E-3</v>
      </c>
      <c r="D28" s="242">
        <v>5.0000000000000001E-3</v>
      </c>
      <c r="E28" s="242">
        <v>5.0000000000000001E-3</v>
      </c>
      <c r="F28" s="242">
        <v>5.0000000000000001E-3</v>
      </c>
      <c r="G28" s="242">
        <v>5.0000000000000001E-3</v>
      </c>
      <c r="H28" s="242">
        <v>5.0000000000000001E-3</v>
      </c>
      <c r="I28" s="242">
        <v>5.0000000000000001E-3</v>
      </c>
      <c r="J28" s="242">
        <v>5.0000000000000001E-3</v>
      </c>
      <c r="K28" s="242">
        <v>5.0000000000000001E-3</v>
      </c>
      <c r="L28" s="242">
        <v>5.0000000000000001E-3</v>
      </c>
      <c r="M28" s="242">
        <v>5.0000000000000001E-3</v>
      </c>
      <c r="N28" s="242">
        <v>5.0000000000000001E-3</v>
      </c>
    </row>
    <row r="29" spans="1:14">
      <c r="A29" s="151" t="s">
        <v>184</v>
      </c>
      <c r="B29" s="242">
        <v>603.1</v>
      </c>
      <c r="C29" s="242">
        <v>603.1</v>
      </c>
      <c r="D29" s="242">
        <v>603.1</v>
      </c>
      <c r="E29" s="242">
        <v>591.6</v>
      </c>
      <c r="F29" s="242">
        <v>591.6</v>
      </c>
      <c r="G29" s="242">
        <v>591.6</v>
      </c>
      <c r="H29" s="242">
        <v>591.6</v>
      </c>
      <c r="I29" s="242">
        <v>591.6</v>
      </c>
      <c r="J29" s="242">
        <v>591.6</v>
      </c>
      <c r="K29" s="242">
        <v>591.6</v>
      </c>
      <c r="L29" s="242">
        <v>591.6</v>
      </c>
      <c r="M29" s="242">
        <v>591.6</v>
      </c>
      <c r="N29" s="242">
        <v>591.6</v>
      </c>
    </row>
    <row r="30" spans="1:14">
      <c r="A30" s="151" t="s">
        <v>121</v>
      </c>
      <c r="B30" s="242">
        <v>1.2</v>
      </c>
      <c r="C30" s="242">
        <v>1.2</v>
      </c>
      <c r="D30" s="242">
        <v>1.2</v>
      </c>
      <c r="E30" s="242">
        <v>1.2</v>
      </c>
      <c r="F30" s="242">
        <v>1.2</v>
      </c>
      <c r="G30" s="242">
        <v>1.2</v>
      </c>
      <c r="H30" s="242">
        <v>1.2</v>
      </c>
      <c r="I30" s="242">
        <v>1.2</v>
      </c>
      <c r="J30" s="242">
        <v>1.2</v>
      </c>
      <c r="K30" s="242">
        <v>1.2</v>
      </c>
      <c r="L30" s="242">
        <v>1.2</v>
      </c>
      <c r="M30" s="242">
        <v>1.2</v>
      </c>
      <c r="N30" s="242">
        <v>1.2</v>
      </c>
    </row>
    <row r="31" spans="1:14">
      <c r="A31" s="243" t="s">
        <v>20</v>
      </c>
      <c r="B31" s="244">
        <v>2417.4395340000001</v>
      </c>
      <c r="C31" s="244">
        <v>2428.9347240000002</v>
      </c>
      <c r="D31" s="244">
        <v>2431.150474</v>
      </c>
      <c r="E31" s="244">
        <v>2420.8692769999998</v>
      </c>
      <c r="F31" s="244">
        <v>2422.3922470000002</v>
      </c>
      <c r="G31" s="244">
        <v>2435.9128989999999</v>
      </c>
      <c r="H31" s="244">
        <v>2439.7826439999999</v>
      </c>
      <c r="I31" s="244">
        <v>2441.9507440000002</v>
      </c>
      <c r="J31" s="244">
        <v>2444.168909</v>
      </c>
      <c r="K31" s="244">
        <v>2446.0665990000002</v>
      </c>
      <c r="L31" s="244">
        <v>2448.1809790000002</v>
      </c>
      <c r="M31" s="244">
        <v>2496.9631319999999</v>
      </c>
      <c r="N31" s="244">
        <v>2496.9631319999999</v>
      </c>
    </row>
    <row r="33" spans="1:15">
      <c r="A33" s="214" t="s">
        <v>185</v>
      </c>
    </row>
    <row r="34" spans="1:15">
      <c r="A34" s="236" t="s">
        <v>59</v>
      </c>
      <c r="B34" s="236" t="str">
        <f>MID(UPPER(TEXT(B6,"mmm")),6,1)</f>
        <v>A</v>
      </c>
      <c r="C34" s="236" t="str">
        <f t="shared" ref="C34:N34" si="0">MID(UPPER(TEXT(C6,"mmm")),6,1)</f>
        <v>M</v>
      </c>
      <c r="D34" s="236" t="str">
        <f t="shared" si="0"/>
        <v>J</v>
      </c>
      <c r="E34" s="236" t="str">
        <f t="shared" si="0"/>
        <v>J</v>
      </c>
      <c r="F34" s="236" t="str">
        <f t="shared" si="0"/>
        <v>A</v>
      </c>
      <c r="G34" s="236" t="str">
        <f t="shared" si="0"/>
        <v>S</v>
      </c>
      <c r="H34" s="236" t="str">
        <f t="shared" si="0"/>
        <v>O</v>
      </c>
      <c r="I34" s="236" t="str">
        <f t="shared" si="0"/>
        <v>N</v>
      </c>
      <c r="J34" s="236" t="str">
        <f t="shared" si="0"/>
        <v>D</v>
      </c>
      <c r="K34" s="236" t="str">
        <f t="shared" si="0"/>
        <v>E</v>
      </c>
      <c r="L34" s="236" t="str">
        <f t="shared" si="0"/>
        <v>F</v>
      </c>
      <c r="M34" s="236" t="str">
        <f t="shared" si="0"/>
        <v>M</v>
      </c>
      <c r="N34" s="236" t="str">
        <f t="shared" si="0"/>
        <v>A</v>
      </c>
    </row>
    <row r="35" spans="1:15">
      <c r="A35" s="237" t="s">
        <v>186</v>
      </c>
      <c r="B35" s="238">
        <f>B13/B31*100</f>
        <v>7.3515741138698534</v>
      </c>
      <c r="C35" s="238">
        <f t="shared" ref="C35:M35" si="1">C13/C31*100</f>
        <v>7.4012919006711018</v>
      </c>
      <c r="D35" s="238">
        <f t="shared" si="1"/>
        <v>7.5752118583179069</v>
      </c>
      <c r="E35" s="238">
        <f t="shared" si="1"/>
        <v>8.0537616736419935</v>
      </c>
      <c r="F35" s="238">
        <f t="shared" si="1"/>
        <v>8.1115687289433431</v>
      </c>
      <c r="G35" s="238">
        <f t="shared" si="1"/>
        <v>8.2348824575110555</v>
      </c>
      <c r="H35" s="238">
        <f t="shared" si="1"/>
        <v>8.3763326008806551</v>
      </c>
      <c r="I35" s="238">
        <f t="shared" si="1"/>
        <v>8.4617762871633087</v>
      </c>
      <c r="J35" s="238">
        <f t="shared" si="1"/>
        <v>8.5448502855495576</v>
      </c>
      <c r="K35" s="238">
        <f t="shared" si="1"/>
        <v>8.6158023696557571</v>
      </c>
      <c r="L35" s="238">
        <f t="shared" si="1"/>
        <v>8.6947266491281727</v>
      </c>
      <c r="M35" s="238">
        <f t="shared" si="1"/>
        <v>8.6162584558337016</v>
      </c>
      <c r="N35" s="238">
        <f>N13/N31*100</f>
        <v>8.6162584558337016</v>
      </c>
    </row>
    <row r="37" spans="1:15">
      <c r="A37" s="241" t="s">
        <v>162</v>
      </c>
      <c r="B37" s="241" t="s">
        <v>50</v>
      </c>
    </row>
    <row r="38" spans="1:15">
      <c r="A38" s="149" t="s">
        <v>61</v>
      </c>
      <c r="B38" s="280" t="s">
        <v>163</v>
      </c>
      <c r="C38" s="279"/>
      <c r="D38" s="279"/>
      <c r="E38" s="279"/>
      <c r="F38" s="279"/>
      <c r="G38" s="279"/>
      <c r="H38" s="279"/>
      <c r="I38" s="279"/>
      <c r="J38" s="279"/>
      <c r="K38" s="279"/>
      <c r="L38" s="279"/>
      <c r="M38" s="279"/>
      <c r="N38" s="279"/>
    </row>
    <row r="39" spans="1:15">
      <c r="A39" s="149" t="s">
        <v>59</v>
      </c>
      <c r="B39" s="182" t="s">
        <v>164</v>
      </c>
      <c r="C39" s="182" t="s">
        <v>165</v>
      </c>
      <c r="D39" s="182" t="s">
        <v>166</v>
      </c>
      <c r="E39" s="182" t="s">
        <v>167</v>
      </c>
      <c r="F39" s="182" t="s">
        <v>168</v>
      </c>
      <c r="G39" s="182" t="s">
        <v>169</v>
      </c>
      <c r="H39" s="182" t="s">
        <v>170</v>
      </c>
      <c r="I39" s="182" t="s">
        <v>171</v>
      </c>
      <c r="J39" s="182" t="s">
        <v>172</v>
      </c>
      <c r="K39" s="182" t="s">
        <v>173</v>
      </c>
      <c r="L39" s="182" t="s">
        <v>174</v>
      </c>
      <c r="M39" s="182" t="s">
        <v>175</v>
      </c>
      <c r="N39" s="182" t="s">
        <v>212</v>
      </c>
    </row>
    <row r="40" spans="1:15">
      <c r="A40" s="149" t="s">
        <v>176</v>
      </c>
      <c r="B40" s="150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</row>
    <row r="41" spans="1:15">
      <c r="A41" s="151" t="s">
        <v>5</v>
      </c>
      <c r="B41" s="242">
        <v>13.49</v>
      </c>
      <c r="C41" s="242">
        <v>13.49</v>
      </c>
      <c r="D41" s="242">
        <v>13.49</v>
      </c>
      <c r="E41" s="242">
        <v>13.49</v>
      </c>
      <c r="F41" s="242">
        <v>13.49</v>
      </c>
      <c r="G41" s="242">
        <v>15.99</v>
      </c>
      <c r="H41" s="242">
        <v>15.99</v>
      </c>
      <c r="I41" s="242">
        <v>15.99</v>
      </c>
      <c r="J41" s="242">
        <v>15.99</v>
      </c>
      <c r="K41" s="242">
        <v>15.99</v>
      </c>
      <c r="L41" s="242">
        <v>15.99</v>
      </c>
      <c r="M41" s="242">
        <v>15.99</v>
      </c>
      <c r="N41" s="242">
        <v>15.99</v>
      </c>
    </row>
    <row r="42" spans="1:15">
      <c r="A42" s="151" t="s">
        <v>12</v>
      </c>
      <c r="B42" s="242">
        <v>1.4999999999999999E-2</v>
      </c>
      <c r="C42" s="242">
        <v>1.4999999999999999E-2</v>
      </c>
      <c r="D42" s="242">
        <v>1.4999999999999999E-2</v>
      </c>
      <c r="E42" s="242">
        <v>1.4999999999999999E-2</v>
      </c>
      <c r="F42" s="242">
        <v>1.4999999999999999E-2</v>
      </c>
      <c r="G42" s="242">
        <v>1.4999999999999999E-2</v>
      </c>
      <c r="H42" s="242">
        <v>1.4999999999999999E-2</v>
      </c>
      <c r="I42" s="242">
        <v>1.4999999999999999E-2</v>
      </c>
      <c r="J42" s="242">
        <v>1.4999999999999999E-2</v>
      </c>
      <c r="K42" s="242">
        <v>1.4999999999999999E-2</v>
      </c>
      <c r="L42" s="242">
        <v>1.4999999999999999E-2</v>
      </c>
      <c r="M42" s="242">
        <v>1.4999999999999999E-2</v>
      </c>
      <c r="N42" s="242">
        <v>1.4999999999999999E-2</v>
      </c>
    </row>
    <row r="43" spans="1:15">
      <c r="A43" s="151" t="s">
        <v>177</v>
      </c>
      <c r="B43" s="242">
        <v>5.0119999999999996</v>
      </c>
      <c r="C43" s="242">
        <v>5.0119999999999996</v>
      </c>
      <c r="D43" s="242">
        <v>5.0119999999999996</v>
      </c>
      <c r="E43" s="242">
        <v>5.0119999999999996</v>
      </c>
      <c r="F43" s="242">
        <v>5.0119999999999996</v>
      </c>
      <c r="G43" s="242">
        <v>5.0119999999999996</v>
      </c>
      <c r="H43" s="242">
        <v>5.0119999999999996</v>
      </c>
      <c r="I43" s="242">
        <v>5.0119999999999996</v>
      </c>
      <c r="J43" s="242">
        <v>5.0119999999999996</v>
      </c>
      <c r="K43" s="242">
        <v>5.0119999999999996</v>
      </c>
      <c r="L43" s="242">
        <v>5.0119999999999996</v>
      </c>
      <c r="M43" s="242">
        <v>5.0119999999999996</v>
      </c>
      <c r="N43" s="242">
        <v>5.0119999999999996</v>
      </c>
    </row>
    <row r="44" spans="1:15">
      <c r="A44" s="151" t="s">
        <v>178</v>
      </c>
      <c r="B44" s="242">
        <v>130.97894600000001</v>
      </c>
      <c r="C44" s="242">
        <v>133.20651599999999</v>
      </c>
      <c r="D44" s="242">
        <v>140.17214000000001</v>
      </c>
      <c r="E44" s="242">
        <v>142.68622199999999</v>
      </c>
      <c r="F44" s="242">
        <v>145.02529699999999</v>
      </c>
      <c r="G44" s="242">
        <v>147.99650700000001</v>
      </c>
      <c r="H44" s="242">
        <v>150.038612</v>
      </c>
      <c r="I44" s="242">
        <v>152.28769700000001</v>
      </c>
      <c r="J44" s="242">
        <v>154.54434900000001</v>
      </c>
      <c r="K44" s="242">
        <v>156.300749</v>
      </c>
      <c r="L44" s="242">
        <v>158.93593899999999</v>
      </c>
      <c r="M44" s="242">
        <v>160.76759899999999</v>
      </c>
      <c r="N44" s="242">
        <v>160.73759899999999</v>
      </c>
    </row>
    <row r="45" spans="1:15">
      <c r="A45" s="151" t="s">
        <v>179</v>
      </c>
      <c r="B45" s="242">
        <v>3.7999999999999999E-2</v>
      </c>
      <c r="C45" s="242">
        <v>3.7999999999999999E-2</v>
      </c>
      <c r="D45" s="242">
        <v>4.2999999999999997E-2</v>
      </c>
      <c r="E45" s="242">
        <v>4.2999999999999997E-2</v>
      </c>
      <c r="F45" s="242">
        <v>4.2999999999999997E-2</v>
      </c>
      <c r="G45" s="242">
        <v>5.2999999999999999E-2</v>
      </c>
      <c r="H45" s="242">
        <v>5.2999999999999999E-2</v>
      </c>
      <c r="I45" s="242">
        <v>5.2999999999999999E-2</v>
      </c>
      <c r="J45" s="242">
        <v>7.2900000000000006E-2</v>
      </c>
      <c r="K45" s="242">
        <v>7.2900000000000006E-2</v>
      </c>
      <c r="L45" s="242">
        <v>7.2900000000000006E-2</v>
      </c>
      <c r="M45" s="242">
        <v>7.2900000000000006E-2</v>
      </c>
      <c r="N45" s="242">
        <v>7.2900000000000006E-2</v>
      </c>
    </row>
    <row r="46" spans="1:15">
      <c r="A46" s="243" t="s">
        <v>20</v>
      </c>
      <c r="B46" s="244">
        <v>149.53394599999999</v>
      </c>
      <c r="C46" s="244">
        <v>151.761516</v>
      </c>
      <c r="D46" s="244">
        <v>158.73213999999999</v>
      </c>
      <c r="E46" s="244">
        <v>161.24622199999999</v>
      </c>
      <c r="F46" s="244">
        <v>163.585297</v>
      </c>
      <c r="G46" s="244">
        <v>169.066507</v>
      </c>
      <c r="H46" s="244">
        <v>171.10861199999999</v>
      </c>
      <c r="I46" s="244">
        <v>173.357697</v>
      </c>
      <c r="J46" s="244">
        <v>175.63424900000001</v>
      </c>
      <c r="K46" s="244">
        <v>177.390649</v>
      </c>
      <c r="L46" s="244">
        <v>180.02583899999999</v>
      </c>
      <c r="M46" s="244">
        <v>181.85749899999999</v>
      </c>
      <c r="N46" s="244">
        <v>181.82749899999999</v>
      </c>
      <c r="O46" s="235">
        <f>(+N46/B46-1)*100</f>
        <v>21.596135100989056</v>
      </c>
    </row>
    <row r="48" spans="1:15">
      <c r="A48" s="241" t="s">
        <v>162</v>
      </c>
      <c r="B48" s="241" t="s">
        <v>50</v>
      </c>
    </row>
    <row r="49" spans="1:14">
      <c r="A49" s="149" t="s">
        <v>61</v>
      </c>
      <c r="B49" s="280" t="s">
        <v>163</v>
      </c>
      <c r="C49" s="279"/>
      <c r="D49" s="279"/>
      <c r="E49" s="279"/>
      <c r="F49" s="279"/>
      <c r="G49" s="279"/>
      <c r="H49" s="279"/>
      <c r="I49" s="279"/>
      <c r="J49" s="279"/>
      <c r="K49" s="279"/>
      <c r="L49" s="279"/>
      <c r="M49" s="279"/>
      <c r="N49" s="279"/>
    </row>
    <row r="50" spans="1:14">
      <c r="A50" s="149" t="s">
        <v>59</v>
      </c>
      <c r="B50" s="182" t="s">
        <v>164</v>
      </c>
      <c r="C50" s="182" t="s">
        <v>165</v>
      </c>
      <c r="D50" s="182" t="s">
        <v>166</v>
      </c>
      <c r="E50" s="182" t="s">
        <v>167</v>
      </c>
      <c r="F50" s="182" t="s">
        <v>168</v>
      </c>
      <c r="G50" s="182" t="s">
        <v>169</v>
      </c>
      <c r="H50" s="182" t="s">
        <v>170</v>
      </c>
      <c r="I50" s="182" t="s">
        <v>171</v>
      </c>
      <c r="J50" s="182" t="s">
        <v>172</v>
      </c>
      <c r="K50" s="182" t="s">
        <v>173</v>
      </c>
      <c r="L50" s="182" t="s">
        <v>174</v>
      </c>
      <c r="M50" s="182" t="s">
        <v>175</v>
      </c>
      <c r="N50" s="182" t="s">
        <v>212</v>
      </c>
    </row>
    <row r="51" spans="1:14">
      <c r="A51" s="149" t="s">
        <v>176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</row>
    <row r="52" spans="1:14">
      <c r="A52" s="151" t="s">
        <v>180</v>
      </c>
      <c r="B52" s="242">
        <v>865.4</v>
      </c>
      <c r="C52" s="242">
        <v>865.4</v>
      </c>
      <c r="D52" s="242">
        <v>865.4</v>
      </c>
      <c r="E52" s="242">
        <v>865.4</v>
      </c>
      <c r="F52" s="242">
        <v>865.4</v>
      </c>
      <c r="G52" s="242">
        <v>865.4</v>
      </c>
      <c r="H52" s="242">
        <v>865.4</v>
      </c>
      <c r="I52" s="242">
        <v>865.4</v>
      </c>
      <c r="J52" s="242">
        <v>865.4</v>
      </c>
      <c r="K52" s="242">
        <v>865.4</v>
      </c>
      <c r="L52" s="242">
        <v>865.4</v>
      </c>
      <c r="M52" s="242">
        <v>865.4</v>
      </c>
      <c r="N52" s="242">
        <v>865.4</v>
      </c>
    </row>
    <row r="53" spans="1:14">
      <c r="A53" s="151" t="s">
        <v>23</v>
      </c>
      <c r="B53" s="242">
        <v>38.200000000000003</v>
      </c>
      <c r="C53" s="242">
        <v>38.200000000000003</v>
      </c>
      <c r="D53" s="242">
        <v>38.200000000000003</v>
      </c>
      <c r="E53" s="242">
        <v>38.200000000000003</v>
      </c>
      <c r="F53" s="242">
        <v>38.200000000000003</v>
      </c>
      <c r="G53" s="242">
        <v>38.200000000000003</v>
      </c>
      <c r="H53" s="242">
        <v>38.200000000000003</v>
      </c>
      <c r="I53" s="242">
        <v>38.200000000000003</v>
      </c>
      <c r="J53" s="242">
        <v>38.200000000000003</v>
      </c>
      <c r="K53" s="242">
        <v>38.200000000000003</v>
      </c>
      <c r="L53" s="242">
        <v>38.200000000000003</v>
      </c>
      <c r="M53" s="242">
        <v>38.200000000000003</v>
      </c>
      <c r="N53" s="242">
        <v>38.200000000000003</v>
      </c>
    </row>
    <row r="54" spans="1:14">
      <c r="A54" s="151" t="s">
        <v>5</v>
      </c>
      <c r="B54" s="242">
        <v>658.98500000000001</v>
      </c>
      <c r="C54" s="242">
        <v>658.98500000000001</v>
      </c>
      <c r="D54" s="242">
        <v>658.98500000000001</v>
      </c>
      <c r="E54" s="242">
        <v>657.86</v>
      </c>
      <c r="F54" s="242">
        <v>657.86</v>
      </c>
      <c r="G54" s="242">
        <v>660.21</v>
      </c>
      <c r="H54" s="242">
        <v>660.21</v>
      </c>
      <c r="I54" s="242">
        <v>660.21</v>
      </c>
      <c r="J54" s="242">
        <v>678.43499999999995</v>
      </c>
      <c r="K54" s="242">
        <v>677.53499999999997</v>
      </c>
      <c r="L54" s="242">
        <v>677.53499999999997</v>
      </c>
      <c r="M54" s="242">
        <v>677.53499999999997</v>
      </c>
      <c r="N54" s="242">
        <v>677.53499999999997</v>
      </c>
    </row>
    <row r="55" spans="1:14">
      <c r="A55" s="151" t="s">
        <v>12</v>
      </c>
      <c r="B55" s="242">
        <v>1.5349999999999999</v>
      </c>
      <c r="C55" s="242">
        <v>1.5349999999999999</v>
      </c>
      <c r="D55" s="242">
        <v>1.5349999999999999</v>
      </c>
      <c r="E55" s="242">
        <v>0.77800000000000002</v>
      </c>
      <c r="F55" s="242">
        <v>0.77800000000000002</v>
      </c>
      <c r="G55" s="242">
        <v>0.77800000000000002</v>
      </c>
      <c r="H55" s="242">
        <v>0.77800000000000002</v>
      </c>
      <c r="I55" s="242">
        <v>0.77800000000000002</v>
      </c>
      <c r="J55" s="242">
        <v>0.77800000000000002</v>
      </c>
      <c r="K55" s="242">
        <v>0.77800000000000002</v>
      </c>
      <c r="L55" s="242">
        <v>0.77800000000000002</v>
      </c>
      <c r="M55" s="242">
        <v>0.77800000000000002</v>
      </c>
      <c r="N55" s="242">
        <v>0.77800000000000002</v>
      </c>
    </row>
    <row r="56" spans="1:14">
      <c r="A56" s="151" t="s">
        <v>6</v>
      </c>
      <c r="B56" s="242">
        <v>11.32</v>
      </c>
      <c r="C56" s="242">
        <v>11.32</v>
      </c>
      <c r="D56" s="242">
        <v>11.32</v>
      </c>
      <c r="E56" s="242">
        <v>11.32</v>
      </c>
      <c r="F56" s="242">
        <v>11.32</v>
      </c>
      <c r="G56" s="242">
        <v>11.32</v>
      </c>
      <c r="H56" s="242">
        <v>11.32</v>
      </c>
      <c r="I56" s="242">
        <v>11.32</v>
      </c>
      <c r="J56" s="242">
        <v>11.32</v>
      </c>
      <c r="K56" s="242">
        <v>11.32</v>
      </c>
      <c r="L56" s="242">
        <v>11.32</v>
      </c>
      <c r="M56" s="242">
        <v>11.32</v>
      </c>
      <c r="N56" s="242">
        <v>11.32</v>
      </c>
    </row>
    <row r="57" spans="1:14">
      <c r="A57" s="151" t="s">
        <v>181</v>
      </c>
      <c r="B57" s="242">
        <v>487.64</v>
      </c>
      <c r="C57" s="242">
        <v>487.64</v>
      </c>
      <c r="D57" s="242">
        <v>487.64</v>
      </c>
      <c r="E57" s="242">
        <v>487.64</v>
      </c>
      <c r="F57" s="242">
        <v>487.64</v>
      </c>
      <c r="G57" s="242">
        <v>487.64</v>
      </c>
      <c r="H57" s="242">
        <v>487.64</v>
      </c>
      <c r="I57" s="242">
        <v>487.64</v>
      </c>
      <c r="J57" s="242">
        <v>487.64</v>
      </c>
      <c r="K57" s="242">
        <v>487.64</v>
      </c>
      <c r="L57" s="242">
        <v>487.64</v>
      </c>
      <c r="M57" s="242">
        <v>487.64</v>
      </c>
      <c r="N57" s="242">
        <v>487.64</v>
      </c>
    </row>
    <row r="58" spans="1:14">
      <c r="A58" s="151" t="s">
        <v>177</v>
      </c>
      <c r="B58" s="242">
        <v>8.8059999999999992</v>
      </c>
      <c r="C58" s="242">
        <v>8.8059999999999992</v>
      </c>
      <c r="D58" s="242">
        <v>8.8059999999999992</v>
      </c>
      <c r="E58" s="242">
        <v>8.8059999999999992</v>
      </c>
      <c r="F58" s="242">
        <v>8.8059999999999992</v>
      </c>
      <c r="G58" s="242">
        <v>8.8059999999999992</v>
      </c>
      <c r="H58" s="242">
        <v>8.8059999999999992</v>
      </c>
      <c r="I58" s="242">
        <v>8.8059999999999992</v>
      </c>
      <c r="J58" s="242">
        <v>8.8059999999999992</v>
      </c>
      <c r="K58" s="242">
        <v>8.8059999999999992</v>
      </c>
      <c r="L58" s="242">
        <v>8.8059999999999992</v>
      </c>
      <c r="M58" s="242">
        <v>8.8059999999999992</v>
      </c>
      <c r="N58" s="242">
        <v>8.8059999999999992</v>
      </c>
    </row>
    <row r="59" spans="1:14">
      <c r="A59" s="151" t="s">
        <v>178</v>
      </c>
      <c r="B59" s="242">
        <v>434.52743099999998</v>
      </c>
      <c r="C59" s="242">
        <v>445.36500100000001</v>
      </c>
      <c r="D59" s="242">
        <v>453.873355</v>
      </c>
      <c r="E59" s="242">
        <v>456.29273699999999</v>
      </c>
      <c r="F59" s="242">
        <v>460.17781200000002</v>
      </c>
      <c r="G59" s="242">
        <v>471.02952199999999</v>
      </c>
      <c r="H59" s="242">
        <v>473.06562700000001</v>
      </c>
      <c r="I59" s="242">
        <v>486.614712</v>
      </c>
      <c r="J59" s="242">
        <v>488.87136400000003</v>
      </c>
      <c r="K59" s="242">
        <v>490.62776400000001</v>
      </c>
      <c r="L59" s="242">
        <v>492.25295399999999</v>
      </c>
      <c r="M59" s="242">
        <v>494.08461399999999</v>
      </c>
      <c r="N59" s="242">
        <v>494.05461400000002</v>
      </c>
    </row>
    <row r="60" spans="1:14">
      <c r="A60" s="151" t="s">
        <v>179</v>
      </c>
      <c r="B60" s="242">
        <v>3.7999999999999999E-2</v>
      </c>
      <c r="C60" s="242">
        <v>3.7999999999999999E-2</v>
      </c>
      <c r="D60" s="242">
        <v>4.2999999999999997E-2</v>
      </c>
      <c r="E60" s="242">
        <v>4.2999999999999997E-2</v>
      </c>
      <c r="F60" s="242">
        <v>4.2999999999999997E-2</v>
      </c>
      <c r="G60" s="242">
        <v>5.2999999999999999E-2</v>
      </c>
      <c r="H60" s="242">
        <v>5.2999999999999999E-2</v>
      </c>
      <c r="I60" s="242">
        <v>5.2999999999999999E-2</v>
      </c>
      <c r="J60" s="242">
        <v>7.2900000000000006E-2</v>
      </c>
      <c r="K60" s="242">
        <v>7.2900000000000006E-2</v>
      </c>
      <c r="L60" s="242">
        <v>7.2900000000000006E-2</v>
      </c>
      <c r="M60" s="242">
        <v>7.2900000000000006E-2</v>
      </c>
      <c r="N60" s="242">
        <v>7.2900000000000006E-2</v>
      </c>
    </row>
    <row r="61" spans="1:14">
      <c r="A61" s="151" t="s">
        <v>184</v>
      </c>
      <c r="B61" s="242">
        <v>520.75</v>
      </c>
      <c r="C61" s="242">
        <v>520.75</v>
      </c>
      <c r="D61" s="242">
        <v>520.75</v>
      </c>
      <c r="E61" s="242">
        <v>520.75</v>
      </c>
      <c r="F61" s="242">
        <v>520.75</v>
      </c>
      <c r="G61" s="242">
        <v>520.75</v>
      </c>
      <c r="H61" s="242">
        <v>520.75</v>
      </c>
      <c r="I61" s="242">
        <v>520.75</v>
      </c>
      <c r="J61" s="242">
        <v>520.75</v>
      </c>
      <c r="K61" s="242">
        <v>520.75</v>
      </c>
      <c r="L61" s="242">
        <v>520.75</v>
      </c>
      <c r="M61" s="242">
        <v>520.75</v>
      </c>
      <c r="N61" s="242">
        <v>520.75</v>
      </c>
    </row>
    <row r="62" spans="1:14">
      <c r="A62" s="151" t="s">
        <v>187</v>
      </c>
      <c r="B62" s="242">
        <v>482.64</v>
      </c>
      <c r="C62" s="242">
        <v>482.64</v>
      </c>
      <c r="D62" s="242">
        <v>482.64</v>
      </c>
      <c r="E62" s="242">
        <v>482.64</v>
      </c>
      <c r="F62" s="242">
        <v>482.64</v>
      </c>
      <c r="G62" s="242">
        <v>482.64</v>
      </c>
      <c r="H62" s="242">
        <v>482.64</v>
      </c>
      <c r="I62" s="242">
        <v>482.64</v>
      </c>
      <c r="J62" s="242">
        <v>482.64</v>
      </c>
      <c r="K62" s="242">
        <v>482.64</v>
      </c>
      <c r="L62" s="242">
        <v>482.64</v>
      </c>
      <c r="M62" s="242">
        <v>482.64</v>
      </c>
      <c r="N62" s="242">
        <v>482.64</v>
      </c>
    </row>
    <row r="63" spans="1:14">
      <c r="A63" s="151" t="s">
        <v>121</v>
      </c>
      <c r="B63" s="242">
        <v>0</v>
      </c>
      <c r="C63" s="242">
        <v>5.08</v>
      </c>
      <c r="D63" s="242">
        <v>5.08</v>
      </c>
      <c r="E63" s="242">
        <v>5.08</v>
      </c>
      <c r="F63" s="242">
        <v>5.08</v>
      </c>
      <c r="G63" s="242">
        <v>5.08</v>
      </c>
      <c r="H63" s="242">
        <v>5.08</v>
      </c>
      <c r="I63" s="242">
        <v>5.08</v>
      </c>
      <c r="J63" s="242">
        <v>5.08</v>
      </c>
      <c r="K63" s="242">
        <v>5.08</v>
      </c>
      <c r="L63" s="242">
        <v>5.08</v>
      </c>
      <c r="M63" s="242">
        <v>5.08</v>
      </c>
      <c r="N63" s="242">
        <v>5.08</v>
      </c>
    </row>
    <row r="64" spans="1:14">
      <c r="A64" s="243" t="s">
        <v>20</v>
      </c>
      <c r="B64" s="244">
        <v>3509.8414309999998</v>
      </c>
      <c r="C64" s="244">
        <v>3525.7590009999999</v>
      </c>
      <c r="D64" s="244">
        <v>3534.2723550000001</v>
      </c>
      <c r="E64" s="244">
        <v>3534.809737</v>
      </c>
      <c r="F64" s="244">
        <v>3538.6948120000002</v>
      </c>
      <c r="G64" s="244">
        <v>3551.9065220000002</v>
      </c>
      <c r="H64" s="244">
        <v>3553.9426269999999</v>
      </c>
      <c r="I64" s="244">
        <v>3567.491712</v>
      </c>
      <c r="J64" s="244">
        <v>3587.9932640000002</v>
      </c>
      <c r="K64" s="244">
        <v>3588.8496639999998</v>
      </c>
      <c r="L64" s="244">
        <v>3590.4748540000001</v>
      </c>
      <c r="M64" s="244">
        <v>3592.3065139999999</v>
      </c>
      <c r="N64" s="244">
        <v>3592.2765140000001</v>
      </c>
    </row>
    <row r="66" spans="1:14">
      <c r="A66" s="214" t="s">
        <v>188</v>
      </c>
    </row>
    <row r="67" spans="1:14">
      <c r="A67" s="236" t="s">
        <v>59</v>
      </c>
      <c r="B67" s="236" t="str">
        <f>MID(UPPER(TEXT(B39,"mmm")),6,1)</f>
        <v>A</v>
      </c>
      <c r="C67" s="236" t="str">
        <f t="shared" ref="C67:N67" si="2">MID(UPPER(TEXT(C39,"mmm")),6,1)</f>
        <v>M</v>
      </c>
      <c r="D67" s="236" t="str">
        <f t="shared" si="2"/>
        <v>J</v>
      </c>
      <c r="E67" s="236" t="str">
        <f t="shared" si="2"/>
        <v>J</v>
      </c>
      <c r="F67" s="236" t="str">
        <f t="shared" si="2"/>
        <v>A</v>
      </c>
      <c r="G67" s="236" t="str">
        <f t="shared" si="2"/>
        <v>S</v>
      </c>
      <c r="H67" s="236" t="str">
        <f t="shared" si="2"/>
        <v>O</v>
      </c>
      <c r="I67" s="236" t="str">
        <f t="shared" si="2"/>
        <v>N</v>
      </c>
      <c r="J67" s="236" t="str">
        <f t="shared" si="2"/>
        <v>D</v>
      </c>
      <c r="K67" s="236" t="str">
        <f t="shared" si="2"/>
        <v>E</v>
      </c>
      <c r="L67" s="236" t="str">
        <f t="shared" si="2"/>
        <v>F</v>
      </c>
      <c r="M67" s="236" t="str">
        <f t="shared" si="2"/>
        <v>M</v>
      </c>
      <c r="N67" s="236" t="str">
        <f t="shared" si="2"/>
        <v>A</v>
      </c>
    </row>
    <row r="68" spans="1:14">
      <c r="A68" s="237" t="s">
        <v>186</v>
      </c>
      <c r="B68" s="238">
        <f>B46/B64*100</f>
        <v>4.2604188519535429</v>
      </c>
      <c r="C68" s="238">
        <f t="shared" ref="C68:N68" si="3">C46/C64*100</f>
        <v>4.3043644207376728</v>
      </c>
      <c r="D68" s="238">
        <f t="shared" si="3"/>
        <v>4.4912254647109666</v>
      </c>
      <c r="E68" s="238">
        <f t="shared" si="3"/>
        <v>4.5616662280909628</v>
      </c>
      <c r="F68" s="238">
        <f t="shared" si="3"/>
        <v>4.6227579853811926</v>
      </c>
      <c r="G68" s="238">
        <f t="shared" si="3"/>
        <v>4.759880530437</v>
      </c>
      <c r="H68" s="238">
        <f t="shared" si="3"/>
        <v>4.8146137953959718</v>
      </c>
      <c r="I68" s="238">
        <f t="shared" si="3"/>
        <v>4.8593721021656568</v>
      </c>
      <c r="J68" s="238">
        <f t="shared" si="3"/>
        <v>4.8950551485762208</v>
      </c>
      <c r="K68" s="238">
        <f t="shared" si="3"/>
        <v>4.9428275243573978</v>
      </c>
      <c r="L68" s="238">
        <f t="shared" si="3"/>
        <v>5.013984119661516</v>
      </c>
      <c r="M68" s="238">
        <f t="shared" si="3"/>
        <v>5.0624159795736183</v>
      </c>
      <c r="N68" s="238">
        <f t="shared" si="3"/>
        <v>5.0616231320549172</v>
      </c>
    </row>
    <row r="70" spans="1:14">
      <c r="A70" s="214" t="s">
        <v>189</v>
      </c>
    </row>
    <row r="71" spans="1:14">
      <c r="A71" s="241" t="s">
        <v>60</v>
      </c>
      <c r="B71" s="241" t="s">
        <v>49</v>
      </c>
    </row>
    <row r="72" spans="1:14">
      <c r="A72" s="149" t="s">
        <v>59</v>
      </c>
      <c r="B72" s="280" t="s">
        <v>144</v>
      </c>
      <c r="C72" s="279"/>
    </row>
    <row r="73" spans="1:14">
      <c r="A73" s="149" t="s">
        <v>61</v>
      </c>
      <c r="B73" s="182" t="s">
        <v>190</v>
      </c>
      <c r="C73" s="182" t="s">
        <v>191</v>
      </c>
    </row>
    <row r="74" spans="1:14">
      <c r="A74" s="149" t="s">
        <v>192</v>
      </c>
      <c r="B74" s="150"/>
      <c r="C74" s="150"/>
    </row>
    <row r="75" spans="1:14">
      <c r="A75" s="151" t="s">
        <v>193</v>
      </c>
      <c r="B75" s="242">
        <v>1597.8520000000001</v>
      </c>
      <c r="C75" s="245">
        <v>786.09799999999996</v>
      </c>
    </row>
    <row r="76" spans="1:14">
      <c r="A76" s="151" t="s">
        <v>194</v>
      </c>
      <c r="B76" s="242">
        <v>0</v>
      </c>
      <c r="C76" s="245">
        <v>0</v>
      </c>
    </row>
    <row r="77" spans="1:14">
      <c r="A77" s="151" t="s">
        <v>195</v>
      </c>
      <c r="B77" s="242">
        <v>0</v>
      </c>
      <c r="C77" s="245">
        <v>0</v>
      </c>
    </row>
    <row r="78" spans="1:14">
      <c r="A78" s="151" t="s">
        <v>196</v>
      </c>
      <c r="B78" s="242">
        <v>0</v>
      </c>
      <c r="C78" s="245">
        <v>0</v>
      </c>
    </row>
    <row r="79" spans="1:14">
      <c r="A79" s="151" t="s">
        <v>197</v>
      </c>
      <c r="B79" s="242">
        <v>29737.912609999999</v>
      </c>
      <c r="C79" s="245">
        <v>26818.178609999999</v>
      </c>
    </row>
    <row r="80" spans="1:14">
      <c r="A80" s="151" t="s">
        <v>198</v>
      </c>
      <c r="B80" s="242">
        <v>0</v>
      </c>
      <c r="C80" s="245">
        <v>0</v>
      </c>
    </row>
    <row r="81" spans="1:7">
      <c r="A81" s="214"/>
    </row>
    <row r="82" spans="1:7">
      <c r="A82" s="214"/>
      <c r="B82" s="239" t="s">
        <v>199</v>
      </c>
      <c r="C82" t="s">
        <v>200</v>
      </c>
      <c r="D82" t="s">
        <v>201</v>
      </c>
      <c r="E82" t="s">
        <v>202</v>
      </c>
    </row>
    <row r="83" spans="1:7">
      <c r="A83" t="s">
        <v>4</v>
      </c>
      <c r="B83" s="240">
        <f>B79</f>
        <v>29737.912609999999</v>
      </c>
      <c r="C83" s="238">
        <f>B83-D83</f>
        <v>2919.7340000000004</v>
      </c>
      <c r="D83" s="240">
        <f>C79</f>
        <v>26818.178609999999</v>
      </c>
      <c r="E83" s="235">
        <f>B83/B$88*100</f>
        <v>94.9008680021483</v>
      </c>
    </row>
    <row r="84" spans="1:7">
      <c r="A84" t="s">
        <v>22</v>
      </c>
      <c r="B84" s="240">
        <f>B75</f>
        <v>1597.8520000000001</v>
      </c>
      <c r="C84" s="238">
        <f>B84-D84</f>
        <v>811.75400000000013</v>
      </c>
      <c r="D84" s="240">
        <f>C75</f>
        <v>786.09799999999996</v>
      </c>
      <c r="E84" s="235">
        <f t="shared" ref="E84:E85" si="4">B84/B$88*100</f>
        <v>5.0991319978517042</v>
      </c>
    </row>
    <row r="85" spans="1:7">
      <c r="A85" t="s">
        <v>23</v>
      </c>
      <c r="B85" s="240">
        <f>SUM(B77:B78)</f>
        <v>0</v>
      </c>
      <c r="C85" s="238">
        <f>B85-D85</f>
        <v>0</v>
      </c>
      <c r="D85" s="240">
        <f>SUM(C77:C78)</f>
        <v>0</v>
      </c>
      <c r="E85" s="235">
        <f t="shared" si="4"/>
        <v>0</v>
      </c>
    </row>
    <row r="86" spans="1:7">
      <c r="A86" s="214"/>
      <c r="B86" s="240"/>
      <c r="D86" s="240"/>
    </row>
    <row r="87" spans="1:7">
      <c r="A87" s="214"/>
      <c r="B87" s="240"/>
      <c r="D87" s="240"/>
    </row>
    <row r="88" spans="1:7">
      <c r="A88" t="s">
        <v>203</v>
      </c>
      <c r="B88" s="240">
        <f>SUM(B83:B87)</f>
        <v>31335.764609999998</v>
      </c>
      <c r="C88" s="240">
        <f>SUM(C83:C87)</f>
        <v>3731.4880000000003</v>
      </c>
      <c r="D88" s="240">
        <f>SUM(D83:D87)</f>
        <v>27604.276610000001</v>
      </c>
      <c r="E88" s="235">
        <f>SUM(E83:E87)</f>
        <v>100</v>
      </c>
    </row>
    <row r="89" spans="1:7">
      <c r="A89" s="214"/>
    </row>
    <row r="90" spans="1:7">
      <c r="A90" t="s">
        <v>42</v>
      </c>
      <c r="B90" t="s">
        <v>220</v>
      </c>
      <c r="C90" t="s">
        <v>220</v>
      </c>
    </row>
    <row r="91" spans="1:7">
      <c r="A91" t="s">
        <v>42</v>
      </c>
      <c r="B91" t="s">
        <v>199</v>
      </c>
      <c r="C91" t="s">
        <v>200</v>
      </c>
      <c r="D91" t="s">
        <v>201</v>
      </c>
      <c r="E91" t="s">
        <v>202</v>
      </c>
    </row>
    <row r="92" spans="1:7">
      <c r="A92" t="s">
        <v>4</v>
      </c>
      <c r="B92" s="235">
        <v>29737.91</v>
      </c>
      <c r="C92" s="235">
        <v>2919.73</v>
      </c>
      <c r="D92" s="235">
        <v>26818.18</v>
      </c>
      <c r="E92" s="235">
        <v>94.900999999999996</v>
      </c>
      <c r="F92" s="238">
        <f>(100-E92)*B$97/100</f>
        <v>1597.8104024000013</v>
      </c>
      <c r="G92" t="str">
        <f>CONCATENATE(A92," ",TEXT(B92,"0.0,0")," MWh")</f>
        <v>Solar fotovoltaica 29.737,9 MWh</v>
      </c>
    </row>
    <row r="93" spans="1:7">
      <c r="A93" t="s">
        <v>22</v>
      </c>
      <c r="B93" s="235">
        <v>1597.85</v>
      </c>
      <c r="C93" s="235">
        <v>811.75</v>
      </c>
      <c r="D93" s="235">
        <v>786.1</v>
      </c>
      <c r="E93" s="235">
        <v>5.0990000000000002</v>
      </c>
      <c r="F93" s="238">
        <f>(100-E93)*B$97/100</f>
        <v>29737.949597599996</v>
      </c>
      <c r="G93" t="str">
        <f t="shared" ref="G93:G97" si="5">CONCATENATE(A93," ",TEXT(B93,"0.0,0")," MWh")</f>
        <v>Otras renovables 1.597,9 MWh</v>
      </c>
    </row>
    <row r="94" spans="1:7">
      <c r="A94" t="s">
        <v>5</v>
      </c>
      <c r="B94" s="235">
        <v>0</v>
      </c>
      <c r="C94" s="235">
        <v>0</v>
      </c>
      <c r="D94" s="235">
        <v>0</v>
      </c>
      <c r="E94" s="235">
        <v>0</v>
      </c>
      <c r="F94" s="238"/>
    </row>
    <row r="95" spans="1:7">
      <c r="A95" t="s">
        <v>204</v>
      </c>
      <c r="B95" s="235">
        <v>0</v>
      </c>
      <c r="C95" s="235">
        <v>0</v>
      </c>
      <c r="D95" s="235">
        <v>0</v>
      </c>
      <c r="E95" s="235">
        <v>0</v>
      </c>
      <c r="F95" s="238"/>
    </row>
    <row r="96" spans="1:7">
      <c r="A96" t="s">
        <v>23</v>
      </c>
      <c r="B96" s="235">
        <v>0</v>
      </c>
      <c r="C96" s="235">
        <v>0</v>
      </c>
      <c r="D96" s="235">
        <v>0</v>
      </c>
      <c r="E96" s="235">
        <v>0</v>
      </c>
      <c r="F96" s="238"/>
    </row>
    <row r="97" spans="1:7">
      <c r="A97" t="s">
        <v>203</v>
      </c>
      <c r="B97" s="235">
        <v>31335.759999999998</v>
      </c>
      <c r="C97" s="235">
        <v>3731.48</v>
      </c>
      <c r="D97" s="235">
        <v>27604.28</v>
      </c>
      <c r="E97" s="235">
        <v>100</v>
      </c>
      <c r="F97" s="238"/>
      <c r="G97" t="str">
        <f t="shared" si="5"/>
        <v>Generación total autoconsumo 31.335,8 MWh</v>
      </c>
    </row>
    <row r="98" spans="1:7">
      <c r="F98" s="238"/>
    </row>
    <row r="99" spans="1:7">
      <c r="A99" s="214" t="s">
        <v>205</v>
      </c>
      <c r="F99" s="238"/>
    </row>
    <row r="100" spans="1:7">
      <c r="A100" t="s">
        <v>42</v>
      </c>
      <c r="B100" t="s">
        <v>220</v>
      </c>
      <c r="C100" t="s">
        <v>220</v>
      </c>
      <c r="F100" s="238"/>
    </row>
    <row r="101" spans="1:7">
      <c r="A101" t="s">
        <v>42</v>
      </c>
      <c r="B101" t="s">
        <v>93</v>
      </c>
      <c r="C101" t="s">
        <v>26</v>
      </c>
      <c r="F101" s="238"/>
    </row>
    <row r="102" spans="1:7">
      <c r="A102" t="s">
        <v>25</v>
      </c>
      <c r="B102" s="240">
        <v>217826.639</v>
      </c>
      <c r="C102" s="240">
        <v>58.701999999999998</v>
      </c>
      <c r="F102" s="238"/>
    </row>
    <row r="103" spans="1:7">
      <c r="A103" t="s">
        <v>4</v>
      </c>
      <c r="B103" s="240">
        <v>86723.63</v>
      </c>
      <c r="C103" s="240">
        <v>23.370999999999999</v>
      </c>
      <c r="F103" s="238"/>
    </row>
    <row r="104" spans="1:7">
      <c r="A104" t="s">
        <v>9</v>
      </c>
      <c r="B104" s="240">
        <v>22619.537</v>
      </c>
      <c r="C104" s="240">
        <v>6.0960000000000001</v>
      </c>
      <c r="F104" s="238"/>
    </row>
    <row r="105" spans="1:7">
      <c r="A105" t="s">
        <v>46</v>
      </c>
      <c r="B105" s="240">
        <v>15144.128000000001</v>
      </c>
      <c r="C105" s="240">
        <v>4.0810000000000004</v>
      </c>
      <c r="F105" s="238"/>
    </row>
    <row r="106" spans="1:7">
      <c r="A106" t="s">
        <v>47</v>
      </c>
      <c r="B106" s="240">
        <v>15144.128000000001</v>
      </c>
      <c r="C106" s="240">
        <v>4.0810000000000004</v>
      </c>
      <c r="F106" s="238"/>
    </row>
    <row r="107" spans="1:7">
      <c r="A107" t="s">
        <v>10</v>
      </c>
      <c r="B107" s="240">
        <v>8619.6</v>
      </c>
      <c r="C107" s="240">
        <v>2.323</v>
      </c>
      <c r="F107" s="238"/>
    </row>
    <row r="108" spans="1:7">
      <c r="A108" t="s">
        <v>23</v>
      </c>
      <c r="B108" s="240">
        <v>2626.277</v>
      </c>
      <c r="C108" s="240">
        <v>0.70799999999999996</v>
      </c>
      <c r="F108" s="238"/>
    </row>
    <row r="109" spans="1:7">
      <c r="A109" t="s">
        <v>22</v>
      </c>
      <c r="B109" s="240">
        <v>2367.652</v>
      </c>
      <c r="C109" s="240">
        <v>0.63800000000000001</v>
      </c>
      <c r="F109" s="238"/>
    </row>
    <row r="110" spans="1:7">
      <c r="A110" t="s">
        <v>5</v>
      </c>
      <c r="B110" s="240">
        <v>0</v>
      </c>
      <c r="C110" s="240">
        <v>0</v>
      </c>
      <c r="F110" s="238"/>
    </row>
    <row r="111" spans="1:7">
      <c r="A111" t="s">
        <v>204</v>
      </c>
      <c r="B111" s="240">
        <v>0</v>
      </c>
      <c r="C111" s="240">
        <v>0</v>
      </c>
      <c r="F111" s="238"/>
    </row>
    <row r="112" spans="1:7">
      <c r="A112" t="s">
        <v>206</v>
      </c>
      <c r="B112" s="240">
        <v>371071.59100000001</v>
      </c>
      <c r="C112" s="240">
        <v>100</v>
      </c>
      <c r="F112" s="238"/>
    </row>
    <row r="113" spans="1:6">
      <c r="B113" s="240"/>
      <c r="F113" s="238"/>
    </row>
    <row r="114" spans="1:6">
      <c r="A114" t="s">
        <v>207</v>
      </c>
      <c r="B114" s="240">
        <f>SUM(B103,B105,B109:B111)</f>
        <v>104235.41</v>
      </c>
      <c r="C114" s="240">
        <f>SUM(C103,C105,C109:C111)</f>
        <v>28.09</v>
      </c>
      <c r="F114" s="238"/>
    </row>
    <row r="116" spans="1:6">
      <c r="A116" s="214" t="s">
        <v>208</v>
      </c>
    </row>
    <row r="117" spans="1:6">
      <c r="A117" s="241" t="s">
        <v>60</v>
      </c>
      <c r="B117" s="241" t="s">
        <v>50</v>
      </c>
    </row>
    <row r="118" spans="1:6">
      <c r="A118" s="149" t="s">
        <v>59</v>
      </c>
      <c r="B118" s="280" t="s">
        <v>144</v>
      </c>
      <c r="C118" s="279"/>
    </row>
    <row r="119" spans="1:6">
      <c r="A119" s="149" t="s">
        <v>61</v>
      </c>
      <c r="B119" s="182" t="s">
        <v>190</v>
      </c>
      <c r="C119" s="182" t="s">
        <v>191</v>
      </c>
    </row>
    <row r="120" spans="1:6">
      <c r="A120" s="149" t="s">
        <v>192</v>
      </c>
      <c r="B120" s="150"/>
      <c r="C120" s="150"/>
    </row>
    <row r="121" spans="1:6">
      <c r="A121" s="151" t="s">
        <v>193</v>
      </c>
      <c r="B121" s="242">
        <v>1039.1469999999999</v>
      </c>
      <c r="C121" s="245">
        <v>224.04</v>
      </c>
    </row>
    <row r="122" spans="1:6">
      <c r="A122" s="151" t="s">
        <v>194</v>
      </c>
      <c r="B122" s="242">
        <v>1798.2334499999999</v>
      </c>
      <c r="C122" s="245">
        <v>1061.8124499999999</v>
      </c>
    </row>
    <row r="123" spans="1:6">
      <c r="A123" s="151" t="s">
        <v>209</v>
      </c>
      <c r="B123" s="242">
        <v>0</v>
      </c>
      <c r="C123" s="245">
        <v>0</v>
      </c>
    </row>
    <row r="124" spans="1:6">
      <c r="A124" s="151" t="s">
        <v>197</v>
      </c>
      <c r="B124" s="242">
        <v>18312.430270000001</v>
      </c>
      <c r="C124" s="245">
        <v>17307.435270000002</v>
      </c>
    </row>
    <row r="125" spans="1:6">
      <c r="A125" s="151" t="s">
        <v>198</v>
      </c>
      <c r="B125" s="242">
        <v>0</v>
      </c>
      <c r="C125" s="245">
        <v>0</v>
      </c>
    </row>
    <row r="126" spans="1:6">
      <c r="A126" s="214"/>
    </row>
    <row r="127" spans="1:6">
      <c r="A127" s="214"/>
      <c r="B127" s="239" t="s">
        <v>199</v>
      </c>
      <c r="C127" t="s">
        <v>200</v>
      </c>
      <c r="D127" t="s">
        <v>201</v>
      </c>
      <c r="E127" t="s">
        <v>202</v>
      </c>
    </row>
    <row r="128" spans="1:6">
      <c r="A128" t="s">
        <v>4</v>
      </c>
      <c r="B128" s="240">
        <f>B124</f>
        <v>18312.430270000001</v>
      </c>
      <c r="C128" s="238">
        <f t="shared" ref="C128:C130" si="6">B128-D128</f>
        <v>1004.994999999999</v>
      </c>
      <c r="D128" s="240">
        <f>C124</f>
        <v>17307.435270000002</v>
      </c>
      <c r="E128" s="235">
        <f>B128/B$133*100</f>
        <v>86.584369536144962</v>
      </c>
    </row>
    <row r="129" spans="1:7">
      <c r="A129" t="s">
        <v>5</v>
      </c>
      <c r="B129" s="240">
        <f>B122</f>
        <v>1798.2334499999999</v>
      </c>
      <c r="C129" s="238">
        <f t="shared" si="6"/>
        <v>736.42100000000005</v>
      </c>
      <c r="D129" s="240">
        <f>C122</f>
        <v>1061.8124499999999</v>
      </c>
      <c r="E129" s="235">
        <f t="shared" ref="E129:E130" si="7">B129/B$133*100</f>
        <v>8.5023619067168639</v>
      </c>
    </row>
    <row r="130" spans="1:7">
      <c r="A130" t="s">
        <v>22</v>
      </c>
      <c r="B130" s="240">
        <f>B121</f>
        <v>1039.1469999999999</v>
      </c>
      <c r="C130" s="238">
        <f t="shared" si="6"/>
        <v>815.10699999999997</v>
      </c>
      <c r="D130" s="240">
        <f>C121</f>
        <v>224.04</v>
      </c>
      <c r="E130" s="235">
        <f t="shared" si="7"/>
        <v>4.9132685571381796</v>
      </c>
    </row>
    <row r="131" spans="1:7">
      <c r="B131" s="240"/>
      <c r="C131" s="240"/>
      <c r="D131" s="240"/>
    </row>
    <row r="132" spans="1:7">
      <c r="B132" s="240"/>
      <c r="C132" s="240"/>
      <c r="D132" s="240"/>
    </row>
    <row r="133" spans="1:7">
      <c r="A133" t="s">
        <v>203</v>
      </c>
      <c r="B133" s="240">
        <f>SUM(B128:B132)</f>
        <v>21149.810720000001</v>
      </c>
      <c r="C133" s="240">
        <f t="shared" ref="C133:E133" si="8">SUM(C128:C132)</f>
        <v>2556.5229999999992</v>
      </c>
      <c r="D133" s="240">
        <f t="shared" si="8"/>
        <v>18593.287720000004</v>
      </c>
      <c r="E133" s="240">
        <f t="shared" si="8"/>
        <v>100.00000000000001</v>
      </c>
    </row>
    <row r="134" spans="1:7">
      <c r="A134" s="214"/>
    </row>
    <row r="135" spans="1:7">
      <c r="A135" t="s">
        <v>42</v>
      </c>
      <c r="B135" t="s">
        <v>220</v>
      </c>
      <c r="C135" t="s">
        <v>220</v>
      </c>
    </row>
    <row r="136" spans="1:7">
      <c r="A136" t="s">
        <v>42</v>
      </c>
      <c r="B136" t="s">
        <v>199</v>
      </c>
      <c r="C136" t="s">
        <v>200</v>
      </c>
      <c r="D136" t="s">
        <v>201</v>
      </c>
      <c r="E136" t="s">
        <v>202</v>
      </c>
    </row>
    <row r="137" spans="1:7">
      <c r="A137" t="s">
        <v>4</v>
      </c>
      <c r="B137" s="235">
        <v>18312.43</v>
      </c>
      <c r="C137" s="235">
        <v>1005</v>
      </c>
      <c r="D137" s="235">
        <v>17307.439999999999</v>
      </c>
      <c r="E137" s="235">
        <v>86.584000000000003</v>
      </c>
      <c r="F137" s="238">
        <f>(100-E137)*B$142/100</f>
        <v>2837.4585095999996</v>
      </c>
      <c r="G137" t="str">
        <f>CONCATENATE(A137," ",TEXT(B137,"0.0,0")," GWh")</f>
        <v>Solar fotovoltaica 18.312,4 GWh</v>
      </c>
    </row>
    <row r="138" spans="1:7">
      <c r="A138" t="s">
        <v>5</v>
      </c>
      <c r="B138" s="235">
        <v>1798.23</v>
      </c>
      <c r="C138" s="235">
        <v>736.42</v>
      </c>
      <c r="D138" s="235">
        <v>1061.81</v>
      </c>
      <c r="E138" s="235">
        <v>8.5020000000000007</v>
      </c>
      <c r="F138" s="238">
        <f t="shared" ref="F138:F139" si="9">(100-E138)*B$142/100</f>
        <v>19351.653153800002</v>
      </c>
      <c r="G138" t="str">
        <f>CONCATENATE(A138," ",TEXT(B138,"0.0,0")," GWh")</f>
        <v>Eólica 1.798,2 GWh</v>
      </c>
    </row>
    <row r="139" spans="1:7">
      <c r="A139" t="s">
        <v>22</v>
      </c>
      <c r="B139" s="235">
        <v>1039.1500000000001</v>
      </c>
      <c r="C139" s="235">
        <v>815.11</v>
      </c>
      <c r="D139" s="235">
        <v>224.04</v>
      </c>
      <c r="E139" s="235">
        <v>4.9130000000000003</v>
      </c>
      <c r="F139" s="238">
        <f t="shared" si="9"/>
        <v>20110.719834700001</v>
      </c>
      <c r="G139" t="str">
        <f>CONCATENATE(A139," ",TEXT(B139,"0.0,0")," GWh")</f>
        <v>Otras renovables 1.039,2 GWh</v>
      </c>
    </row>
    <row r="140" spans="1:7">
      <c r="A140" t="s">
        <v>12</v>
      </c>
      <c r="B140" s="235">
        <v>0</v>
      </c>
      <c r="C140" s="235">
        <v>0</v>
      </c>
      <c r="D140" s="235">
        <v>0</v>
      </c>
      <c r="E140" s="235">
        <v>0</v>
      </c>
      <c r="F140" s="238"/>
    </row>
    <row r="141" spans="1:7">
      <c r="A141" t="s">
        <v>204</v>
      </c>
      <c r="B141" s="235">
        <v>0</v>
      </c>
      <c r="C141" s="235">
        <v>0</v>
      </c>
      <c r="D141" s="235">
        <v>0</v>
      </c>
      <c r="E141" s="235">
        <v>0</v>
      </c>
      <c r="F141" s="238"/>
    </row>
    <row r="142" spans="1:7">
      <c r="A142" t="s">
        <v>203</v>
      </c>
      <c r="B142" s="235">
        <v>21149.81</v>
      </c>
      <c r="C142" s="235">
        <v>2556.5300000000002</v>
      </c>
      <c r="D142" s="235">
        <v>18593.29</v>
      </c>
      <c r="E142" s="235">
        <v>100</v>
      </c>
      <c r="F142" s="238"/>
      <c r="G142" t="str">
        <f>CONCATENATE(A142," ",TEXT(B142,"0.0,0")," GWh")</f>
        <v>Generación total autoconsumo 21.149,8 GWh</v>
      </c>
    </row>
    <row r="144" spans="1:7">
      <c r="A144" s="214" t="s">
        <v>210</v>
      </c>
    </row>
    <row r="145" spans="1:3">
      <c r="A145" t="s">
        <v>42</v>
      </c>
      <c r="B145" t="s">
        <v>220</v>
      </c>
      <c r="C145" t="s">
        <v>220</v>
      </c>
    </row>
    <row r="146" spans="1:3">
      <c r="A146" t="s">
        <v>42</v>
      </c>
      <c r="B146" t="s">
        <v>93</v>
      </c>
      <c r="C146" t="s">
        <v>26</v>
      </c>
    </row>
    <row r="147" spans="1:3">
      <c r="A147" t="s">
        <v>25</v>
      </c>
      <c r="B147" s="240">
        <v>284691.47200000001</v>
      </c>
      <c r="C147" s="240">
        <v>39.356999999999999</v>
      </c>
    </row>
    <row r="148" spans="1:3">
      <c r="A148" t="s">
        <v>10</v>
      </c>
      <c r="B148" s="240">
        <v>153416.853</v>
      </c>
      <c r="C148" s="240">
        <v>21.209</v>
      </c>
    </row>
    <row r="149" spans="1:3">
      <c r="A149" t="s">
        <v>8</v>
      </c>
      <c r="B149" s="240">
        <v>106513.632</v>
      </c>
      <c r="C149" s="240">
        <v>14.725</v>
      </c>
    </row>
    <row r="150" spans="1:3">
      <c r="A150" t="s">
        <v>5</v>
      </c>
      <c r="B150" s="240">
        <v>82987.95</v>
      </c>
      <c r="C150" s="240">
        <v>11.473000000000001</v>
      </c>
    </row>
    <row r="151" spans="1:3">
      <c r="A151" t="s">
        <v>4</v>
      </c>
      <c r="B151" s="240">
        <v>58523.451000000001</v>
      </c>
      <c r="C151" s="240">
        <v>8.0909999999999993</v>
      </c>
    </row>
    <row r="152" spans="1:3">
      <c r="A152" t="s">
        <v>9</v>
      </c>
      <c r="B152" s="240">
        <v>34690.565999999999</v>
      </c>
      <c r="C152" s="240">
        <v>4.7960000000000003</v>
      </c>
    </row>
    <row r="153" spans="1:3">
      <c r="A153" t="s">
        <v>6</v>
      </c>
      <c r="B153" s="240">
        <v>1462.3150000000001</v>
      </c>
      <c r="C153" s="240">
        <v>0.20200000000000001</v>
      </c>
    </row>
    <row r="154" spans="1:3">
      <c r="A154" t="s">
        <v>22</v>
      </c>
      <c r="B154" s="240">
        <v>1063.6959999999999</v>
      </c>
      <c r="C154" s="240">
        <v>0.14699999999999999</v>
      </c>
    </row>
    <row r="155" spans="1:3">
      <c r="A155" t="s">
        <v>12</v>
      </c>
      <c r="B155" s="240">
        <v>0</v>
      </c>
      <c r="C155" s="240">
        <v>0</v>
      </c>
    </row>
    <row r="156" spans="1:3">
      <c r="A156" t="s">
        <v>204</v>
      </c>
      <c r="B156" s="240">
        <v>0</v>
      </c>
      <c r="C156" s="240">
        <v>0</v>
      </c>
    </row>
    <row r="157" spans="1:3">
      <c r="A157" t="s">
        <v>206</v>
      </c>
      <c r="B157" s="240">
        <v>723349.93500000006</v>
      </c>
      <c r="C157" s="240">
        <v>100</v>
      </c>
    </row>
    <row r="158" spans="1:3">
      <c r="B158" s="240"/>
      <c r="C158" s="240"/>
    </row>
    <row r="159" spans="1:3">
      <c r="A159" t="s">
        <v>207</v>
      </c>
      <c r="B159" s="240">
        <f>SUM(B150:B151,B153:B156)</f>
        <v>144037.41200000001</v>
      </c>
      <c r="C159" s="240">
        <f>SUM(C150:C151,C153:C156)</f>
        <v>19.913</v>
      </c>
    </row>
  </sheetData>
  <mergeCells count="6">
    <mergeCell ref="B118:C118"/>
    <mergeCell ref="B5:N5"/>
    <mergeCell ref="B16:N16"/>
    <mergeCell ref="B38:N38"/>
    <mergeCell ref="B49:N49"/>
    <mergeCell ref="B72:C7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13"/>
  <sheetViews>
    <sheetView workbookViewId="0"/>
  </sheetViews>
  <sheetFormatPr baseColWidth="10" defaultRowHeight="15"/>
  <sheetData>
    <row r="1" spans="1:2">
      <c r="A1">
        <v>12</v>
      </c>
      <c r="B1" s="96" t="s">
        <v>218</v>
      </c>
    </row>
    <row r="2" spans="1:2">
      <c r="A2" t="s">
        <v>154</v>
      </c>
    </row>
    <row r="3" spans="1:2">
      <c r="A3" t="s">
        <v>155</v>
      </c>
    </row>
    <row r="4" spans="1:2">
      <c r="A4" t="s">
        <v>156</v>
      </c>
    </row>
    <row r="5" spans="1:2">
      <c r="A5" t="s">
        <v>146</v>
      </c>
    </row>
    <row r="6" spans="1:2">
      <c r="A6" t="s">
        <v>147</v>
      </c>
    </row>
    <row r="7" spans="1:2">
      <c r="A7" t="s">
        <v>211</v>
      </c>
    </row>
    <row r="8" spans="1:2">
      <c r="A8" t="s">
        <v>213</v>
      </c>
    </row>
    <row r="9" spans="1:2">
      <c r="A9" t="s">
        <v>214</v>
      </c>
    </row>
    <row r="10" spans="1:2">
      <c r="A10" t="s">
        <v>215</v>
      </c>
    </row>
    <row r="11" spans="1:2">
      <c r="A11" t="s">
        <v>216</v>
      </c>
    </row>
    <row r="12" spans="1:2">
      <c r="A12" t="s">
        <v>217</v>
      </c>
    </row>
    <row r="13" spans="1:2">
      <c r="A13" t="s">
        <v>219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1:L21"/>
  <sheetViews>
    <sheetView showGridLines="0" showRowColHeaders="0" topLeftCell="A2" workbookViewId="0">
      <selection activeCell="K3" sqref="K3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Abril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47" t="s">
        <v>41</v>
      </c>
      <c r="E7" s="66"/>
      <c r="F7" s="248" t="str">
        <f>K3</f>
        <v>Abril 2026</v>
      </c>
      <c r="G7" s="249"/>
      <c r="H7" s="249" t="s">
        <v>30</v>
      </c>
      <c r="I7" s="249"/>
      <c r="J7" s="249" t="s">
        <v>31</v>
      </c>
      <c r="K7" s="249"/>
    </row>
    <row r="8" spans="3:12">
      <c r="C8" s="247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95" t="str">
        <f>G8</f>
        <v>% 26/25</v>
      </c>
      <c r="J8" s="68" t="s">
        <v>13</v>
      </c>
      <c r="K8" s="95" t="str">
        <f>G8</f>
        <v>% 26/25</v>
      </c>
    </row>
    <row r="9" spans="3:12">
      <c r="C9" s="70"/>
      <c r="E9" s="71" t="s">
        <v>32</v>
      </c>
      <c r="F9" s="72">
        <f>Dat_01!Z26/1000</f>
        <v>704.19634499999995</v>
      </c>
      <c r="G9" s="140">
        <f>Dat_01!AB26*100</f>
        <v>0.98078027000000001</v>
      </c>
      <c r="H9" s="72">
        <f>Dat_01!AC26/1000</f>
        <v>2900.771369</v>
      </c>
      <c r="I9" s="140">
        <f>Dat_01!AE26*100</f>
        <v>1.1303918899999998</v>
      </c>
      <c r="J9" s="72">
        <f>Dat_01!AF26/1000</f>
        <v>9015.8292060000003</v>
      </c>
      <c r="K9" s="140">
        <f>Dat_01!AG26*100</f>
        <v>1.6098149100000001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Dat_01!D167*100</f>
        <v>1.9E-2</v>
      </c>
      <c r="H12" s="91"/>
      <c r="I12" s="91">
        <f>Dat_01!H167*100</f>
        <v>5.6999999999999995E-2</v>
      </c>
      <c r="J12" s="91"/>
      <c r="K12" s="91">
        <f>Dat_01!L167*100</f>
        <v>4.4999999999999998E-2</v>
      </c>
    </row>
    <row r="13" spans="3:12">
      <c r="E13" s="74" t="s">
        <v>35</v>
      </c>
      <c r="F13" s="73"/>
      <c r="G13" s="91">
        <f>Dat_01!E167*100</f>
        <v>5.9000000000000004E-2</v>
      </c>
      <c r="H13" s="91"/>
      <c r="I13" s="91">
        <f>Dat_01!I167*100</f>
        <v>0.17899999999999999</v>
      </c>
      <c r="J13" s="91"/>
      <c r="K13" s="91">
        <f>Dat_01!M167*100</f>
        <v>0.184</v>
      </c>
    </row>
    <row r="14" spans="3:12">
      <c r="E14" s="75" t="s">
        <v>36</v>
      </c>
      <c r="F14" s="76"/>
      <c r="G14" s="92">
        <f>Dat_01!F167*100</f>
        <v>0.90300000000000002</v>
      </c>
      <c r="H14" s="92"/>
      <c r="I14" s="92">
        <f>Dat_01!J167*100</f>
        <v>0.89400000000000002</v>
      </c>
      <c r="J14" s="92"/>
      <c r="K14" s="92">
        <f>Dat_01!N167*100</f>
        <v>1.381</v>
      </c>
    </row>
    <row r="15" spans="3:12">
      <c r="E15" s="250" t="s">
        <v>37</v>
      </c>
      <c r="F15" s="250"/>
      <c r="G15" s="250"/>
      <c r="H15" s="250"/>
      <c r="I15" s="250"/>
      <c r="J15" s="250"/>
      <c r="K15" s="250"/>
    </row>
    <row r="16" spans="3:12" ht="21.75" customHeight="1">
      <c r="E16" s="246" t="s">
        <v>38</v>
      </c>
      <c r="F16" s="246"/>
      <c r="G16" s="246"/>
      <c r="H16" s="246"/>
      <c r="I16" s="246"/>
      <c r="J16" s="246"/>
      <c r="K16" s="246"/>
    </row>
    <row r="17" spans="5:11">
      <c r="E17" s="174"/>
    </row>
    <row r="19" spans="5:11">
      <c r="G19" s="152"/>
      <c r="H19" s="152"/>
      <c r="I19" s="152"/>
      <c r="J19" s="152"/>
      <c r="K19" s="152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pageSetUpPr autoPageBreaks="0" fitToPage="1"/>
  </sheetPr>
  <dimension ref="C1:W60"/>
  <sheetViews>
    <sheetView showGridLines="0" showRowColHeaders="0" zoomScaleNormal="100" workbookViewId="0">
      <selection activeCell="I27" sqref="I27"/>
    </sheetView>
  </sheetViews>
  <sheetFormatPr baseColWidth="10" defaultRowHeight="11.25"/>
  <cols>
    <col min="1" max="1" width="0.140625" style="1" customWidth="1"/>
    <col min="2" max="2" width="2.5703125" style="1" customWidth="1"/>
    <col min="3" max="3" width="23.5703125" style="1" customWidth="1"/>
    <col min="4" max="4" width="1.42578125" style="1" customWidth="1"/>
    <col min="5" max="5" width="29.140625" style="1" customWidth="1"/>
    <col min="6" max="13" width="7.5703125" style="1" customWidth="1"/>
    <col min="14" max="254" width="11.42578125" style="1"/>
    <col min="255" max="255" width="0.140625" style="1" customWidth="1"/>
    <col min="256" max="256" width="2.5703125" style="1" customWidth="1"/>
    <col min="257" max="257" width="15.42578125" style="1" customWidth="1"/>
    <col min="258" max="258" width="1.42578125" style="1" customWidth="1"/>
    <col min="259" max="259" width="29.140625" style="1" customWidth="1"/>
    <col min="260" max="260" width="7.85546875" style="1" bestFit="1" customWidth="1"/>
    <col min="261" max="261" width="7" style="1" customWidth="1"/>
    <col min="262" max="262" width="7.85546875" style="1" bestFit="1" customWidth="1"/>
    <col min="263" max="263" width="8.42578125" style="1" customWidth="1"/>
    <col min="264" max="264" width="7" style="1" customWidth="1"/>
    <col min="265" max="265" width="6.42578125" style="1" customWidth="1"/>
    <col min="266" max="266" width="7" style="1" customWidth="1"/>
    <col min="267" max="267" width="6.5703125" style="1" customWidth="1"/>
    <col min="268" max="268" width="7" style="1" customWidth="1"/>
    <col min="269" max="269" width="6.42578125" style="1" customWidth="1"/>
    <col min="270" max="510" width="11.42578125" style="1"/>
    <col min="511" max="511" width="0.140625" style="1" customWidth="1"/>
    <col min="512" max="512" width="2.5703125" style="1" customWidth="1"/>
    <col min="513" max="513" width="15.42578125" style="1" customWidth="1"/>
    <col min="514" max="514" width="1.42578125" style="1" customWidth="1"/>
    <col min="515" max="515" width="29.140625" style="1" customWidth="1"/>
    <col min="516" max="516" width="7.85546875" style="1" bestFit="1" customWidth="1"/>
    <col min="517" max="517" width="7" style="1" customWidth="1"/>
    <col min="518" max="518" width="7.85546875" style="1" bestFit="1" customWidth="1"/>
    <col min="519" max="519" width="8.42578125" style="1" customWidth="1"/>
    <col min="520" max="520" width="7" style="1" customWidth="1"/>
    <col min="521" max="521" width="6.42578125" style="1" customWidth="1"/>
    <col min="522" max="522" width="7" style="1" customWidth="1"/>
    <col min="523" max="523" width="6.5703125" style="1" customWidth="1"/>
    <col min="524" max="524" width="7" style="1" customWidth="1"/>
    <col min="525" max="525" width="6.42578125" style="1" customWidth="1"/>
    <col min="526" max="766" width="11.42578125" style="1"/>
    <col min="767" max="767" width="0.140625" style="1" customWidth="1"/>
    <col min="768" max="768" width="2.5703125" style="1" customWidth="1"/>
    <col min="769" max="769" width="15.42578125" style="1" customWidth="1"/>
    <col min="770" max="770" width="1.42578125" style="1" customWidth="1"/>
    <col min="771" max="771" width="29.140625" style="1" customWidth="1"/>
    <col min="772" max="772" width="7.85546875" style="1" bestFit="1" customWidth="1"/>
    <col min="773" max="773" width="7" style="1" customWidth="1"/>
    <col min="774" max="774" width="7.85546875" style="1" bestFit="1" customWidth="1"/>
    <col min="775" max="775" width="8.42578125" style="1" customWidth="1"/>
    <col min="776" max="776" width="7" style="1" customWidth="1"/>
    <col min="777" max="777" width="6.42578125" style="1" customWidth="1"/>
    <col min="778" max="778" width="7" style="1" customWidth="1"/>
    <col min="779" max="779" width="6.5703125" style="1" customWidth="1"/>
    <col min="780" max="780" width="7" style="1" customWidth="1"/>
    <col min="781" max="781" width="6.42578125" style="1" customWidth="1"/>
    <col min="782" max="1022" width="11.42578125" style="1"/>
    <col min="1023" max="1023" width="0.140625" style="1" customWidth="1"/>
    <col min="1024" max="1024" width="2.5703125" style="1" customWidth="1"/>
    <col min="1025" max="1025" width="15.42578125" style="1" customWidth="1"/>
    <col min="1026" max="1026" width="1.42578125" style="1" customWidth="1"/>
    <col min="1027" max="1027" width="29.140625" style="1" customWidth="1"/>
    <col min="1028" max="1028" width="7.85546875" style="1" bestFit="1" customWidth="1"/>
    <col min="1029" max="1029" width="7" style="1" customWidth="1"/>
    <col min="1030" max="1030" width="7.85546875" style="1" bestFit="1" customWidth="1"/>
    <col min="1031" max="1031" width="8.42578125" style="1" customWidth="1"/>
    <col min="1032" max="1032" width="7" style="1" customWidth="1"/>
    <col min="1033" max="1033" width="6.42578125" style="1" customWidth="1"/>
    <col min="1034" max="1034" width="7" style="1" customWidth="1"/>
    <col min="1035" max="1035" width="6.5703125" style="1" customWidth="1"/>
    <col min="1036" max="1036" width="7" style="1" customWidth="1"/>
    <col min="1037" max="1037" width="6.42578125" style="1" customWidth="1"/>
    <col min="1038" max="1278" width="11.42578125" style="1"/>
    <col min="1279" max="1279" width="0.140625" style="1" customWidth="1"/>
    <col min="1280" max="1280" width="2.5703125" style="1" customWidth="1"/>
    <col min="1281" max="1281" width="15.42578125" style="1" customWidth="1"/>
    <col min="1282" max="1282" width="1.42578125" style="1" customWidth="1"/>
    <col min="1283" max="1283" width="29.140625" style="1" customWidth="1"/>
    <col min="1284" max="1284" width="7.85546875" style="1" bestFit="1" customWidth="1"/>
    <col min="1285" max="1285" width="7" style="1" customWidth="1"/>
    <col min="1286" max="1286" width="7.85546875" style="1" bestFit="1" customWidth="1"/>
    <col min="1287" max="1287" width="8.42578125" style="1" customWidth="1"/>
    <col min="1288" max="1288" width="7" style="1" customWidth="1"/>
    <col min="1289" max="1289" width="6.42578125" style="1" customWidth="1"/>
    <col min="1290" max="1290" width="7" style="1" customWidth="1"/>
    <col min="1291" max="1291" width="6.5703125" style="1" customWidth="1"/>
    <col min="1292" max="1292" width="7" style="1" customWidth="1"/>
    <col min="1293" max="1293" width="6.42578125" style="1" customWidth="1"/>
    <col min="1294" max="1534" width="11.42578125" style="1"/>
    <col min="1535" max="1535" width="0.140625" style="1" customWidth="1"/>
    <col min="1536" max="1536" width="2.5703125" style="1" customWidth="1"/>
    <col min="1537" max="1537" width="15.42578125" style="1" customWidth="1"/>
    <col min="1538" max="1538" width="1.42578125" style="1" customWidth="1"/>
    <col min="1539" max="1539" width="29.140625" style="1" customWidth="1"/>
    <col min="1540" max="1540" width="7.85546875" style="1" bestFit="1" customWidth="1"/>
    <col min="1541" max="1541" width="7" style="1" customWidth="1"/>
    <col min="1542" max="1542" width="7.85546875" style="1" bestFit="1" customWidth="1"/>
    <col min="1543" max="1543" width="8.42578125" style="1" customWidth="1"/>
    <col min="1544" max="1544" width="7" style="1" customWidth="1"/>
    <col min="1545" max="1545" width="6.42578125" style="1" customWidth="1"/>
    <col min="1546" max="1546" width="7" style="1" customWidth="1"/>
    <col min="1547" max="1547" width="6.5703125" style="1" customWidth="1"/>
    <col min="1548" max="1548" width="7" style="1" customWidth="1"/>
    <col min="1549" max="1549" width="6.42578125" style="1" customWidth="1"/>
    <col min="1550" max="1790" width="11.42578125" style="1"/>
    <col min="1791" max="1791" width="0.140625" style="1" customWidth="1"/>
    <col min="1792" max="1792" width="2.5703125" style="1" customWidth="1"/>
    <col min="1793" max="1793" width="15.42578125" style="1" customWidth="1"/>
    <col min="1794" max="1794" width="1.42578125" style="1" customWidth="1"/>
    <col min="1795" max="1795" width="29.140625" style="1" customWidth="1"/>
    <col min="1796" max="1796" width="7.85546875" style="1" bestFit="1" customWidth="1"/>
    <col min="1797" max="1797" width="7" style="1" customWidth="1"/>
    <col min="1798" max="1798" width="7.85546875" style="1" bestFit="1" customWidth="1"/>
    <col min="1799" max="1799" width="8.42578125" style="1" customWidth="1"/>
    <col min="1800" max="1800" width="7" style="1" customWidth="1"/>
    <col min="1801" max="1801" width="6.42578125" style="1" customWidth="1"/>
    <col min="1802" max="1802" width="7" style="1" customWidth="1"/>
    <col min="1803" max="1803" width="6.5703125" style="1" customWidth="1"/>
    <col min="1804" max="1804" width="7" style="1" customWidth="1"/>
    <col min="1805" max="1805" width="6.42578125" style="1" customWidth="1"/>
    <col min="1806" max="2046" width="11.42578125" style="1"/>
    <col min="2047" max="2047" width="0.140625" style="1" customWidth="1"/>
    <col min="2048" max="2048" width="2.5703125" style="1" customWidth="1"/>
    <col min="2049" max="2049" width="15.42578125" style="1" customWidth="1"/>
    <col min="2050" max="2050" width="1.42578125" style="1" customWidth="1"/>
    <col min="2051" max="2051" width="29.140625" style="1" customWidth="1"/>
    <col min="2052" max="2052" width="7.85546875" style="1" bestFit="1" customWidth="1"/>
    <col min="2053" max="2053" width="7" style="1" customWidth="1"/>
    <col min="2054" max="2054" width="7.85546875" style="1" bestFit="1" customWidth="1"/>
    <col min="2055" max="2055" width="8.42578125" style="1" customWidth="1"/>
    <col min="2056" max="2056" width="7" style="1" customWidth="1"/>
    <col min="2057" max="2057" width="6.42578125" style="1" customWidth="1"/>
    <col min="2058" max="2058" width="7" style="1" customWidth="1"/>
    <col min="2059" max="2059" width="6.5703125" style="1" customWidth="1"/>
    <col min="2060" max="2060" width="7" style="1" customWidth="1"/>
    <col min="2061" max="2061" width="6.42578125" style="1" customWidth="1"/>
    <col min="2062" max="2302" width="11.42578125" style="1"/>
    <col min="2303" max="2303" width="0.140625" style="1" customWidth="1"/>
    <col min="2304" max="2304" width="2.5703125" style="1" customWidth="1"/>
    <col min="2305" max="2305" width="15.42578125" style="1" customWidth="1"/>
    <col min="2306" max="2306" width="1.42578125" style="1" customWidth="1"/>
    <col min="2307" max="2307" width="29.140625" style="1" customWidth="1"/>
    <col min="2308" max="2308" width="7.85546875" style="1" bestFit="1" customWidth="1"/>
    <col min="2309" max="2309" width="7" style="1" customWidth="1"/>
    <col min="2310" max="2310" width="7.85546875" style="1" bestFit="1" customWidth="1"/>
    <col min="2311" max="2311" width="8.42578125" style="1" customWidth="1"/>
    <col min="2312" max="2312" width="7" style="1" customWidth="1"/>
    <col min="2313" max="2313" width="6.42578125" style="1" customWidth="1"/>
    <col min="2314" max="2314" width="7" style="1" customWidth="1"/>
    <col min="2315" max="2315" width="6.5703125" style="1" customWidth="1"/>
    <col min="2316" max="2316" width="7" style="1" customWidth="1"/>
    <col min="2317" max="2317" width="6.42578125" style="1" customWidth="1"/>
    <col min="2318" max="2558" width="11.42578125" style="1"/>
    <col min="2559" max="2559" width="0.140625" style="1" customWidth="1"/>
    <col min="2560" max="2560" width="2.5703125" style="1" customWidth="1"/>
    <col min="2561" max="2561" width="15.42578125" style="1" customWidth="1"/>
    <col min="2562" max="2562" width="1.42578125" style="1" customWidth="1"/>
    <col min="2563" max="2563" width="29.140625" style="1" customWidth="1"/>
    <col min="2564" max="2564" width="7.85546875" style="1" bestFit="1" customWidth="1"/>
    <col min="2565" max="2565" width="7" style="1" customWidth="1"/>
    <col min="2566" max="2566" width="7.85546875" style="1" bestFit="1" customWidth="1"/>
    <col min="2567" max="2567" width="8.42578125" style="1" customWidth="1"/>
    <col min="2568" max="2568" width="7" style="1" customWidth="1"/>
    <col min="2569" max="2569" width="6.42578125" style="1" customWidth="1"/>
    <col min="2570" max="2570" width="7" style="1" customWidth="1"/>
    <col min="2571" max="2571" width="6.5703125" style="1" customWidth="1"/>
    <col min="2572" max="2572" width="7" style="1" customWidth="1"/>
    <col min="2573" max="2573" width="6.42578125" style="1" customWidth="1"/>
    <col min="2574" max="2814" width="11.42578125" style="1"/>
    <col min="2815" max="2815" width="0.140625" style="1" customWidth="1"/>
    <col min="2816" max="2816" width="2.5703125" style="1" customWidth="1"/>
    <col min="2817" max="2817" width="15.42578125" style="1" customWidth="1"/>
    <col min="2818" max="2818" width="1.42578125" style="1" customWidth="1"/>
    <col min="2819" max="2819" width="29.140625" style="1" customWidth="1"/>
    <col min="2820" max="2820" width="7.85546875" style="1" bestFit="1" customWidth="1"/>
    <col min="2821" max="2821" width="7" style="1" customWidth="1"/>
    <col min="2822" max="2822" width="7.85546875" style="1" bestFit="1" customWidth="1"/>
    <col min="2823" max="2823" width="8.42578125" style="1" customWidth="1"/>
    <col min="2824" max="2824" width="7" style="1" customWidth="1"/>
    <col min="2825" max="2825" width="6.42578125" style="1" customWidth="1"/>
    <col min="2826" max="2826" width="7" style="1" customWidth="1"/>
    <col min="2827" max="2827" width="6.5703125" style="1" customWidth="1"/>
    <col min="2828" max="2828" width="7" style="1" customWidth="1"/>
    <col min="2829" max="2829" width="6.42578125" style="1" customWidth="1"/>
    <col min="2830" max="3070" width="11.42578125" style="1"/>
    <col min="3071" max="3071" width="0.140625" style="1" customWidth="1"/>
    <col min="3072" max="3072" width="2.5703125" style="1" customWidth="1"/>
    <col min="3073" max="3073" width="15.42578125" style="1" customWidth="1"/>
    <col min="3074" max="3074" width="1.42578125" style="1" customWidth="1"/>
    <col min="3075" max="3075" width="29.140625" style="1" customWidth="1"/>
    <col min="3076" max="3076" width="7.85546875" style="1" bestFit="1" customWidth="1"/>
    <col min="3077" max="3077" width="7" style="1" customWidth="1"/>
    <col min="3078" max="3078" width="7.85546875" style="1" bestFit="1" customWidth="1"/>
    <col min="3079" max="3079" width="8.42578125" style="1" customWidth="1"/>
    <col min="3080" max="3080" width="7" style="1" customWidth="1"/>
    <col min="3081" max="3081" width="6.42578125" style="1" customWidth="1"/>
    <col min="3082" max="3082" width="7" style="1" customWidth="1"/>
    <col min="3083" max="3083" width="6.5703125" style="1" customWidth="1"/>
    <col min="3084" max="3084" width="7" style="1" customWidth="1"/>
    <col min="3085" max="3085" width="6.42578125" style="1" customWidth="1"/>
    <col min="3086" max="3326" width="11.42578125" style="1"/>
    <col min="3327" max="3327" width="0.140625" style="1" customWidth="1"/>
    <col min="3328" max="3328" width="2.5703125" style="1" customWidth="1"/>
    <col min="3329" max="3329" width="15.42578125" style="1" customWidth="1"/>
    <col min="3330" max="3330" width="1.42578125" style="1" customWidth="1"/>
    <col min="3331" max="3331" width="29.140625" style="1" customWidth="1"/>
    <col min="3332" max="3332" width="7.85546875" style="1" bestFit="1" customWidth="1"/>
    <col min="3333" max="3333" width="7" style="1" customWidth="1"/>
    <col min="3334" max="3334" width="7.85546875" style="1" bestFit="1" customWidth="1"/>
    <col min="3335" max="3335" width="8.42578125" style="1" customWidth="1"/>
    <col min="3336" max="3336" width="7" style="1" customWidth="1"/>
    <col min="3337" max="3337" width="6.42578125" style="1" customWidth="1"/>
    <col min="3338" max="3338" width="7" style="1" customWidth="1"/>
    <col min="3339" max="3339" width="6.5703125" style="1" customWidth="1"/>
    <col min="3340" max="3340" width="7" style="1" customWidth="1"/>
    <col min="3341" max="3341" width="6.42578125" style="1" customWidth="1"/>
    <col min="3342" max="3582" width="11.42578125" style="1"/>
    <col min="3583" max="3583" width="0.140625" style="1" customWidth="1"/>
    <col min="3584" max="3584" width="2.5703125" style="1" customWidth="1"/>
    <col min="3585" max="3585" width="15.42578125" style="1" customWidth="1"/>
    <col min="3586" max="3586" width="1.42578125" style="1" customWidth="1"/>
    <col min="3587" max="3587" width="29.140625" style="1" customWidth="1"/>
    <col min="3588" max="3588" width="7.85546875" style="1" bestFit="1" customWidth="1"/>
    <col min="3589" max="3589" width="7" style="1" customWidth="1"/>
    <col min="3590" max="3590" width="7.85546875" style="1" bestFit="1" customWidth="1"/>
    <col min="3591" max="3591" width="8.42578125" style="1" customWidth="1"/>
    <col min="3592" max="3592" width="7" style="1" customWidth="1"/>
    <col min="3593" max="3593" width="6.42578125" style="1" customWidth="1"/>
    <col min="3594" max="3594" width="7" style="1" customWidth="1"/>
    <col min="3595" max="3595" width="6.5703125" style="1" customWidth="1"/>
    <col min="3596" max="3596" width="7" style="1" customWidth="1"/>
    <col min="3597" max="3597" width="6.42578125" style="1" customWidth="1"/>
    <col min="3598" max="3838" width="11.42578125" style="1"/>
    <col min="3839" max="3839" width="0.140625" style="1" customWidth="1"/>
    <col min="3840" max="3840" width="2.5703125" style="1" customWidth="1"/>
    <col min="3841" max="3841" width="15.42578125" style="1" customWidth="1"/>
    <col min="3842" max="3842" width="1.42578125" style="1" customWidth="1"/>
    <col min="3843" max="3843" width="29.140625" style="1" customWidth="1"/>
    <col min="3844" max="3844" width="7.85546875" style="1" bestFit="1" customWidth="1"/>
    <col min="3845" max="3845" width="7" style="1" customWidth="1"/>
    <col min="3846" max="3846" width="7.85546875" style="1" bestFit="1" customWidth="1"/>
    <col min="3847" max="3847" width="8.42578125" style="1" customWidth="1"/>
    <col min="3848" max="3848" width="7" style="1" customWidth="1"/>
    <col min="3849" max="3849" width="6.42578125" style="1" customWidth="1"/>
    <col min="3850" max="3850" width="7" style="1" customWidth="1"/>
    <col min="3851" max="3851" width="6.5703125" style="1" customWidth="1"/>
    <col min="3852" max="3852" width="7" style="1" customWidth="1"/>
    <col min="3853" max="3853" width="6.42578125" style="1" customWidth="1"/>
    <col min="3854" max="4094" width="11.42578125" style="1"/>
    <col min="4095" max="4095" width="0.140625" style="1" customWidth="1"/>
    <col min="4096" max="4096" width="2.5703125" style="1" customWidth="1"/>
    <col min="4097" max="4097" width="15.42578125" style="1" customWidth="1"/>
    <col min="4098" max="4098" width="1.42578125" style="1" customWidth="1"/>
    <col min="4099" max="4099" width="29.140625" style="1" customWidth="1"/>
    <col min="4100" max="4100" width="7.85546875" style="1" bestFit="1" customWidth="1"/>
    <col min="4101" max="4101" width="7" style="1" customWidth="1"/>
    <col min="4102" max="4102" width="7.85546875" style="1" bestFit="1" customWidth="1"/>
    <col min="4103" max="4103" width="8.42578125" style="1" customWidth="1"/>
    <col min="4104" max="4104" width="7" style="1" customWidth="1"/>
    <col min="4105" max="4105" width="6.42578125" style="1" customWidth="1"/>
    <col min="4106" max="4106" width="7" style="1" customWidth="1"/>
    <col min="4107" max="4107" width="6.5703125" style="1" customWidth="1"/>
    <col min="4108" max="4108" width="7" style="1" customWidth="1"/>
    <col min="4109" max="4109" width="6.42578125" style="1" customWidth="1"/>
    <col min="4110" max="4350" width="11.42578125" style="1"/>
    <col min="4351" max="4351" width="0.140625" style="1" customWidth="1"/>
    <col min="4352" max="4352" width="2.5703125" style="1" customWidth="1"/>
    <col min="4353" max="4353" width="15.42578125" style="1" customWidth="1"/>
    <col min="4354" max="4354" width="1.42578125" style="1" customWidth="1"/>
    <col min="4355" max="4355" width="29.140625" style="1" customWidth="1"/>
    <col min="4356" max="4356" width="7.85546875" style="1" bestFit="1" customWidth="1"/>
    <col min="4357" max="4357" width="7" style="1" customWidth="1"/>
    <col min="4358" max="4358" width="7.85546875" style="1" bestFit="1" customWidth="1"/>
    <col min="4359" max="4359" width="8.42578125" style="1" customWidth="1"/>
    <col min="4360" max="4360" width="7" style="1" customWidth="1"/>
    <col min="4361" max="4361" width="6.42578125" style="1" customWidth="1"/>
    <col min="4362" max="4362" width="7" style="1" customWidth="1"/>
    <col min="4363" max="4363" width="6.5703125" style="1" customWidth="1"/>
    <col min="4364" max="4364" width="7" style="1" customWidth="1"/>
    <col min="4365" max="4365" width="6.42578125" style="1" customWidth="1"/>
    <col min="4366" max="4606" width="11.42578125" style="1"/>
    <col min="4607" max="4607" width="0.140625" style="1" customWidth="1"/>
    <col min="4608" max="4608" width="2.5703125" style="1" customWidth="1"/>
    <col min="4609" max="4609" width="15.42578125" style="1" customWidth="1"/>
    <col min="4610" max="4610" width="1.42578125" style="1" customWidth="1"/>
    <col min="4611" max="4611" width="29.140625" style="1" customWidth="1"/>
    <col min="4612" max="4612" width="7.85546875" style="1" bestFit="1" customWidth="1"/>
    <col min="4613" max="4613" width="7" style="1" customWidth="1"/>
    <col min="4614" max="4614" width="7.85546875" style="1" bestFit="1" customWidth="1"/>
    <col min="4615" max="4615" width="8.42578125" style="1" customWidth="1"/>
    <col min="4616" max="4616" width="7" style="1" customWidth="1"/>
    <col min="4617" max="4617" width="6.42578125" style="1" customWidth="1"/>
    <col min="4618" max="4618" width="7" style="1" customWidth="1"/>
    <col min="4619" max="4619" width="6.5703125" style="1" customWidth="1"/>
    <col min="4620" max="4620" width="7" style="1" customWidth="1"/>
    <col min="4621" max="4621" width="6.42578125" style="1" customWidth="1"/>
    <col min="4622" max="4862" width="11.42578125" style="1"/>
    <col min="4863" max="4863" width="0.140625" style="1" customWidth="1"/>
    <col min="4864" max="4864" width="2.5703125" style="1" customWidth="1"/>
    <col min="4865" max="4865" width="15.42578125" style="1" customWidth="1"/>
    <col min="4866" max="4866" width="1.42578125" style="1" customWidth="1"/>
    <col min="4867" max="4867" width="29.140625" style="1" customWidth="1"/>
    <col min="4868" max="4868" width="7.85546875" style="1" bestFit="1" customWidth="1"/>
    <col min="4869" max="4869" width="7" style="1" customWidth="1"/>
    <col min="4870" max="4870" width="7.85546875" style="1" bestFit="1" customWidth="1"/>
    <col min="4871" max="4871" width="8.42578125" style="1" customWidth="1"/>
    <col min="4872" max="4872" width="7" style="1" customWidth="1"/>
    <col min="4873" max="4873" width="6.42578125" style="1" customWidth="1"/>
    <col min="4874" max="4874" width="7" style="1" customWidth="1"/>
    <col min="4875" max="4875" width="6.5703125" style="1" customWidth="1"/>
    <col min="4876" max="4876" width="7" style="1" customWidth="1"/>
    <col min="4877" max="4877" width="6.42578125" style="1" customWidth="1"/>
    <col min="4878" max="5118" width="11.42578125" style="1"/>
    <col min="5119" max="5119" width="0.140625" style="1" customWidth="1"/>
    <col min="5120" max="5120" width="2.5703125" style="1" customWidth="1"/>
    <col min="5121" max="5121" width="15.42578125" style="1" customWidth="1"/>
    <col min="5122" max="5122" width="1.42578125" style="1" customWidth="1"/>
    <col min="5123" max="5123" width="29.140625" style="1" customWidth="1"/>
    <col min="5124" max="5124" width="7.85546875" style="1" bestFit="1" customWidth="1"/>
    <col min="5125" max="5125" width="7" style="1" customWidth="1"/>
    <col min="5126" max="5126" width="7.85546875" style="1" bestFit="1" customWidth="1"/>
    <col min="5127" max="5127" width="8.42578125" style="1" customWidth="1"/>
    <col min="5128" max="5128" width="7" style="1" customWidth="1"/>
    <col min="5129" max="5129" width="6.42578125" style="1" customWidth="1"/>
    <col min="5130" max="5130" width="7" style="1" customWidth="1"/>
    <col min="5131" max="5131" width="6.5703125" style="1" customWidth="1"/>
    <col min="5132" max="5132" width="7" style="1" customWidth="1"/>
    <col min="5133" max="5133" width="6.42578125" style="1" customWidth="1"/>
    <col min="5134" max="5374" width="11.42578125" style="1"/>
    <col min="5375" max="5375" width="0.140625" style="1" customWidth="1"/>
    <col min="5376" max="5376" width="2.5703125" style="1" customWidth="1"/>
    <col min="5377" max="5377" width="15.42578125" style="1" customWidth="1"/>
    <col min="5378" max="5378" width="1.42578125" style="1" customWidth="1"/>
    <col min="5379" max="5379" width="29.140625" style="1" customWidth="1"/>
    <col min="5380" max="5380" width="7.85546875" style="1" bestFit="1" customWidth="1"/>
    <col min="5381" max="5381" width="7" style="1" customWidth="1"/>
    <col min="5382" max="5382" width="7.85546875" style="1" bestFit="1" customWidth="1"/>
    <col min="5383" max="5383" width="8.42578125" style="1" customWidth="1"/>
    <col min="5384" max="5384" width="7" style="1" customWidth="1"/>
    <col min="5385" max="5385" width="6.42578125" style="1" customWidth="1"/>
    <col min="5386" max="5386" width="7" style="1" customWidth="1"/>
    <col min="5387" max="5387" width="6.5703125" style="1" customWidth="1"/>
    <col min="5388" max="5388" width="7" style="1" customWidth="1"/>
    <col min="5389" max="5389" width="6.42578125" style="1" customWidth="1"/>
    <col min="5390" max="5630" width="11.42578125" style="1"/>
    <col min="5631" max="5631" width="0.140625" style="1" customWidth="1"/>
    <col min="5632" max="5632" width="2.5703125" style="1" customWidth="1"/>
    <col min="5633" max="5633" width="15.42578125" style="1" customWidth="1"/>
    <col min="5634" max="5634" width="1.42578125" style="1" customWidth="1"/>
    <col min="5635" max="5635" width="29.140625" style="1" customWidth="1"/>
    <col min="5636" max="5636" width="7.85546875" style="1" bestFit="1" customWidth="1"/>
    <col min="5637" max="5637" width="7" style="1" customWidth="1"/>
    <col min="5638" max="5638" width="7.85546875" style="1" bestFit="1" customWidth="1"/>
    <col min="5639" max="5639" width="8.42578125" style="1" customWidth="1"/>
    <col min="5640" max="5640" width="7" style="1" customWidth="1"/>
    <col min="5641" max="5641" width="6.42578125" style="1" customWidth="1"/>
    <col min="5642" max="5642" width="7" style="1" customWidth="1"/>
    <col min="5643" max="5643" width="6.5703125" style="1" customWidth="1"/>
    <col min="5644" max="5644" width="7" style="1" customWidth="1"/>
    <col min="5645" max="5645" width="6.42578125" style="1" customWidth="1"/>
    <col min="5646" max="5886" width="11.42578125" style="1"/>
    <col min="5887" max="5887" width="0.140625" style="1" customWidth="1"/>
    <col min="5888" max="5888" width="2.5703125" style="1" customWidth="1"/>
    <col min="5889" max="5889" width="15.42578125" style="1" customWidth="1"/>
    <col min="5890" max="5890" width="1.42578125" style="1" customWidth="1"/>
    <col min="5891" max="5891" width="29.140625" style="1" customWidth="1"/>
    <col min="5892" max="5892" width="7.85546875" style="1" bestFit="1" customWidth="1"/>
    <col min="5893" max="5893" width="7" style="1" customWidth="1"/>
    <col min="5894" max="5894" width="7.85546875" style="1" bestFit="1" customWidth="1"/>
    <col min="5895" max="5895" width="8.42578125" style="1" customWidth="1"/>
    <col min="5896" max="5896" width="7" style="1" customWidth="1"/>
    <col min="5897" max="5897" width="6.42578125" style="1" customWidth="1"/>
    <col min="5898" max="5898" width="7" style="1" customWidth="1"/>
    <col min="5899" max="5899" width="6.5703125" style="1" customWidth="1"/>
    <col min="5900" max="5900" width="7" style="1" customWidth="1"/>
    <col min="5901" max="5901" width="6.42578125" style="1" customWidth="1"/>
    <col min="5902" max="6142" width="11.42578125" style="1"/>
    <col min="6143" max="6143" width="0.140625" style="1" customWidth="1"/>
    <col min="6144" max="6144" width="2.5703125" style="1" customWidth="1"/>
    <col min="6145" max="6145" width="15.42578125" style="1" customWidth="1"/>
    <col min="6146" max="6146" width="1.42578125" style="1" customWidth="1"/>
    <col min="6147" max="6147" width="29.140625" style="1" customWidth="1"/>
    <col min="6148" max="6148" width="7.85546875" style="1" bestFit="1" customWidth="1"/>
    <col min="6149" max="6149" width="7" style="1" customWidth="1"/>
    <col min="6150" max="6150" width="7.85546875" style="1" bestFit="1" customWidth="1"/>
    <col min="6151" max="6151" width="8.42578125" style="1" customWidth="1"/>
    <col min="6152" max="6152" width="7" style="1" customWidth="1"/>
    <col min="6153" max="6153" width="6.42578125" style="1" customWidth="1"/>
    <col min="6154" max="6154" width="7" style="1" customWidth="1"/>
    <col min="6155" max="6155" width="6.5703125" style="1" customWidth="1"/>
    <col min="6156" max="6156" width="7" style="1" customWidth="1"/>
    <col min="6157" max="6157" width="6.42578125" style="1" customWidth="1"/>
    <col min="6158" max="6398" width="11.42578125" style="1"/>
    <col min="6399" max="6399" width="0.140625" style="1" customWidth="1"/>
    <col min="6400" max="6400" width="2.5703125" style="1" customWidth="1"/>
    <col min="6401" max="6401" width="15.42578125" style="1" customWidth="1"/>
    <col min="6402" max="6402" width="1.42578125" style="1" customWidth="1"/>
    <col min="6403" max="6403" width="29.140625" style="1" customWidth="1"/>
    <col min="6404" max="6404" width="7.85546875" style="1" bestFit="1" customWidth="1"/>
    <col min="6405" max="6405" width="7" style="1" customWidth="1"/>
    <col min="6406" max="6406" width="7.85546875" style="1" bestFit="1" customWidth="1"/>
    <col min="6407" max="6407" width="8.42578125" style="1" customWidth="1"/>
    <col min="6408" max="6408" width="7" style="1" customWidth="1"/>
    <col min="6409" max="6409" width="6.42578125" style="1" customWidth="1"/>
    <col min="6410" max="6410" width="7" style="1" customWidth="1"/>
    <col min="6411" max="6411" width="6.5703125" style="1" customWidth="1"/>
    <col min="6412" max="6412" width="7" style="1" customWidth="1"/>
    <col min="6413" max="6413" width="6.42578125" style="1" customWidth="1"/>
    <col min="6414" max="6654" width="11.42578125" style="1"/>
    <col min="6655" max="6655" width="0.140625" style="1" customWidth="1"/>
    <col min="6656" max="6656" width="2.5703125" style="1" customWidth="1"/>
    <col min="6657" max="6657" width="15.42578125" style="1" customWidth="1"/>
    <col min="6658" max="6658" width="1.42578125" style="1" customWidth="1"/>
    <col min="6659" max="6659" width="29.140625" style="1" customWidth="1"/>
    <col min="6660" max="6660" width="7.85546875" style="1" bestFit="1" customWidth="1"/>
    <col min="6661" max="6661" width="7" style="1" customWidth="1"/>
    <col min="6662" max="6662" width="7.85546875" style="1" bestFit="1" customWidth="1"/>
    <col min="6663" max="6663" width="8.42578125" style="1" customWidth="1"/>
    <col min="6664" max="6664" width="7" style="1" customWidth="1"/>
    <col min="6665" max="6665" width="6.42578125" style="1" customWidth="1"/>
    <col min="6666" max="6666" width="7" style="1" customWidth="1"/>
    <col min="6667" max="6667" width="6.5703125" style="1" customWidth="1"/>
    <col min="6668" max="6668" width="7" style="1" customWidth="1"/>
    <col min="6669" max="6669" width="6.42578125" style="1" customWidth="1"/>
    <col min="6670" max="6910" width="11.42578125" style="1"/>
    <col min="6911" max="6911" width="0.140625" style="1" customWidth="1"/>
    <col min="6912" max="6912" width="2.5703125" style="1" customWidth="1"/>
    <col min="6913" max="6913" width="15.42578125" style="1" customWidth="1"/>
    <col min="6914" max="6914" width="1.42578125" style="1" customWidth="1"/>
    <col min="6915" max="6915" width="29.140625" style="1" customWidth="1"/>
    <col min="6916" max="6916" width="7.85546875" style="1" bestFit="1" customWidth="1"/>
    <col min="6917" max="6917" width="7" style="1" customWidth="1"/>
    <col min="6918" max="6918" width="7.85546875" style="1" bestFit="1" customWidth="1"/>
    <col min="6919" max="6919" width="8.42578125" style="1" customWidth="1"/>
    <col min="6920" max="6920" width="7" style="1" customWidth="1"/>
    <col min="6921" max="6921" width="6.42578125" style="1" customWidth="1"/>
    <col min="6922" max="6922" width="7" style="1" customWidth="1"/>
    <col min="6923" max="6923" width="6.5703125" style="1" customWidth="1"/>
    <col min="6924" max="6924" width="7" style="1" customWidth="1"/>
    <col min="6925" max="6925" width="6.42578125" style="1" customWidth="1"/>
    <col min="6926" max="7166" width="11.42578125" style="1"/>
    <col min="7167" max="7167" width="0.140625" style="1" customWidth="1"/>
    <col min="7168" max="7168" width="2.5703125" style="1" customWidth="1"/>
    <col min="7169" max="7169" width="15.42578125" style="1" customWidth="1"/>
    <col min="7170" max="7170" width="1.42578125" style="1" customWidth="1"/>
    <col min="7171" max="7171" width="29.140625" style="1" customWidth="1"/>
    <col min="7172" max="7172" width="7.85546875" style="1" bestFit="1" customWidth="1"/>
    <col min="7173" max="7173" width="7" style="1" customWidth="1"/>
    <col min="7174" max="7174" width="7.85546875" style="1" bestFit="1" customWidth="1"/>
    <col min="7175" max="7175" width="8.42578125" style="1" customWidth="1"/>
    <col min="7176" max="7176" width="7" style="1" customWidth="1"/>
    <col min="7177" max="7177" width="6.42578125" style="1" customWidth="1"/>
    <col min="7178" max="7178" width="7" style="1" customWidth="1"/>
    <col min="7179" max="7179" width="6.5703125" style="1" customWidth="1"/>
    <col min="7180" max="7180" width="7" style="1" customWidth="1"/>
    <col min="7181" max="7181" width="6.42578125" style="1" customWidth="1"/>
    <col min="7182" max="7422" width="11.42578125" style="1"/>
    <col min="7423" max="7423" width="0.140625" style="1" customWidth="1"/>
    <col min="7424" max="7424" width="2.5703125" style="1" customWidth="1"/>
    <col min="7425" max="7425" width="15.42578125" style="1" customWidth="1"/>
    <col min="7426" max="7426" width="1.42578125" style="1" customWidth="1"/>
    <col min="7427" max="7427" width="29.140625" style="1" customWidth="1"/>
    <col min="7428" max="7428" width="7.85546875" style="1" bestFit="1" customWidth="1"/>
    <col min="7429" max="7429" width="7" style="1" customWidth="1"/>
    <col min="7430" max="7430" width="7.85546875" style="1" bestFit="1" customWidth="1"/>
    <col min="7431" max="7431" width="8.42578125" style="1" customWidth="1"/>
    <col min="7432" max="7432" width="7" style="1" customWidth="1"/>
    <col min="7433" max="7433" width="6.42578125" style="1" customWidth="1"/>
    <col min="7434" max="7434" width="7" style="1" customWidth="1"/>
    <col min="7435" max="7435" width="6.5703125" style="1" customWidth="1"/>
    <col min="7436" max="7436" width="7" style="1" customWidth="1"/>
    <col min="7437" max="7437" width="6.42578125" style="1" customWidth="1"/>
    <col min="7438" max="7678" width="11.42578125" style="1"/>
    <col min="7679" max="7679" width="0.140625" style="1" customWidth="1"/>
    <col min="7680" max="7680" width="2.5703125" style="1" customWidth="1"/>
    <col min="7681" max="7681" width="15.42578125" style="1" customWidth="1"/>
    <col min="7682" max="7682" width="1.42578125" style="1" customWidth="1"/>
    <col min="7683" max="7683" width="29.140625" style="1" customWidth="1"/>
    <col min="7684" max="7684" width="7.85546875" style="1" bestFit="1" customWidth="1"/>
    <col min="7685" max="7685" width="7" style="1" customWidth="1"/>
    <col min="7686" max="7686" width="7.85546875" style="1" bestFit="1" customWidth="1"/>
    <col min="7687" max="7687" width="8.42578125" style="1" customWidth="1"/>
    <col min="7688" max="7688" width="7" style="1" customWidth="1"/>
    <col min="7689" max="7689" width="6.42578125" style="1" customWidth="1"/>
    <col min="7690" max="7690" width="7" style="1" customWidth="1"/>
    <col min="7691" max="7691" width="6.5703125" style="1" customWidth="1"/>
    <col min="7692" max="7692" width="7" style="1" customWidth="1"/>
    <col min="7693" max="7693" width="6.42578125" style="1" customWidth="1"/>
    <col min="7694" max="7934" width="11.42578125" style="1"/>
    <col min="7935" max="7935" width="0.140625" style="1" customWidth="1"/>
    <col min="7936" max="7936" width="2.5703125" style="1" customWidth="1"/>
    <col min="7937" max="7937" width="15.42578125" style="1" customWidth="1"/>
    <col min="7938" max="7938" width="1.42578125" style="1" customWidth="1"/>
    <col min="7939" max="7939" width="29.140625" style="1" customWidth="1"/>
    <col min="7940" max="7940" width="7.85546875" style="1" bestFit="1" customWidth="1"/>
    <col min="7941" max="7941" width="7" style="1" customWidth="1"/>
    <col min="7942" max="7942" width="7.85546875" style="1" bestFit="1" customWidth="1"/>
    <col min="7943" max="7943" width="8.42578125" style="1" customWidth="1"/>
    <col min="7944" max="7944" width="7" style="1" customWidth="1"/>
    <col min="7945" max="7945" width="6.42578125" style="1" customWidth="1"/>
    <col min="7946" max="7946" width="7" style="1" customWidth="1"/>
    <col min="7947" max="7947" width="6.5703125" style="1" customWidth="1"/>
    <col min="7948" max="7948" width="7" style="1" customWidth="1"/>
    <col min="7949" max="7949" width="6.42578125" style="1" customWidth="1"/>
    <col min="7950" max="8190" width="11.42578125" style="1"/>
    <col min="8191" max="8191" width="0.140625" style="1" customWidth="1"/>
    <col min="8192" max="8192" width="2.5703125" style="1" customWidth="1"/>
    <col min="8193" max="8193" width="15.42578125" style="1" customWidth="1"/>
    <col min="8194" max="8194" width="1.42578125" style="1" customWidth="1"/>
    <col min="8195" max="8195" width="29.140625" style="1" customWidth="1"/>
    <col min="8196" max="8196" width="7.85546875" style="1" bestFit="1" customWidth="1"/>
    <col min="8197" max="8197" width="7" style="1" customWidth="1"/>
    <col min="8198" max="8198" width="7.85546875" style="1" bestFit="1" customWidth="1"/>
    <col min="8199" max="8199" width="8.42578125" style="1" customWidth="1"/>
    <col min="8200" max="8200" width="7" style="1" customWidth="1"/>
    <col min="8201" max="8201" width="6.42578125" style="1" customWidth="1"/>
    <col min="8202" max="8202" width="7" style="1" customWidth="1"/>
    <col min="8203" max="8203" width="6.5703125" style="1" customWidth="1"/>
    <col min="8204" max="8204" width="7" style="1" customWidth="1"/>
    <col min="8205" max="8205" width="6.42578125" style="1" customWidth="1"/>
    <col min="8206" max="8446" width="11.42578125" style="1"/>
    <col min="8447" max="8447" width="0.140625" style="1" customWidth="1"/>
    <col min="8448" max="8448" width="2.5703125" style="1" customWidth="1"/>
    <col min="8449" max="8449" width="15.42578125" style="1" customWidth="1"/>
    <col min="8450" max="8450" width="1.42578125" style="1" customWidth="1"/>
    <col min="8451" max="8451" width="29.140625" style="1" customWidth="1"/>
    <col min="8452" max="8452" width="7.85546875" style="1" bestFit="1" customWidth="1"/>
    <col min="8453" max="8453" width="7" style="1" customWidth="1"/>
    <col min="8454" max="8454" width="7.85546875" style="1" bestFit="1" customWidth="1"/>
    <col min="8455" max="8455" width="8.42578125" style="1" customWidth="1"/>
    <col min="8456" max="8456" width="7" style="1" customWidth="1"/>
    <col min="8457" max="8457" width="6.42578125" style="1" customWidth="1"/>
    <col min="8458" max="8458" width="7" style="1" customWidth="1"/>
    <col min="8459" max="8459" width="6.5703125" style="1" customWidth="1"/>
    <col min="8460" max="8460" width="7" style="1" customWidth="1"/>
    <col min="8461" max="8461" width="6.42578125" style="1" customWidth="1"/>
    <col min="8462" max="8702" width="11.42578125" style="1"/>
    <col min="8703" max="8703" width="0.140625" style="1" customWidth="1"/>
    <col min="8704" max="8704" width="2.5703125" style="1" customWidth="1"/>
    <col min="8705" max="8705" width="15.42578125" style="1" customWidth="1"/>
    <col min="8706" max="8706" width="1.42578125" style="1" customWidth="1"/>
    <col min="8707" max="8707" width="29.140625" style="1" customWidth="1"/>
    <col min="8708" max="8708" width="7.85546875" style="1" bestFit="1" customWidth="1"/>
    <col min="8709" max="8709" width="7" style="1" customWidth="1"/>
    <col min="8710" max="8710" width="7.85546875" style="1" bestFit="1" customWidth="1"/>
    <col min="8711" max="8711" width="8.42578125" style="1" customWidth="1"/>
    <col min="8712" max="8712" width="7" style="1" customWidth="1"/>
    <col min="8713" max="8713" width="6.42578125" style="1" customWidth="1"/>
    <col min="8714" max="8714" width="7" style="1" customWidth="1"/>
    <col min="8715" max="8715" width="6.5703125" style="1" customWidth="1"/>
    <col min="8716" max="8716" width="7" style="1" customWidth="1"/>
    <col min="8717" max="8717" width="6.42578125" style="1" customWidth="1"/>
    <col min="8718" max="8958" width="11.42578125" style="1"/>
    <col min="8959" max="8959" width="0.140625" style="1" customWidth="1"/>
    <col min="8960" max="8960" width="2.5703125" style="1" customWidth="1"/>
    <col min="8961" max="8961" width="15.42578125" style="1" customWidth="1"/>
    <col min="8962" max="8962" width="1.42578125" style="1" customWidth="1"/>
    <col min="8963" max="8963" width="29.140625" style="1" customWidth="1"/>
    <col min="8964" max="8964" width="7.85546875" style="1" bestFit="1" customWidth="1"/>
    <col min="8965" max="8965" width="7" style="1" customWidth="1"/>
    <col min="8966" max="8966" width="7.85546875" style="1" bestFit="1" customWidth="1"/>
    <col min="8967" max="8967" width="8.42578125" style="1" customWidth="1"/>
    <col min="8968" max="8968" width="7" style="1" customWidth="1"/>
    <col min="8969" max="8969" width="6.42578125" style="1" customWidth="1"/>
    <col min="8970" max="8970" width="7" style="1" customWidth="1"/>
    <col min="8971" max="8971" width="6.5703125" style="1" customWidth="1"/>
    <col min="8972" max="8972" width="7" style="1" customWidth="1"/>
    <col min="8973" max="8973" width="6.42578125" style="1" customWidth="1"/>
    <col min="8974" max="9214" width="11.42578125" style="1"/>
    <col min="9215" max="9215" width="0.140625" style="1" customWidth="1"/>
    <col min="9216" max="9216" width="2.5703125" style="1" customWidth="1"/>
    <col min="9217" max="9217" width="15.42578125" style="1" customWidth="1"/>
    <col min="9218" max="9218" width="1.42578125" style="1" customWidth="1"/>
    <col min="9219" max="9219" width="29.140625" style="1" customWidth="1"/>
    <col min="9220" max="9220" width="7.85546875" style="1" bestFit="1" customWidth="1"/>
    <col min="9221" max="9221" width="7" style="1" customWidth="1"/>
    <col min="9222" max="9222" width="7.85546875" style="1" bestFit="1" customWidth="1"/>
    <col min="9223" max="9223" width="8.42578125" style="1" customWidth="1"/>
    <col min="9224" max="9224" width="7" style="1" customWidth="1"/>
    <col min="9225" max="9225" width="6.42578125" style="1" customWidth="1"/>
    <col min="9226" max="9226" width="7" style="1" customWidth="1"/>
    <col min="9227" max="9227" width="6.5703125" style="1" customWidth="1"/>
    <col min="9228" max="9228" width="7" style="1" customWidth="1"/>
    <col min="9229" max="9229" width="6.42578125" style="1" customWidth="1"/>
    <col min="9230" max="9470" width="11.42578125" style="1"/>
    <col min="9471" max="9471" width="0.140625" style="1" customWidth="1"/>
    <col min="9472" max="9472" width="2.5703125" style="1" customWidth="1"/>
    <col min="9473" max="9473" width="15.42578125" style="1" customWidth="1"/>
    <col min="9474" max="9474" width="1.42578125" style="1" customWidth="1"/>
    <col min="9475" max="9475" width="29.140625" style="1" customWidth="1"/>
    <col min="9476" max="9476" width="7.85546875" style="1" bestFit="1" customWidth="1"/>
    <col min="9477" max="9477" width="7" style="1" customWidth="1"/>
    <col min="9478" max="9478" width="7.85546875" style="1" bestFit="1" customWidth="1"/>
    <col min="9479" max="9479" width="8.42578125" style="1" customWidth="1"/>
    <col min="9480" max="9480" width="7" style="1" customWidth="1"/>
    <col min="9481" max="9481" width="6.42578125" style="1" customWidth="1"/>
    <col min="9482" max="9482" width="7" style="1" customWidth="1"/>
    <col min="9483" max="9483" width="6.5703125" style="1" customWidth="1"/>
    <col min="9484" max="9484" width="7" style="1" customWidth="1"/>
    <col min="9485" max="9485" width="6.42578125" style="1" customWidth="1"/>
    <col min="9486" max="9726" width="11.42578125" style="1"/>
    <col min="9727" max="9727" width="0.140625" style="1" customWidth="1"/>
    <col min="9728" max="9728" width="2.5703125" style="1" customWidth="1"/>
    <col min="9729" max="9729" width="15.42578125" style="1" customWidth="1"/>
    <col min="9730" max="9730" width="1.42578125" style="1" customWidth="1"/>
    <col min="9731" max="9731" width="29.140625" style="1" customWidth="1"/>
    <col min="9732" max="9732" width="7.85546875" style="1" bestFit="1" customWidth="1"/>
    <col min="9733" max="9733" width="7" style="1" customWidth="1"/>
    <col min="9734" max="9734" width="7.85546875" style="1" bestFit="1" customWidth="1"/>
    <col min="9735" max="9735" width="8.42578125" style="1" customWidth="1"/>
    <col min="9736" max="9736" width="7" style="1" customWidth="1"/>
    <col min="9737" max="9737" width="6.42578125" style="1" customWidth="1"/>
    <col min="9738" max="9738" width="7" style="1" customWidth="1"/>
    <col min="9739" max="9739" width="6.5703125" style="1" customWidth="1"/>
    <col min="9740" max="9740" width="7" style="1" customWidth="1"/>
    <col min="9741" max="9741" width="6.42578125" style="1" customWidth="1"/>
    <col min="9742" max="9982" width="11.42578125" style="1"/>
    <col min="9983" max="9983" width="0.140625" style="1" customWidth="1"/>
    <col min="9984" max="9984" width="2.5703125" style="1" customWidth="1"/>
    <col min="9985" max="9985" width="15.42578125" style="1" customWidth="1"/>
    <col min="9986" max="9986" width="1.42578125" style="1" customWidth="1"/>
    <col min="9987" max="9987" width="29.140625" style="1" customWidth="1"/>
    <col min="9988" max="9988" width="7.85546875" style="1" bestFit="1" customWidth="1"/>
    <col min="9989" max="9989" width="7" style="1" customWidth="1"/>
    <col min="9990" max="9990" width="7.85546875" style="1" bestFit="1" customWidth="1"/>
    <col min="9991" max="9991" width="8.42578125" style="1" customWidth="1"/>
    <col min="9992" max="9992" width="7" style="1" customWidth="1"/>
    <col min="9993" max="9993" width="6.42578125" style="1" customWidth="1"/>
    <col min="9994" max="9994" width="7" style="1" customWidth="1"/>
    <col min="9995" max="9995" width="6.5703125" style="1" customWidth="1"/>
    <col min="9996" max="9996" width="7" style="1" customWidth="1"/>
    <col min="9997" max="9997" width="6.42578125" style="1" customWidth="1"/>
    <col min="9998" max="10238" width="11.42578125" style="1"/>
    <col min="10239" max="10239" width="0.140625" style="1" customWidth="1"/>
    <col min="10240" max="10240" width="2.5703125" style="1" customWidth="1"/>
    <col min="10241" max="10241" width="15.42578125" style="1" customWidth="1"/>
    <col min="10242" max="10242" width="1.42578125" style="1" customWidth="1"/>
    <col min="10243" max="10243" width="29.140625" style="1" customWidth="1"/>
    <col min="10244" max="10244" width="7.85546875" style="1" bestFit="1" customWidth="1"/>
    <col min="10245" max="10245" width="7" style="1" customWidth="1"/>
    <col min="10246" max="10246" width="7.85546875" style="1" bestFit="1" customWidth="1"/>
    <col min="10247" max="10247" width="8.42578125" style="1" customWidth="1"/>
    <col min="10248" max="10248" width="7" style="1" customWidth="1"/>
    <col min="10249" max="10249" width="6.42578125" style="1" customWidth="1"/>
    <col min="10250" max="10250" width="7" style="1" customWidth="1"/>
    <col min="10251" max="10251" width="6.5703125" style="1" customWidth="1"/>
    <col min="10252" max="10252" width="7" style="1" customWidth="1"/>
    <col min="10253" max="10253" width="6.42578125" style="1" customWidth="1"/>
    <col min="10254" max="10494" width="11.42578125" style="1"/>
    <col min="10495" max="10495" width="0.140625" style="1" customWidth="1"/>
    <col min="10496" max="10496" width="2.5703125" style="1" customWidth="1"/>
    <col min="10497" max="10497" width="15.42578125" style="1" customWidth="1"/>
    <col min="10498" max="10498" width="1.42578125" style="1" customWidth="1"/>
    <col min="10499" max="10499" width="29.140625" style="1" customWidth="1"/>
    <col min="10500" max="10500" width="7.85546875" style="1" bestFit="1" customWidth="1"/>
    <col min="10501" max="10501" width="7" style="1" customWidth="1"/>
    <col min="10502" max="10502" width="7.85546875" style="1" bestFit="1" customWidth="1"/>
    <col min="10503" max="10503" width="8.42578125" style="1" customWidth="1"/>
    <col min="10504" max="10504" width="7" style="1" customWidth="1"/>
    <col min="10505" max="10505" width="6.42578125" style="1" customWidth="1"/>
    <col min="10506" max="10506" width="7" style="1" customWidth="1"/>
    <col min="10507" max="10507" width="6.5703125" style="1" customWidth="1"/>
    <col min="10508" max="10508" width="7" style="1" customWidth="1"/>
    <col min="10509" max="10509" width="6.42578125" style="1" customWidth="1"/>
    <col min="10510" max="10750" width="11.42578125" style="1"/>
    <col min="10751" max="10751" width="0.140625" style="1" customWidth="1"/>
    <col min="10752" max="10752" width="2.5703125" style="1" customWidth="1"/>
    <col min="10753" max="10753" width="15.42578125" style="1" customWidth="1"/>
    <col min="10754" max="10754" width="1.42578125" style="1" customWidth="1"/>
    <col min="10755" max="10755" width="29.140625" style="1" customWidth="1"/>
    <col min="10756" max="10756" width="7.85546875" style="1" bestFit="1" customWidth="1"/>
    <col min="10757" max="10757" width="7" style="1" customWidth="1"/>
    <col min="10758" max="10758" width="7.85546875" style="1" bestFit="1" customWidth="1"/>
    <col min="10759" max="10759" width="8.42578125" style="1" customWidth="1"/>
    <col min="10760" max="10760" width="7" style="1" customWidth="1"/>
    <col min="10761" max="10761" width="6.42578125" style="1" customWidth="1"/>
    <col min="10762" max="10762" width="7" style="1" customWidth="1"/>
    <col min="10763" max="10763" width="6.5703125" style="1" customWidth="1"/>
    <col min="10764" max="10764" width="7" style="1" customWidth="1"/>
    <col min="10765" max="10765" width="6.42578125" style="1" customWidth="1"/>
    <col min="10766" max="11006" width="11.42578125" style="1"/>
    <col min="11007" max="11007" width="0.140625" style="1" customWidth="1"/>
    <col min="11008" max="11008" width="2.5703125" style="1" customWidth="1"/>
    <col min="11009" max="11009" width="15.42578125" style="1" customWidth="1"/>
    <col min="11010" max="11010" width="1.42578125" style="1" customWidth="1"/>
    <col min="11011" max="11011" width="29.140625" style="1" customWidth="1"/>
    <col min="11012" max="11012" width="7.85546875" style="1" bestFit="1" customWidth="1"/>
    <col min="11013" max="11013" width="7" style="1" customWidth="1"/>
    <col min="11014" max="11014" width="7.85546875" style="1" bestFit="1" customWidth="1"/>
    <col min="11015" max="11015" width="8.42578125" style="1" customWidth="1"/>
    <col min="11016" max="11016" width="7" style="1" customWidth="1"/>
    <col min="11017" max="11017" width="6.42578125" style="1" customWidth="1"/>
    <col min="11018" max="11018" width="7" style="1" customWidth="1"/>
    <col min="11019" max="11019" width="6.5703125" style="1" customWidth="1"/>
    <col min="11020" max="11020" width="7" style="1" customWidth="1"/>
    <col min="11021" max="11021" width="6.42578125" style="1" customWidth="1"/>
    <col min="11022" max="11262" width="11.42578125" style="1"/>
    <col min="11263" max="11263" width="0.140625" style="1" customWidth="1"/>
    <col min="11264" max="11264" width="2.5703125" style="1" customWidth="1"/>
    <col min="11265" max="11265" width="15.42578125" style="1" customWidth="1"/>
    <col min="11266" max="11266" width="1.42578125" style="1" customWidth="1"/>
    <col min="11267" max="11267" width="29.140625" style="1" customWidth="1"/>
    <col min="11268" max="11268" width="7.85546875" style="1" bestFit="1" customWidth="1"/>
    <col min="11269" max="11269" width="7" style="1" customWidth="1"/>
    <col min="11270" max="11270" width="7.85546875" style="1" bestFit="1" customWidth="1"/>
    <col min="11271" max="11271" width="8.42578125" style="1" customWidth="1"/>
    <col min="11272" max="11272" width="7" style="1" customWidth="1"/>
    <col min="11273" max="11273" width="6.42578125" style="1" customWidth="1"/>
    <col min="11274" max="11274" width="7" style="1" customWidth="1"/>
    <col min="11275" max="11275" width="6.5703125" style="1" customWidth="1"/>
    <col min="11276" max="11276" width="7" style="1" customWidth="1"/>
    <col min="11277" max="11277" width="6.42578125" style="1" customWidth="1"/>
    <col min="11278" max="11518" width="11.42578125" style="1"/>
    <col min="11519" max="11519" width="0.140625" style="1" customWidth="1"/>
    <col min="11520" max="11520" width="2.5703125" style="1" customWidth="1"/>
    <col min="11521" max="11521" width="15.42578125" style="1" customWidth="1"/>
    <col min="11522" max="11522" width="1.42578125" style="1" customWidth="1"/>
    <col min="11523" max="11523" width="29.140625" style="1" customWidth="1"/>
    <col min="11524" max="11524" width="7.85546875" style="1" bestFit="1" customWidth="1"/>
    <col min="11525" max="11525" width="7" style="1" customWidth="1"/>
    <col min="11526" max="11526" width="7.85546875" style="1" bestFit="1" customWidth="1"/>
    <col min="11527" max="11527" width="8.42578125" style="1" customWidth="1"/>
    <col min="11528" max="11528" width="7" style="1" customWidth="1"/>
    <col min="11529" max="11529" width="6.42578125" style="1" customWidth="1"/>
    <col min="11530" max="11530" width="7" style="1" customWidth="1"/>
    <col min="11531" max="11531" width="6.5703125" style="1" customWidth="1"/>
    <col min="11532" max="11532" width="7" style="1" customWidth="1"/>
    <col min="11533" max="11533" width="6.42578125" style="1" customWidth="1"/>
    <col min="11534" max="11774" width="11.42578125" style="1"/>
    <col min="11775" max="11775" width="0.140625" style="1" customWidth="1"/>
    <col min="11776" max="11776" width="2.5703125" style="1" customWidth="1"/>
    <col min="11777" max="11777" width="15.42578125" style="1" customWidth="1"/>
    <col min="11778" max="11778" width="1.42578125" style="1" customWidth="1"/>
    <col min="11779" max="11779" width="29.140625" style="1" customWidth="1"/>
    <col min="11780" max="11780" width="7.85546875" style="1" bestFit="1" customWidth="1"/>
    <col min="11781" max="11781" width="7" style="1" customWidth="1"/>
    <col min="11782" max="11782" width="7.85546875" style="1" bestFit="1" customWidth="1"/>
    <col min="11783" max="11783" width="8.42578125" style="1" customWidth="1"/>
    <col min="11784" max="11784" width="7" style="1" customWidth="1"/>
    <col min="11785" max="11785" width="6.42578125" style="1" customWidth="1"/>
    <col min="11786" max="11786" width="7" style="1" customWidth="1"/>
    <col min="11787" max="11787" width="6.5703125" style="1" customWidth="1"/>
    <col min="11788" max="11788" width="7" style="1" customWidth="1"/>
    <col min="11789" max="11789" width="6.42578125" style="1" customWidth="1"/>
    <col min="11790" max="12030" width="11.42578125" style="1"/>
    <col min="12031" max="12031" width="0.140625" style="1" customWidth="1"/>
    <col min="12032" max="12032" width="2.5703125" style="1" customWidth="1"/>
    <col min="12033" max="12033" width="15.42578125" style="1" customWidth="1"/>
    <col min="12034" max="12034" width="1.42578125" style="1" customWidth="1"/>
    <col min="12035" max="12035" width="29.140625" style="1" customWidth="1"/>
    <col min="12036" max="12036" width="7.85546875" style="1" bestFit="1" customWidth="1"/>
    <col min="12037" max="12037" width="7" style="1" customWidth="1"/>
    <col min="12038" max="12038" width="7.85546875" style="1" bestFit="1" customWidth="1"/>
    <col min="12039" max="12039" width="8.42578125" style="1" customWidth="1"/>
    <col min="12040" max="12040" width="7" style="1" customWidth="1"/>
    <col min="12041" max="12041" width="6.42578125" style="1" customWidth="1"/>
    <col min="12042" max="12042" width="7" style="1" customWidth="1"/>
    <col min="12043" max="12043" width="6.5703125" style="1" customWidth="1"/>
    <col min="12044" max="12044" width="7" style="1" customWidth="1"/>
    <col min="12045" max="12045" width="6.42578125" style="1" customWidth="1"/>
    <col min="12046" max="12286" width="11.42578125" style="1"/>
    <col min="12287" max="12287" width="0.140625" style="1" customWidth="1"/>
    <col min="12288" max="12288" width="2.5703125" style="1" customWidth="1"/>
    <col min="12289" max="12289" width="15.42578125" style="1" customWidth="1"/>
    <col min="12290" max="12290" width="1.42578125" style="1" customWidth="1"/>
    <col min="12291" max="12291" width="29.140625" style="1" customWidth="1"/>
    <col min="12292" max="12292" width="7.85546875" style="1" bestFit="1" customWidth="1"/>
    <col min="12293" max="12293" width="7" style="1" customWidth="1"/>
    <col min="12294" max="12294" width="7.85546875" style="1" bestFit="1" customWidth="1"/>
    <col min="12295" max="12295" width="8.42578125" style="1" customWidth="1"/>
    <col min="12296" max="12296" width="7" style="1" customWidth="1"/>
    <col min="12297" max="12297" width="6.42578125" style="1" customWidth="1"/>
    <col min="12298" max="12298" width="7" style="1" customWidth="1"/>
    <col min="12299" max="12299" width="6.5703125" style="1" customWidth="1"/>
    <col min="12300" max="12300" width="7" style="1" customWidth="1"/>
    <col min="12301" max="12301" width="6.42578125" style="1" customWidth="1"/>
    <col min="12302" max="12542" width="11.42578125" style="1"/>
    <col min="12543" max="12543" width="0.140625" style="1" customWidth="1"/>
    <col min="12544" max="12544" width="2.5703125" style="1" customWidth="1"/>
    <col min="12545" max="12545" width="15.42578125" style="1" customWidth="1"/>
    <col min="12546" max="12546" width="1.42578125" style="1" customWidth="1"/>
    <col min="12547" max="12547" width="29.140625" style="1" customWidth="1"/>
    <col min="12548" max="12548" width="7.85546875" style="1" bestFit="1" customWidth="1"/>
    <col min="12549" max="12549" width="7" style="1" customWidth="1"/>
    <col min="12550" max="12550" width="7.85546875" style="1" bestFit="1" customWidth="1"/>
    <col min="12551" max="12551" width="8.42578125" style="1" customWidth="1"/>
    <col min="12552" max="12552" width="7" style="1" customWidth="1"/>
    <col min="12553" max="12553" width="6.42578125" style="1" customWidth="1"/>
    <col min="12554" max="12554" width="7" style="1" customWidth="1"/>
    <col min="12555" max="12555" width="6.5703125" style="1" customWidth="1"/>
    <col min="12556" max="12556" width="7" style="1" customWidth="1"/>
    <col min="12557" max="12557" width="6.42578125" style="1" customWidth="1"/>
    <col min="12558" max="12798" width="11.42578125" style="1"/>
    <col min="12799" max="12799" width="0.140625" style="1" customWidth="1"/>
    <col min="12800" max="12800" width="2.5703125" style="1" customWidth="1"/>
    <col min="12801" max="12801" width="15.42578125" style="1" customWidth="1"/>
    <col min="12802" max="12802" width="1.42578125" style="1" customWidth="1"/>
    <col min="12803" max="12803" width="29.140625" style="1" customWidth="1"/>
    <col min="12804" max="12804" width="7.85546875" style="1" bestFit="1" customWidth="1"/>
    <col min="12805" max="12805" width="7" style="1" customWidth="1"/>
    <col min="12806" max="12806" width="7.85546875" style="1" bestFit="1" customWidth="1"/>
    <col min="12807" max="12807" width="8.42578125" style="1" customWidth="1"/>
    <col min="12808" max="12808" width="7" style="1" customWidth="1"/>
    <col min="12809" max="12809" width="6.42578125" style="1" customWidth="1"/>
    <col min="12810" max="12810" width="7" style="1" customWidth="1"/>
    <col min="12811" max="12811" width="6.5703125" style="1" customWidth="1"/>
    <col min="12812" max="12812" width="7" style="1" customWidth="1"/>
    <col min="12813" max="12813" width="6.42578125" style="1" customWidth="1"/>
    <col min="12814" max="13054" width="11.42578125" style="1"/>
    <col min="13055" max="13055" width="0.140625" style="1" customWidth="1"/>
    <col min="13056" max="13056" width="2.5703125" style="1" customWidth="1"/>
    <col min="13057" max="13057" width="15.42578125" style="1" customWidth="1"/>
    <col min="13058" max="13058" width="1.42578125" style="1" customWidth="1"/>
    <col min="13059" max="13059" width="29.140625" style="1" customWidth="1"/>
    <col min="13060" max="13060" width="7.85546875" style="1" bestFit="1" customWidth="1"/>
    <col min="13061" max="13061" width="7" style="1" customWidth="1"/>
    <col min="13062" max="13062" width="7.85546875" style="1" bestFit="1" customWidth="1"/>
    <col min="13063" max="13063" width="8.42578125" style="1" customWidth="1"/>
    <col min="13064" max="13064" width="7" style="1" customWidth="1"/>
    <col min="13065" max="13065" width="6.42578125" style="1" customWidth="1"/>
    <col min="13066" max="13066" width="7" style="1" customWidth="1"/>
    <col min="13067" max="13067" width="6.5703125" style="1" customWidth="1"/>
    <col min="13068" max="13068" width="7" style="1" customWidth="1"/>
    <col min="13069" max="13069" width="6.42578125" style="1" customWidth="1"/>
    <col min="13070" max="13310" width="11.42578125" style="1"/>
    <col min="13311" max="13311" width="0.140625" style="1" customWidth="1"/>
    <col min="13312" max="13312" width="2.5703125" style="1" customWidth="1"/>
    <col min="13313" max="13313" width="15.42578125" style="1" customWidth="1"/>
    <col min="13314" max="13314" width="1.42578125" style="1" customWidth="1"/>
    <col min="13315" max="13315" width="29.140625" style="1" customWidth="1"/>
    <col min="13316" max="13316" width="7.85546875" style="1" bestFit="1" customWidth="1"/>
    <col min="13317" max="13317" width="7" style="1" customWidth="1"/>
    <col min="13318" max="13318" width="7.85546875" style="1" bestFit="1" customWidth="1"/>
    <col min="13319" max="13319" width="8.42578125" style="1" customWidth="1"/>
    <col min="13320" max="13320" width="7" style="1" customWidth="1"/>
    <col min="13321" max="13321" width="6.42578125" style="1" customWidth="1"/>
    <col min="13322" max="13322" width="7" style="1" customWidth="1"/>
    <col min="13323" max="13323" width="6.5703125" style="1" customWidth="1"/>
    <col min="13324" max="13324" width="7" style="1" customWidth="1"/>
    <col min="13325" max="13325" width="6.42578125" style="1" customWidth="1"/>
    <col min="13326" max="13566" width="11.42578125" style="1"/>
    <col min="13567" max="13567" width="0.140625" style="1" customWidth="1"/>
    <col min="13568" max="13568" width="2.5703125" style="1" customWidth="1"/>
    <col min="13569" max="13569" width="15.42578125" style="1" customWidth="1"/>
    <col min="13570" max="13570" width="1.42578125" style="1" customWidth="1"/>
    <col min="13571" max="13571" width="29.140625" style="1" customWidth="1"/>
    <col min="13572" max="13572" width="7.85546875" style="1" bestFit="1" customWidth="1"/>
    <col min="13573" max="13573" width="7" style="1" customWidth="1"/>
    <col min="13574" max="13574" width="7.85546875" style="1" bestFit="1" customWidth="1"/>
    <col min="13575" max="13575" width="8.42578125" style="1" customWidth="1"/>
    <col min="13576" max="13576" width="7" style="1" customWidth="1"/>
    <col min="13577" max="13577" width="6.42578125" style="1" customWidth="1"/>
    <col min="13578" max="13578" width="7" style="1" customWidth="1"/>
    <col min="13579" max="13579" width="6.5703125" style="1" customWidth="1"/>
    <col min="13580" max="13580" width="7" style="1" customWidth="1"/>
    <col min="13581" max="13581" width="6.42578125" style="1" customWidth="1"/>
    <col min="13582" max="13822" width="11.42578125" style="1"/>
    <col min="13823" max="13823" width="0.140625" style="1" customWidth="1"/>
    <col min="13824" max="13824" width="2.5703125" style="1" customWidth="1"/>
    <col min="13825" max="13825" width="15.42578125" style="1" customWidth="1"/>
    <col min="13826" max="13826" width="1.42578125" style="1" customWidth="1"/>
    <col min="13827" max="13827" width="29.140625" style="1" customWidth="1"/>
    <col min="13828" max="13828" width="7.85546875" style="1" bestFit="1" customWidth="1"/>
    <col min="13829" max="13829" width="7" style="1" customWidth="1"/>
    <col min="13830" max="13830" width="7.85546875" style="1" bestFit="1" customWidth="1"/>
    <col min="13831" max="13831" width="8.42578125" style="1" customWidth="1"/>
    <col min="13832" max="13832" width="7" style="1" customWidth="1"/>
    <col min="13833" max="13833" width="6.42578125" style="1" customWidth="1"/>
    <col min="13834" max="13834" width="7" style="1" customWidth="1"/>
    <col min="13835" max="13835" width="6.5703125" style="1" customWidth="1"/>
    <col min="13836" max="13836" width="7" style="1" customWidth="1"/>
    <col min="13837" max="13837" width="6.42578125" style="1" customWidth="1"/>
    <col min="13838" max="14078" width="11.42578125" style="1"/>
    <col min="14079" max="14079" width="0.140625" style="1" customWidth="1"/>
    <col min="14080" max="14080" width="2.5703125" style="1" customWidth="1"/>
    <col min="14081" max="14081" width="15.42578125" style="1" customWidth="1"/>
    <col min="14082" max="14082" width="1.42578125" style="1" customWidth="1"/>
    <col min="14083" max="14083" width="29.140625" style="1" customWidth="1"/>
    <col min="14084" max="14084" width="7.85546875" style="1" bestFit="1" customWidth="1"/>
    <col min="14085" max="14085" width="7" style="1" customWidth="1"/>
    <col min="14086" max="14086" width="7.85546875" style="1" bestFit="1" customWidth="1"/>
    <col min="14087" max="14087" width="8.42578125" style="1" customWidth="1"/>
    <col min="14088" max="14088" width="7" style="1" customWidth="1"/>
    <col min="14089" max="14089" width="6.42578125" style="1" customWidth="1"/>
    <col min="14090" max="14090" width="7" style="1" customWidth="1"/>
    <col min="14091" max="14091" width="6.5703125" style="1" customWidth="1"/>
    <col min="14092" max="14092" width="7" style="1" customWidth="1"/>
    <col min="14093" max="14093" width="6.42578125" style="1" customWidth="1"/>
    <col min="14094" max="14334" width="11.42578125" style="1"/>
    <col min="14335" max="14335" width="0.140625" style="1" customWidth="1"/>
    <col min="14336" max="14336" width="2.5703125" style="1" customWidth="1"/>
    <col min="14337" max="14337" width="15.42578125" style="1" customWidth="1"/>
    <col min="14338" max="14338" width="1.42578125" style="1" customWidth="1"/>
    <col min="14339" max="14339" width="29.140625" style="1" customWidth="1"/>
    <col min="14340" max="14340" width="7.85546875" style="1" bestFit="1" customWidth="1"/>
    <col min="14341" max="14341" width="7" style="1" customWidth="1"/>
    <col min="14342" max="14342" width="7.85546875" style="1" bestFit="1" customWidth="1"/>
    <col min="14343" max="14343" width="8.42578125" style="1" customWidth="1"/>
    <col min="14344" max="14344" width="7" style="1" customWidth="1"/>
    <col min="14345" max="14345" width="6.42578125" style="1" customWidth="1"/>
    <col min="14346" max="14346" width="7" style="1" customWidth="1"/>
    <col min="14347" max="14347" width="6.5703125" style="1" customWidth="1"/>
    <col min="14348" max="14348" width="7" style="1" customWidth="1"/>
    <col min="14349" max="14349" width="6.42578125" style="1" customWidth="1"/>
    <col min="14350" max="14590" width="11.42578125" style="1"/>
    <col min="14591" max="14591" width="0.140625" style="1" customWidth="1"/>
    <col min="14592" max="14592" width="2.5703125" style="1" customWidth="1"/>
    <col min="14593" max="14593" width="15.42578125" style="1" customWidth="1"/>
    <col min="14594" max="14594" width="1.42578125" style="1" customWidth="1"/>
    <col min="14595" max="14595" width="29.140625" style="1" customWidth="1"/>
    <col min="14596" max="14596" width="7.85546875" style="1" bestFit="1" customWidth="1"/>
    <col min="14597" max="14597" width="7" style="1" customWidth="1"/>
    <col min="14598" max="14598" width="7.85546875" style="1" bestFit="1" customWidth="1"/>
    <col min="14599" max="14599" width="8.42578125" style="1" customWidth="1"/>
    <col min="14600" max="14600" width="7" style="1" customWidth="1"/>
    <col min="14601" max="14601" width="6.42578125" style="1" customWidth="1"/>
    <col min="14602" max="14602" width="7" style="1" customWidth="1"/>
    <col min="14603" max="14603" width="6.5703125" style="1" customWidth="1"/>
    <col min="14604" max="14604" width="7" style="1" customWidth="1"/>
    <col min="14605" max="14605" width="6.42578125" style="1" customWidth="1"/>
    <col min="14606" max="14846" width="11.42578125" style="1"/>
    <col min="14847" max="14847" width="0.140625" style="1" customWidth="1"/>
    <col min="14848" max="14848" width="2.5703125" style="1" customWidth="1"/>
    <col min="14849" max="14849" width="15.42578125" style="1" customWidth="1"/>
    <col min="14850" max="14850" width="1.42578125" style="1" customWidth="1"/>
    <col min="14851" max="14851" width="29.140625" style="1" customWidth="1"/>
    <col min="14852" max="14852" width="7.85546875" style="1" bestFit="1" customWidth="1"/>
    <col min="14853" max="14853" width="7" style="1" customWidth="1"/>
    <col min="14854" max="14854" width="7.85546875" style="1" bestFit="1" customWidth="1"/>
    <col min="14855" max="14855" width="8.42578125" style="1" customWidth="1"/>
    <col min="14856" max="14856" width="7" style="1" customWidth="1"/>
    <col min="14857" max="14857" width="6.42578125" style="1" customWidth="1"/>
    <col min="14858" max="14858" width="7" style="1" customWidth="1"/>
    <col min="14859" max="14859" width="6.5703125" style="1" customWidth="1"/>
    <col min="14860" max="14860" width="7" style="1" customWidth="1"/>
    <col min="14861" max="14861" width="6.42578125" style="1" customWidth="1"/>
    <col min="14862" max="15102" width="11.42578125" style="1"/>
    <col min="15103" max="15103" width="0.140625" style="1" customWidth="1"/>
    <col min="15104" max="15104" width="2.5703125" style="1" customWidth="1"/>
    <col min="15105" max="15105" width="15.42578125" style="1" customWidth="1"/>
    <col min="15106" max="15106" width="1.42578125" style="1" customWidth="1"/>
    <col min="15107" max="15107" width="29.140625" style="1" customWidth="1"/>
    <col min="15108" max="15108" width="7.85546875" style="1" bestFit="1" customWidth="1"/>
    <col min="15109" max="15109" width="7" style="1" customWidth="1"/>
    <col min="15110" max="15110" width="7.85546875" style="1" bestFit="1" customWidth="1"/>
    <col min="15111" max="15111" width="8.42578125" style="1" customWidth="1"/>
    <col min="15112" max="15112" width="7" style="1" customWidth="1"/>
    <col min="15113" max="15113" width="6.42578125" style="1" customWidth="1"/>
    <col min="15114" max="15114" width="7" style="1" customWidth="1"/>
    <col min="15115" max="15115" width="6.5703125" style="1" customWidth="1"/>
    <col min="15116" max="15116" width="7" style="1" customWidth="1"/>
    <col min="15117" max="15117" width="6.42578125" style="1" customWidth="1"/>
    <col min="15118" max="15358" width="11.42578125" style="1"/>
    <col min="15359" max="15359" width="0.140625" style="1" customWidth="1"/>
    <col min="15360" max="15360" width="2.5703125" style="1" customWidth="1"/>
    <col min="15361" max="15361" width="15.42578125" style="1" customWidth="1"/>
    <col min="15362" max="15362" width="1.42578125" style="1" customWidth="1"/>
    <col min="15363" max="15363" width="29.140625" style="1" customWidth="1"/>
    <col min="15364" max="15364" width="7.85546875" style="1" bestFit="1" customWidth="1"/>
    <col min="15365" max="15365" width="7" style="1" customWidth="1"/>
    <col min="15366" max="15366" width="7.85546875" style="1" bestFit="1" customWidth="1"/>
    <col min="15367" max="15367" width="8.42578125" style="1" customWidth="1"/>
    <col min="15368" max="15368" width="7" style="1" customWidth="1"/>
    <col min="15369" max="15369" width="6.42578125" style="1" customWidth="1"/>
    <col min="15370" max="15370" width="7" style="1" customWidth="1"/>
    <col min="15371" max="15371" width="6.5703125" style="1" customWidth="1"/>
    <col min="15372" max="15372" width="7" style="1" customWidth="1"/>
    <col min="15373" max="15373" width="6.42578125" style="1" customWidth="1"/>
    <col min="15374" max="15614" width="11.42578125" style="1"/>
    <col min="15615" max="15615" width="0.140625" style="1" customWidth="1"/>
    <col min="15616" max="15616" width="2.5703125" style="1" customWidth="1"/>
    <col min="15617" max="15617" width="15.42578125" style="1" customWidth="1"/>
    <col min="15618" max="15618" width="1.42578125" style="1" customWidth="1"/>
    <col min="15619" max="15619" width="29.140625" style="1" customWidth="1"/>
    <col min="15620" max="15620" width="7.85546875" style="1" bestFit="1" customWidth="1"/>
    <col min="15621" max="15621" width="7" style="1" customWidth="1"/>
    <col min="15622" max="15622" width="7.85546875" style="1" bestFit="1" customWidth="1"/>
    <col min="15623" max="15623" width="8.42578125" style="1" customWidth="1"/>
    <col min="15624" max="15624" width="7" style="1" customWidth="1"/>
    <col min="15625" max="15625" width="6.42578125" style="1" customWidth="1"/>
    <col min="15626" max="15626" width="7" style="1" customWidth="1"/>
    <col min="15627" max="15627" width="6.5703125" style="1" customWidth="1"/>
    <col min="15628" max="15628" width="7" style="1" customWidth="1"/>
    <col min="15629" max="15629" width="6.42578125" style="1" customWidth="1"/>
    <col min="15630" max="15870" width="11.42578125" style="1"/>
    <col min="15871" max="15871" width="0.140625" style="1" customWidth="1"/>
    <col min="15872" max="15872" width="2.5703125" style="1" customWidth="1"/>
    <col min="15873" max="15873" width="15.42578125" style="1" customWidth="1"/>
    <col min="15874" max="15874" width="1.42578125" style="1" customWidth="1"/>
    <col min="15875" max="15875" width="29.140625" style="1" customWidth="1"/>
    <col min="15876" max="15876" width="7.85546875" style="1" bestFit="1" customWidth="1"/>
    <col min="15877" max="15877" width="7" style="1" customWidth="1"/>
    <col min="15878" max="15878" width="7.85546875" style="1" bestFit="1" customWidth="1"/>
    <col min="15879" max="15879" width="8.42578125" style="1" customWidth="1"/>
    <col min="15880" max="15880" width="7" style="1" customWidth="1"/>
    <col min="15881" max="15881" width="6.42578125" style="1" customWidth="1"/>
    <col min="15882" max="15882" width="7" style="1" customWidth="1"/>
    <col min="15883" max="15883" width="6.5703125" style="1" customWidth="1"/>
    <col min="15884" max="15884" width="7" style="1" customWidth="1"/>
    <col min="15885" max="15885" width="6.42578125" style="1" customWidth="1"/>
    <col min="15886" max="16126" width="11.42578125" style="1"/>
    <col min="16127" max="16127" width="0.140625" style="1" customWidth="1"/>
    <col min="16128" max="16128" width="2.5703125" style="1" customWidth="1"/>
    <col min="16129" max="16129" width="15.42578125" style="1" customWidth="1"/>
    <col min="16130" max="16130" width="1.42578125" style="1" customWidth="1"/>
    <col min="16131" max="16131" width="29.140625" style="1" customWidth="1"/>
    <col min="16132" max="16132" width="7.85546875" style="1" bestFit="1" customWidth="1"/>
    <col min="16133" max="16133" width="7" style="1" customWidth="1"/>
    <col min="16134" max="16134" width="7.85546875" style="1" bestFit="1" customWidth="1"/>
    <col min="16135" max="16135" width="8.42578125" style="1" customWidth="1"/>
    <col min="16136" max="16136" width="7" style="1" customWidth="1"/>
    <col min="16137" max="16137" width="6.42578125" style="1" customWidth="1"/>
    <col min="16138" max="16138" width="7" style="1" customWidth="1"/>
    <col min="16139" max="16139" width="6.5703125" style="1" customWidth="1"/>
    <col min="16140" max="16140" width="7" style="1" customWidth="1"/>
    <col min="16141" max="16141" width="6.42578125" style="1" customWidth="1"/>
    <col min="16142" max="16384" width="11.42578125" style="1"/>
  </cols>
  <sheetData>
    <row r="1" spans="3:23" ht="0.75" customHeight="1"/>
    <row r="2" spans="3:23" ht="21" customHeight="1">
      <c r="M2" s="27" t="s">
        <v>19</v>
      </c>
    </row>
    <row r="3" spans="3:23" ht="15" customHeight="1">
      <c r="M3" s="26" t="str">
        <f>Indice!E3</f>
        <v>Abril 2026</v>
      </c>
    </row>
    <row r="4" spans="3:23" ht="20.25" customHeight="1">
      <c r="C4" s="25" t="s">
        <v>39</v>
      </c>
    </row>
    <row r="5" spans="3:23" ht="12.75" customHeight="1"/>
    <row r="6" spans="3:23" ht="13.5" customHeight="1"/>
    <row r="7" spans="3:23" s="21" customFormat="1" ht="12.75" customHeight="1">
      <c r="C7" s="251" t="s">
        <v>18</v>
      </c>
      <c r="E7" s="24"/>
      <c r="F7" s="252" t="s">
        <v>17</v>
      </c>
      <c r="G7" s="253"/>
      <c r="H7" s="252" t="s">
        <v>16</v>
      </c>
      <c r="I7" s="253"/>
      <c r="J7" s="252" t="s">
        <v>15</v>
      </c>
      <c r="K7" s="253"/>
      <c r="L7" s="252" t="s">
        <v>14</v>
      </c>
      <c r="M7" s="253"/>
    </row>
    <row r="8" spans="3:23" s="21" customFormat="1" ht="12.75" customHeight="1">
      <c r="C8" s="251"/>
      <c r="E8" s="23"/>
      <c r="F8" s="22" t="s">
        <v>13</v>
      </c>
      <c r="G8" s="93" t="str">
        <f>CONCATENATE("% ",RIGHT(M3,2),"/",RIGHT(M3,2)-1)</f>
        <v>% 26/25</v>
      </c>
      <c r="H8" s="22" t="s">
        <v>13</v>
      </c>
      <c r="I8" s="93" t="str">
        <f>G8</f>
        <v>% 26/25</v>
      </c>
      <c r="J8" s="22" t="s">
        <v>13</v>
      </c>
      <c r="K8" s="93" t="str">
        <f>I8</f>
        <v>% 26/25</v>
      </c>
      <c r="L8" s="22" t="s">
        <v>13</v>
      </c>
      <c r="M8" s="93" t="str">
        <f>K8</f>
        <v>% 26/25</v>
      </c>
    </row>
    <row r="9" spans="3:23" s="20" customFormat="1" ht="12.75" customHeight="1">
      <c r="C9" s="17"/>
      <c r="E9" s="15" t="s">
        <v>12</v>
      </c>
      <c r="F9" s="132" t="s">
        <v>3</v>
      </c>
      <c r="G9" s="12" t="s">
        <v>3</v>
      </c>
      <c r="H9" s="132">
        <f>Dat_01!Z8/1000</f>
        <v>0</v>
      </c>
      <c r="I9" s="12">
        <f>IF(Dat_01!AB8*100=-100,"-",Dat_01!AB8*100)</f>
        <v>0</v>
      </c>
      <c r="J9" s="132" t="s">
        <v>3</v>
      </c>
      <c r="K9" s="12" t="s">
        <v>3</v>
      </c>
      <c r="L9" s="132" t="s">
        <v>3</v>
      </c>
      <c r="M9" s="12" t="s">
        <v>3</v>
      </c>
      <c r="N9" s="7"/>
      <c r="O9" s="7"/>
    </row>
    <row r="10" spans="3:23" ht="12.75" customHeight="1">
      <c r="E10" s="15" t="s">
        <v>6</v>
      </c>
      <c r="F10" s="132" t="s">
        <v>3</v>
      </c>
      <c r="G10" s="12" t="s">
        <v>3</v>
      </c>
      <c r="H10" s="132">
        <f>Dat_01!Z15/1000</f>
        <v>1.462315</v>
      </c>
      <c r="I10" s="12">
        <f>Dat_01!AB15*100</f>
        <v>-17.06649925</v>
      </c>
      <c r="J10" s="132" t="s">
        <v>3</v>
      </c>
      <c r="K10" s="12" t="s">
        <v>3</v>
      </c>
      <c r="L10" s="132" t="s">
        <v>3</v>
      </c>
      <c r="M10" s="12" t="s">
        <v>3</v>
      </c>
      <c r="N10" s="7"/>
      <c r="O10" s="7"/>
    </row>
    <row r="11" spans="3:23" ht="12.75" customHeight="1">
      <c r="E11" s="15" t="s">
        <v>5</v>
      </c>
      <c r="F11" s="132">
        <f>Dat_01!R16/1000</f>
        <v>0</v>
      </c>
      <c r="G11" s="12" t="str">
        <f>IF(Dat_01!R16=0,"-",Dat_01!T16*100)</f>
        <v>-</v>
      </c>
      <c r="H11" s="132">
        <f>Dat_01!Z16/1000</f>
        <v>81.917770999999988</v>
      </c>
      <c r="I11" s="12">
        <f>Dat_01!AB16*100</f>
        <v>-22.173683010000001</v>
      </c>
      <c r="J11" s="132" t="s">
        <v>3</v>
      </c>
      <c r="K11" s="12" t="s">
        <v>3</v>
      </c>
      <c r="L11" s="132" t="s">
        <v>3</v>
      </c>
      <c r="M11" s="12" t="s">
        <v>3</v>
      </c>
      <c r="N11" s="7"/>
      <c r="O11" s="7"/>
    </row>
    <row r="12" spans="3:23" ht="12.75" customHeight="1">
      <c r="C12" s="10"/>
      <c r="E12" s="15" t="s">
        <v>4</v>
      </c>
      <c r="F12" s="132">
        <f>Dat_01!R17/1000</f>
        <v>58.732978000000003</v>
      </c>
      <c r="G12" s="12">
        <f>Dat_01!T17*100</f>
        <v>19.743572140000001</v>
      </c>
      <c r="H12" s="132">
        <f>Dat_01!Z17/1000</f>
        <v>40.686394999999997</v>
      </c>
      <c r="I12" s="12">
        <f>Dat_01!AB17*100</f>
        <v>6.1435784700000005</v>
      </c>
      <c r="J12" s="132">
        <f>Dat_01!B17</f>
        <v>1.2999999999999999E-2</v>
      </c>
      <c r="K12" s="12">
        <f>IF(Dat_01!D17=-100%,"-",Dat_01!D17*100)</f>
        <v>44.444444440000005</v>
      </c>
      <c r="L12" s="132">
        <f>Dat_01!J17/1000</f>
        <v>4.6699999999999997E-3</v>
      </c>
      <c r="M12" s="12">
        <f>IF(Dat_01!L17*100=-100,"-",Dat_01!L17*100)</f>
        <v>-28.505817509999996</v>
      </c>
      <c r="N12" s="7"/>
      <c r="O12" s="7"/>
      <c r="P12" s="14"/>
    </row>
    <row r="13" spans="3:23" ht="12.75" customHeight="1">
      <c r="C13" s="10"/>
      <c r="E13" s="13" t="s">
        <v>73</v>
      </c>
      <c r="F13" s="12">
        <f>Dat_01!R18/1000</f>
        <v>1.5815540000000001</v>
      </c>
      <c r="G13" s="12">
        <f>IF(Dat_01!T18=-100%,"-",Dat_01!T18*100)</f>
        <v>631.61495653999998</v>
      </c>
      <c r="H13" s="132">
        <f>Dat_01!Z18/1000</f>
        <v>0.83965599999999996</v>
      </c>
      <c r="I13" s="12">
        <f>IF(Dat_01!AB18*100=-100,"-",Dat_01!AB18*100)</f>
        <v>-42.753511529999997</v>
      </c>
      <c r="J13" s="132" t="s">
        <v>3</v>
      </c>
      <c r="K13" s="12" t="s">
        <v>3</v>
      </c>
      <c r="L13" s="132" t="s">
        <v>3</v>
      </c>
      <c r="M13" s="12" t="s">
        <v>3</v>
      </c>
      <c r="N13" s="7"/>
      <c r="O13" s="7"/>
    </row>
    <row r="14" spans="3:23" ht="12.75" customHeight="1">
      <c r="C14" s="10"/>
      <c r="E14" s="13" t="s">
        <v>46</v>
      </c>
      <c r="F14" s="132">
        <f>Dat_01!R21/1000</f>
        <v>15.144128</v>
      </c>
      <c r="G14" s="12">
        <f>Dat_01!T21*100</f>
        <v>16.627979679999999</v>
      </c>
      <c r="H14" s="132" t="s">
        <v>3</v>
      </c>
      <c r="I14" s="12" t="s">
        <v>3</v>
      </c>
      <c r="J14" s="132" t="s">
        <v>3</v>
      </c>
      <c r="K14" s="12" t="s">
        <v>3</v>
      </c>
      <c r="L14" s="132">
        <f>Dat_01!J21/1000</f>
        <v>0.4261955</v>
      </c>
      <c r="M14" s="12">
        <f>Dat_01!L21*100</f>
        <v>-26.224377539999999</v>
      </c>
      <c r="N14" s="7"/>
      <c r="O14" s="7"/>
    </row>
    <row r="15" spans="3:23" ht="12.75" customHeight="1">
      <c r="C15" s="10"/>
      <c r="E15" s="144" t="s">
        <v>71</v>
      </c>
      <c r="F15" s="147">
        <f>SUM(F9:F14)</f>
        <v>75.458659999999995</v>
      </c>
      <c r="G15" s="148">
        <f>((SUM(Dat_01!R8,Dat_01!R15:R18,Dat_01!R20)/SUM(Dat_01!S8,Dat_01!S15:S18,Dat_01!S20))-1)*100</f>
        <v>21.218495302201902</v>
      </c>
      <c r="H15" s="147">
        <f>SUM(H9:H14)</f>
        <v>124.90613699999999</v>
      </c>
      <c r="I15" s="148">
        <f>((SUM(Dat_01!Z8,Dat_01!Z15:Z18,Dat_01!Z20)/SUM(Dat_01!AA8,Dat_01!AA15:AA18,Dat_01!AA20))-1)*100</f>
        <v>-14.924858945160825</v>
      </c>
      <c r="J15" s="147">
        <f>SUM(J9:J14)</f>
        <v>1.2999999999999999E-2</v>
      </c>
      <c r="K15" s="148">
        <f>IF(Dat_01!D17=-100%,"-",Dat_01!D17*100)</f>
        <v>44.444444440000005</v>
      </c>
      <c r="L15" s="147">
        <f>SUM(L9:L14)</f>
        <v>0.43086550000000001</v>
      </c>
      <c r="M15" s="148">
        <f>((SUM(Dat_01!J8,Dat_01!J15:J18,Dat_01!J20)/SUM(Dat_01!K8,Dat_01!K15:K18,Dat_01!K20))-1)*100</f>
        <v>-26.249885531821306</v>
      </c>
      <c r="N15" s="7"/>
      <c r="O15" s="7"/>
    </row>
    <row r="16" spans="3:23" ht="12.75" customHeight="1">
      <c r="C16" s="17"/>
      <c r="E16" s="15" t="s">
        <v>11</v>
      </c>
      <c r="F16" s="132">
        <f>Dat_01!R9/1000</f>
        <v>0</v>
      </c>
      <c r="G16" s="12" t="s">
        <v>3</v>
      </c>
      <c r="H16" s="132" t="s">
        <v>3</v>
      </c>
      <c r="I16" s="12" t="s">
        <v>3</v>
      </c>
      <c r="J16" s="132" t="s">
        <v>3</v>
      </c>
      <c r="K16" s="12" t="s">
        <v>3</v>
      </c>
      <c r="L16" s="132" t="s">
        <v>3</v>
      </c>
      <c r="M16" s="12" t="s">
        <v>3</v>
      </c>
      <c r="N16" s="7"/>
      <c r="O16" s="7"/>
      <c r="P16" s="6"/>
      <c r="Q16" s="6"/>
      <c r="R16" s="6"/>
      <c r="S16" s="6"/>
      <c r="T16" s="6"/>
      <c r="U16" s="6"/>
      <c r="V16" s="6"/>
      <c r="W16" s="6"/>
    </row>
    <row r="17" spans="3:23" ht="12.75" customHeight="1">
      <c r="C17" s="17"/>
      <c r="E17" s="19" t="s">
        <v>10</v>
      </c>
      <c r="F17" s="133">
        <f>SUM(Dat_01!R10,Dat_01!R14)/1000</f>
        <v>8.6196000000000002</v>
      </c>
      <c r="G17" s="18">
        <f>((SUM(Dat_01!R10,Dat_01!R14)/SUM(Dat_01!S10,Dat_01!S14))-1)*100</f>
        <v>-37.825744740766041</v>
      </c>
      <c r="H17" s="133">
        <f>SUM(Dat_01!Z10,Dat_01!Z14)/1000</f>
        <v>153.416853</v>
      </c>
      <c r="I17" s="18">
        <f>((SUM(Dat_01!Z10,Dat_01!Z14)/SUM(Dat_01!AA10,Dat_01!AA14))-1)*100</f>
        <v>4.5287787284763903</v>
      </c>
      <c r="J17" s="133">
        <f>Dat_01!B10/1000</f>
        <v>14.355235</v>
      </c>
      <c r="K17" s="18">
        <f>Dat_01!D10*100</f>
        <v>-4.0424634099999999</v>
      </c>
      <c r="L17" s="133">
        <f>Dat_01!J10/1000</f>
        <v>15.899897999999999</v>
      </c>
      <c r="M17" s="18">
        <f>Dat_01!L10*100</f>
        <v>7.959365459999999</v>
      </c>
      <c r="N17" s="139"/>
      <c r="O17" s="138"/>
      <c r="Q17" s="6"/>
      <c r="R17" s="6"/>
      <c r="S17" s="6"/>
      <c r="T17" s="6"/>
      <c r="U17" s="6"/>
      <c r="V17" s="6"/>
      <c r="W17" s="6"/>
    </row>
    <row r="18" spans="3:23" ht="12.75" customHeight="1">
      <c r="C18" s="17"/>
      <c r="E18" s="19" t="s">
        <v>9</v>
      </c>
      <c r="F18" s="133">
        <f>Dat_01!R11/1000</f>
        <v>22.619537000000001</v>
      </c>
      <c r="G18" s="18">
        <f>Dat_01!T11*100</f>
        <v>-9.6684997700000004</v>
      </c>
      <c r="H18" s="133">
        <f>Dat_01!Z11/1000</f>
        <v>34.690565999999997</v>
      </c>
      <c r="I18" s="18">
        <f>Dat_01!AB11*100</f>
        <v>131.22895753</v>
      </c>
      <c r="J18" s="133">
        <f>Dat_01!B11/1000</f>
        <v>3.761E-3</v>
      </c>
      <c r="K18" s="18">
        <f>IF(Dat_01!D11=-100%,"-",Dat_01!D11*100)</f>
        <v>190.20061727999999</v>
      </c>
      <c r="L18" s="133">
        <f>Dat_01!J11/1000</f>
        <v>3.8170000000000001E-3</v>
      </c>
      <c r="M18" s="18">
        <f>IF(Dat_01!L11*100=-100,"-",Dat_01!L11*100)</f>
        <v>31.89357291</v>
      </c>
      <c r="N18" s="139"/>
      <c r="O18" s="16"/>
      <c r="P18" s="6"/>
      <c r="Q18" s="6"/>
      <c r="R18" s="6"/>
      <c r="S18" s="6"/>
      <c r="T18" s="6"/>
      <c r="U18" s="6"/>
      <c r="V18" s="6"/>
      <c r="W18" s="6"/>
    </row>
    <row r="19" spans="3:23" ht="12.75" customHeight="1">
      <c r="C19" s="17"/>
      <c r="E19" s="19" t="s">
        <v>8</v>
      </c>
      <c r="F19" s="133" t="s">
        <v>3</v>
      </c>
      <c r="G19" s="18" t="s">
        <v>3</v>
      </c>
      <c r="H19" s="133">
        <f>Dat_01!Z12/1000</f>
        <v>106.513632</v>
      </c>
      <c r="I19" s="18">
        <f>Dat_01!AB12*100</f>
        <v>8.6175163599999998</v>
      </c>
      <c r="J19" s="133" t="s">
        <v>3</v>
      </c>
      <c r="K19" s="133" t="s">
        <v>3</v>
      </c>
      <c r="L19" s="133" t="s">
        <v>3</v>
      </c>
      <c r="M19" s="133" t="s">
        <v>3</v>
      </c>
      <c r="N19" s="139"/>
      <c r="O19" s="16"/>
      <c r="P19" s="6"/>
      <c r="Q19" s="6"/>
      <c r="R19" s="6"/>
      <c r="S19" s="6"/>
      <c r="T19" s="6"/>
      <c r="U19" s="6"/>
      <c r="V19" s="6"/>
      <c r="W19" s="6"/>
    </row>
    <row r="20" spans="3:23" ht="12.75" customHeight="1">
      <c r="C20" s="17"/>
      <c r="E20" s="15" t="s">
        <v>7</v>
      </c>
      <c r="F20" s="132">
        <f>SUM(F17:F19)</f>
        <v>31.239136999999999</v>
      </c>
      <c r="G20" s="12">
        <f>((SUM(Dat_01!R10:R12,Dat_01!R14)/SUM(Dat_01!S10:S12,Dat_01!S14))-1)*100</f>
        <v>-19.702409009700272</v>
      </c>
      <c r="H20" s="132">
        <f>SUM(H17:H19)</f>
        <v>294.62105099999997</v>
      </c>
      <c r="I20" s="12">
        <f>(H20/(H17/(I17/100+1)+H18/(I18/100+1)+H19/(I19/100+1))-1)*100</f>
        <v>13.387444913541025</v>
      </c>
      <c r="J20" s="132">
        <f>SUM(J17:J19)</f>
        <v>14.358996000000001</v>
      </c>
      <c r="K20" s="12">
        <f>((SUM(Dat_01!B10:B12)/SUM(Dat_01!C10:C12))-1)*100</f>
        <v>-4.0256373734792517</v>
      </c>
      <c r="L20" s="132">
        <f>SUM(L17:L19)</f>
        <v>15.903714999999998</v>
      </c>
      <c r="M20" s="12">
        <f>((SUM(Dat_01!J10:J12)/SUM(Dat_01!K10:K12))-1)*100</f>
        <v>7.9640676327170867</v>
      </c>
      <c r="N20" s="7"/>
      <c r="O20" s="7"/>
      <c r="P20" s="6"/>
      <c r="Q20" s="6"/>
      <c r="R20" s="6"/>
      <c r="S20" s="6"/>
      <c r="T20" s="6"/>
      <c r="U20" s="6"/>
      <c r="V20" s="6"/>
      <c r="W20" s="6"/>
    </row>
    <row r="21" spans="3:23" ht="12.75" customHeight="1">
      <c r="C21" s="17"/>
      <c r="E21" s="15" t="s">
        <v>74</v>
      </c>
      <c r="F21" s="132">
        <f>Dat_01!R13/1000</f>
        <v>217.826639</v>
      </c>
      <c r="G21" s="12">
        <f>Dat_01!T13*100</f>
        <v>-3.86752904</v>
      </c>
      <c r="H21" s="132">
        <f>Dat_01!Z13/1000</f>
        <v>284.69147200000003</v>
      </c>
      <c r="I21" s="12">
        <f>Dat_01!AB13*100</f>
        <v>-2.0677623400000003</v>
      </c>
      <c r="J21" s="132" t="s">
        <v>3</v>
      </c>
      <c r="K21" s="12" t="s">
        <v>3</v>
      </c>
      <c r="L21" s="132" t="s">
        <v>3</v>
      </c>
      <c r="M21" s="12" t="s">
        <v>3</v>
      </c>
      <c r="N21" s="7"/>
      <c r="O21" s="7"/>
      <c r="P21" s="6"/>
      <c r="Q21" s="6"/>
      <c r="R21" s="6"/>
      <c r="S21" s="6"/>
      <c r="T21" s="6"/>
      <c r="U21" s="6"/>
      <c r="V21" s="6"/>
      <c r="W21" s="6"/>
    </row>
    <row r="22" spans="3:23" ht="12.75" customHeight="1">
      <c r="C22" s="10"/>
      <c r="E22" s="13" t="s">
        <v>23</v>
      </c>
      <c r="F22" s="132">
        <f>Dat_01!R19/1000</f>
        <v>2.626277</v>
      </c>
      <c r="G22" s="12">
        <f>Dat_01!T19*100</f>
        <v>7.4710705800000001</v>
      </c>
      <c r="H22" s="132">
        <f>Dat_01!Z19/1000</f>
        <v>0</v>
      </c>
      <c r="I22" s="12" t="s">
        <v>3</v>
      </c>
      <c r="J22" s="132" t="s">
        <v>3</v>
      </c>
      <c r="K22" s="12" t="s">
        <v>3</v>
      </c>
      <c r="L22" s="132" t="s">
        <v>3</v>
      </c>
      <c r="M22" s="12" t="s">
        <v>3</v>
      </c>
      <c r="N22" s="7"/>
      <c r="O22" s="7"/>
    </row>
    <row r="23" spans="3:23" ht="12.75" customHeight="1">
      <c r="C23" s="10"/>
      <c r="E23" s="13" t="s">
        <v>47</v>
      </c>
      <c r="F23" s="132">
        <f>Dat_01!R20/1000</f>
        <v>15.144128</v>
      </c>
      <c r="G23" s="12">
        <f>Dat_01!T20*100</f>
        <v>16.627979679999999</v>
      </c>
      <c r="H23" s="132" t="s">
        <v>3</v>
      </c>
      <c r="I23" s="12" t="s">
        <v>3</v>
      </c>
      <c r="J23" s="132" t="s">
        <v>3</v>
      </c>
      <c r="K23" s="12" t="s">
        <v>3</v>
      </c>
      <c r="L23" s="132">
        <f>Dat_01!J20/1000</f>
        <v>0.4261955</v>
      </c>
      <c r="M23" s="12">
        <f>Dat_01!L20*100</f>
        <v>-26.224377539999999</v>
      </c>
      <c r="N23" s="7"/>
      <c r="O23" s="7"/>
    </row>
    <row r="24" spans="3:23" ht="12.75" customHeight="1">
      <c r="C24" s="10"/>
      <c r="E24" s="144" t="s">
        <v>72</v>
      </c>
      <c r="F24" s="134">
        <f>SUM(F16,F20:F23)</f>
        <v>266.83618100000001</v>
      </c>
      <c r="G24" s="148">
        <f>((SUM(Dat_01!R9:R14,Dat_01!R19,Dat_01!R21)/SUM(Dat_01!S9:S14,Dat_01!S19,Dat_01!S21))-1)*100</f>
        <v>-5.0144671152577143</v>
      </c>
      <c r="H24" s="134">
        <f>SUM(H16,H20:H23)</f>
        <v>579.31252300000006</v>
      </c>
      <c r="I24" s="148">
        <f>((SUM(Dat_01!Z9:Z14,Dat_01!Z19,Dat_01!Z21)/SUM(Dat_01!AA9:AA14,Dat_01!AA19,Dat_01!AA21))-1)*100</f>
        <v>5.2265806441769369</v>
      </c>
      <c r="J24" s="134">
        <f>SUM(J16,J20:J23)</f>
        <v>14.358996000000001</v>
      </c>
      <c r="K24" s="148">
        <f>((SUM(Dat_01!B9:B14,Dat_01!B19,Dat_01!B21)/SUM(Dat_01!C9:C14,Dat_01!C19,Dat_01!C21))-1)*100</f>
        <v>-4.0256373734792517</v>
      </c>
      <c r="L24" s="134">
        <f>SUM(L16,L20:L23)</f>
        <v>16.329910499999997</v>
      </c>
      <c r="M24" s="148">
        <f>((SUM(Dat_01!J9:J14,Dat_01!J19,Dat_01!J21)/SUM(Dat_01!K9:K14,Dat_01!K19,Dat_01!K21))-1)*100</f>
        <v>6.6738895672266096</v>
      </c>
      <c r="N24" s="7"/>
      <c r="O24" s="7"/>
    </row>
    <row r="25" spans="3:23" ht="12.75" customHeight="1">
      <c r="C25" s="10"/>
      <c r="E25" s="170" t="s">
        <v>95</v>
      </c>
      <c r="F25" s="132">
        <f>Dat_01!R23/1000</f>
        <v>0</v>
      </c>
      <c r="G25" s="12" t="str" cm="1">
        <f t="array" ref="G25">_xlfn.IFS(Dat_01!T23=0%,"-",Dat_01!T23=-100%,"-",TRUE,Dat_01!T23*100)</f>
        <v>-</v>
      </c>
      <c r="H25" s="132">
        <f>Dat_01!Z23/1000</f>
        <v>0</v>
      </c>
      <c r="I25" s="12" t="str" cm="1">
        <f t="array" ref="I25">_xlfn.IFS(Dat_01!AB23=0%,"-",Dat_01!AB23=-100%,"-",TRUE,Dat_01!AB23*100)</f>
        <v>-</v>
      </c>
      <c r="J25" s="171" t="s">
        <v>3</v>
      </c>
      <c r="K25" s="171" t="s">
        <v>3</v>
      </c>
      <c r="L25" s="171" t="s">
        <v>3</v>
      </c>
      <c r="M25" s="171" t="s">
        <v>3</v>
      </c>
      <c r="N25" s="7"/>
      <c r="O25" s="7"/>
    </row>
    <row r="26" spans="3:23" ht="12.75" customHeight="1">
      <c r="C26" s="10"/>
      <c r="E26" s="170" t="s">
        <v>96</v>
      </c>
      <c r="F26" s="132">
        <f>Dat_01!R24/1000</f>
        <v>0</v>
      </c>
      <c r="G26" s="12" t="str">
        <f>IF(Dat_01!T24=-100%,"-",Dat_01!T24*100)</f>
        <v>-</v>
      </c>
      <c r="H26" s="132">
        <f>Dat_01!Z24/1000</f>
        <v>-2.2315000000000002E-2</v>
      </c>
      <c r="I26" s="12" t="str" cm="1">
        <f t="array" ref="I26">_xlfn.IFS(Dat_01!AB24=0%,"-",Dat_01!AB24=-100%,"-",TRUE,Dat_01!AB24*100)</f>
        <v>-</v>
      </c>
      <c r="J26" s="132" t="s">
        <v>3</v>
      </c>
      <c r="K26" s="132" t="s">
        <v>3</v>
      </c>
      <c r="L26" s="132" t="s">
        <v>3</v>
      </c>
      <c r="M26" s="132" t="s">
        <v>3</v>
      </c>
      <c r="N26" s="7"/>
      <c r="O26" s="7"/>
    </row>
    <row r="27" spans="3:23" ht="12.75" customHeight="1">
      <c r="C27" s="10"/>
      <c r="E27" s="144" t="s">
        <v>98</v>
      </c>
      <c r="F27" s="134">
        <f>SUM(F25:F26)</f>
        <v>0</v>
      </c>
      <c r="G27" s="148" t="str">
        <f>IF(SUM(Dat_01!R23:R24)=0,"-",((SUM(Dat_01!R23:R24)/SUM(Dat_01!S23:S24))-1)*100)</f>
        <v>-</v>
      </c>
      <c r="H27" s="134">
        <f>SUM(H25:H26)</f>
        <v>-2.2315000000000002E-2</v>
      </c>
      <c r="I27" s="148" t="str">
        <f>IF(SUM(Dat_01!Z23:Z24)=0,"-",IF(SUM(Dat_01!AA23:AA24)=0,"-",((SUM(Dat_01!Z23:Z24)/SUM(Dat_01!AA23:AA24))-1)*100))</f>
        <v>-</v>
      </c>
      <c r="J27" s="134" t="s">
        <v>3</v>
      </c>
      <c r="K27" s="134" t="s">
        <v>3</v>
      </c>
      <c r="L27" s="134" t="s">
        <v>3</v>
      </c>
      <c r="M27" s="134" t="s">
        <v>3</v>
      </c>
      <c r="N27" s="7"/>
      <c r="O27" s="7"/>
    </row>
    <row r="28" spans="3:23" ht="12.75" customHeight="1">
      <c r="C28" s="11"/>
      <c r="E28" s="167" t="s">
        <v>77</v>
      </c>
      <c r="F28" s="168">
        <f>Dat_01!R25/1000</f>
        <v>97.533115999999993</v>
      </c>
      <c r="G28" s="169">
        <f>Dat_01!T25*100</f>
        <v>14.332212020000002</v>
      </c>
      <c r="H28" s="168" t="s">
        <v>3</v>
      </c>
      <c r="I28" s="168" t="s">
        <v>3</v>
      </c>
      <c r="J28" s="168" t="s">
        <v>3</v>
      </c>
      <c r="K28" s="168" t="s">
        <v>3</v>
      </c>
      <c r="L28" s="168" t="s">
        <v>3</v>
      </c>
      <c r="M28" s="168" t="s">
        <v>3</v>
      </c>
      <c r="N28" s="7"/>
      <c r="O28" s="7"/>
    </row>
    <row r="29" spans="3:23" ht="16.350000000000001" customHeight="1">
      <c r="C29" s="10"/>
      <c r="E29" s="9" t="s">
        <v>1</v>
      </c>
      <c r="F29" s="135">
        <f>Dat_01!R26/1000</f>
        <v>439.82795699999997</v>
      </c>
      <c r="G29" s="8">
        <f>Dat_01!T26*100</f>
        <v>2.6497586499999999</v>
      </c>
      <c r="H29" s="135">
        <f>Dat_01!Z26/1000</f>
        <v>704.19634499999995</v>
      </c>
      <c r="I29" s="8">
        <f>Dat_01!AB26*100</f>
        <v>0.98078027000000001</v>
      </c>
      <c r="J29" s="135">
        <f>Dat_01!B26/1000</f>
        <v>14.359009</v>
      </c>
      <c r="K29" s="8">
        <f>Dat_01!D26*100</f>
        <v>-4.0256082200000005</v>
      </c>
      <c r="L29" s="135">
        <f>Dat_01!J26/1000</f>
        <v>16.760776</v>
      </c>
      <c r="M29" s="8">
        <f>Dat_01!L26*100</f>
        <v>5.4635784300000001</v>
      </c>
      <c r="N29" s="7"/>
      <c r="O29" s="7"/>
    </row>
    <row r="30" spans="3:23" ht="16.350000000000001" customHeight="1">
      <c r="C30" s="10"/>
      <c r="E30" s="256" t="s">
        <v>48</v>
      </c>
      <c r="F30" s="256"/>
      <c r="G30" s="256"/>
      <c r="H30" s="256"/>
      <c r="I30" s="256"/>
      <c r="J30" s="256"/>
      <c r="K30" s="256"/>
      <c r="L30" s="145"/>
      <c r="M30" s="146"/>
      <c r="N30" s="7"/>
      <c r="O30" s="7"/>
    </row>
    <row r="31" spans="3:23" ht="12.75" customHeight="1">
      <c r="C31" s="3"/>
      <c r="D31" s="3"/>
      <c r="E31" s="255" t="s">
        <v>0</v>
      </c>
      <c r="F31" s="255"/>
      <c r="G31" s="255"/>
      <c r="H31" s="255"/>
      <c r="I31" s="255"/>
      <c r="J31" s="255"/>
      <c r="K31" s="255"/>
      <c r="L31" s="255"/>
      <c r="M31" s="255"/>
      <c r="O31" s="6"/>
    </row>
    <row r="32" spans="3:23" ht="12.75" customHeight="1">
      <c r="E32" s="254" t="s">
        <v>109</v>
      </c>
      <c r="F32" s="254"/>
      <c r="G32" s="254"/>
      <c r="H32" s="254"/>
      <c r="I32" s="254"/>
      <c r="J32" s="254"/>
      <c r="K32" s="254"/>
      <c r="L32" s="254"/>
      <c r="M32" s="254"/>
    </row>
    <row r="33" spans="3:13" ht="12.75" customHeight="1">
      <c r="C33" s="3"/>
      <c r="D33" s="3"/>
      <c r="E33" s="254" t="s">
        <v>75</v>
      </c>
      <c r="F33" s="254"/>
      <c r="G33" s="254"/>
      <c r="H33" s="254"/>
      <c r="I33" s="254"/>
      <c r="J33" s="254"/>
      <c r="K33" s="254"/>
      <c r="L33" s="254"/>
      <c r="M33" s="254"/>
    </row>
    <row r="34" spans="3:13" ht="12.75" customHeight="1">
      <c r="E34" s="254" t="s">
        <v>76</v>
      </c>
      <c r="F34" s="254"/>
      <c r="G34" s="254"/>
      <c r="H34" s="254"/>
      <c r="I34" s="254"/>
      <c r="J34" s="254"/>
      <c r="K34" s="254"/>
      <c r="L34" s="254"/>
      <c r="M34" s="254"/>
    </row>
    <row r="35" spans="3:13" ht="12.75" customHeight="1">
      <c r="E35" s="254"/>
      <c r="F35" s="254"/>
      <c r="G35" s="254"/>
      <c r="H35" s="254"/>
      <c r="I35" s="254"/>
      <c r="J35" s="254"/>
      <c r="K35" s="254"/>
      <c r="L35" s="254"/>
      <c r="M35" s="254"/>
    </row>
    <row r="36" spans="3:13" ht="12.75" customHeight="1">
      <c r="E36" s="5"/>
      <c r="F36" s="5"/>
      <c r="G36" s="180"/>
      <c r="H36" s="5"/>
      <c r="I36" s="5"/>
      <c r="J36" s="5"/>
      <c r="K36" s="5"/>
      <c r="L36" s="5"/>
      <c r="M36" s="5"/>
    </row>
    <row r="37" spans="3:13" ht="12.75" customHeight="1">
      <c r="E37" s="4"/>
      <c r="G37" s="3"/>
      <c r="I37" s="3"/>
      <c r="K37" s="3"/>
      <c r="L37" s="3"/>
      <c r="M37" s="3"/>
    </row>
    <row r="38" spans="3:13">
      <c r="E38" s="2"/>
      <c r="F38" s="2"/>
      <c r="G38" s="2"/>
      <c r="H38" s="2"/>
      <c r="I38" s="2"/>
      <c r="J38" s="2"/>
      <c r="K38" s="2"/>
    </row>
    <row r="39" spans="3:13">
      <c r="E39" s="2"/>
      <c r="F39" s="2"/>
      <c r="G39" s="2"/>
      <c r="H39" s="2"/>
      <c r="I39" s="2"/>
      <c r="J39" s="2"/>
      <c r="K39" s="2"/>
    </row>
    <row r="40" spans="3:13">
      <c r="E40" s="2"/>
      <c r="F40" s="2"/>
      <c r="G40" s="2"/>
      <c r="H40" s="2"/>
      <c r="I40" s="2"/>
      <c r="J40" s="2"/>
      <c r="K40" s="2"/>
    </row>
    <row r="41" spans="3:13">
      <c r="E41" s="2"/>
      <c r="F41" s="2"/>
      <c r="G41" s="2"/>
      <c r="H41" s="2"/>
      <c r="I41" s="2"/>
      <c r="J41" s="2"/>
      <c r="K41" s="2"/>
    </row>
    <row r="42" spans="3:13">
      <c r="E42" s="2"/>
      <c r="F42" s="2"/>
      <c r="G42" s="2"/>
      <c r="H42" s="2"/>
      <c r="I42" s="2"/>
      <c r="J42" s="2"/>
      <c r="K42" s="2"/>
    </row>
    <row r="43" spans="3:13">
      <c r="E43" s="2"/>
      <c r="F43" s="2"/>
      <c r="G43" s="2"/>
      <c r="H43" s="2"/>
      <c r="I43" s="2"/>
      <c r="J43" s="2"/>
      <c r="K43" s="2"/>
    </row>
    <row r="44" spans="3:13">
      <c r="E44" s="2"/>
      <c r="F44" s="2"/>
      <c r="G44" s="2"/>
      <c r="H44" s="2"/>
      <c r="I44" s="2"/>
      <c r="J44" s="2"/>
      <c r="K44" s="2"/>
    </row>
    <row r="45" spans="3:13">
      <c r="C45" s="2"/>
      <c r="D45" s="2"/>
      <c r="E45" s="2"/>
      <c r="F45" s="2"/>
      <c r="G45" s="2"/>
      <c r="H45" s="2"/>
      <c r="I45" s="2"/>
      <c r="J45" s="2"/>
      <c r="K45" s="2"/>
    </row>
    <row r="46" spans="3:13">
      <c r="C46" s="2"/>
      <c r="D46" s="2"/>
      <c r="E46" s="2"/>
      <c r="F46" s="2"/>
      <c r="G46" s="2"/>
      <c r="H46" s="2"/>
      <c r="I46" s="2"/>
      <c r="J46" s="2"/>
      <c r="K46" s="2"/>
    </row>
    <row r="47" spans="3:13">
      <c r="C47" s="2"/>
      <c r="D47" s="2"/>
      <c r="E47" s="2"/>
      <c r="F47" s="2"/>
      <c r="G47" s="2"/>
      <c r="H47" s="2"/>
      <c r="I47" s="2"/>
      <c r="J47" s="2"/>
      <c r="K47" s="2"/>
    </row>
    <row r="48" spans="3:13">
      <c r="C48" s="2"/>
      <c r="D48" s="2"/>
      <c r="E48" s="2"/>
      <c r="F48" s="2"/>
      <c r="G48" s="2"/>
      <c r="H48" s="2"/>
      <c r="I48" s="2"/>
      <c r="J48" s="2"/>
      <c r="K48" s="2"/>
    </row>
    <row r="49" spans="3:11">
      <c r="C49" s="2"/>
      <c r="D49" s="2"/>
      <c r="E49" s="2"/>
      <c r="F49" s="2"/>
      <c r="G49" s="2"/>
      <c r="H49" s="2"/>
      <c r="I49" s="2"/>
      <c r="J49" s="2"/>
      <c r="K49" s="2"/>
    </row>
    <row r="50" spans="3:11">
      <c r="C50" s="2"/>
      <c r="D50" s="2"/>
      <c r="E50" s="2"/>
      <c r="F50" s="2"/>
      <c r="G50" s="2"/>
      <c r="H50" s="2"/>
      <c r="I50" s="2"/>
      <c r="J50" s="2"/>
      <c r="K50" s="2"/>
    </row>
    <row r="51" spans="3:11">
      <c r="C51" s="2"/>
      <c r="D51" s="2"/>
      <c r="E51" s="2"/>
      <c r="F51" s="2"/>
      <c r="G51" s="2"/>
      <c r="H51" s="2"/>
      <c r="I51" s="2"/>
      <c r="J51" s="2"/>
      <c r="K51" s="2"/>
    </row>
    <row r="52" spans="3:11">
      <c r="C52" s="2"/>
      <c r="D52" s="2"/>
      <c r="E52" s="2"/>
      <c r="F52" s="2"/>
      <c r="G52" s="2"/>
      <c r="H52" s="2"/>
      <c r="I52" s="2"/>
      <c r="J52" s="2"/>
      <c r="K52" s="2"/>
    </row>
    <row r="53" spans="3:11">
      <c r="C53" s="2"/>
      <c r="D53" s="2"/>
      <c r="E53" s="2"/>
      <c r="F53" s="2"/>
      <c r="G53" s="2"/>
      <c r="H53" s="2"/>
      <c r="I53" s="2"/>
      <c r="J53" s="2"/>
      <c r="K53" s="2"/>
    </row>
    <row r="54" spans="3:11">
      <c r="C54" s="2"/>
      <c r="D54" s="2"/>
      <c r="E54" s="2"/>
      <c r="F54" s="2"/>
      <c r="G54" s="2"/>
      <c r="H54" s="2"/>
      <c r="I54" s="2"/>
      <c r="J54" s="2"/>
      <c r="K54" s="2"/>
    </row>
    <row r="55" spans="3:11">
      <c r="C55" s="2"/>
      <c r="D55" s="2"/>
      <c r="E55" s="2"/>
      <c r="F55" s="2"/>
      <c r="G55" s="2"/>
      <c r="H55" s="2"/>
      <c r="I55" s="2"/>
      <c r="J55" s="2"/>
      <c r="K55" s="2"/>
    </row>
    <row r="56" spans="3:11">
      <c r="C56" s="2"/>
      <c r="D56" s="2"/>
      <c r="E56" s="2"/>
      <c r="F56" s="2"/>
      <c r="G56" s="2"/>
      <c r="H56" s="2"/>
      <c r="I56" s="2"/>
      <c r="J56" s="2"/>
      <c r="K56" s="2"/>
    </row>
    <row r="57" spans="3:11">
      <c r="C57" s="2"/>
      <c r="D57" s="2"/>
      <c r="E57" s="2"/>
      <c r="F57" s="2"/>
      <c r="G57" s="2"/>
      <c r="H57" s="2"/>
      <c r="I57" s="2"/>
      <c r="J57" s="2"/>
      <c r="K57" s="2"/>
    </row>
    <row r="58" spans="3:11">
      <c r="C58" s="2"/>
      <c r="D58" s="2"/>
      <c r="E58" s="2"/>
      <c r="F58" s="2"/>
      <c r="G58" s="2"/>
      <c r="H58" s="2"/>
      <c r="I58" s="2"/>
      <c r="J58" s="2"/>
      <c r="K58" s="2"/>
    </row>
    <row r="59" spans="3:11">
      <c r="C59" s="2"/>
      <c r="D59" s="2"/>
      <c r="E59" s="2"/>
      <c r="F59" s="2"/>
      <c r="G59" s="2"/>
      <c r="H59" s="2"/>
      <c r="I59" s="2"/>
      <c r="J59" s="2"/>
      <c r="K59" s="2"/>
    </row>
    <row r="60" spans="3:11">
      <c r="C60" s="2"/>
      <c r="D60" s="2"/>
    </row>
  </sheetData>
  <mergeCells count="11">
    <mergeCell ref="C7:C8"/>
    <mergeCell ref="F7:G7"/>
    <mergeCell ref="H7:I7"/>
    <mergeCell ref="J7:K7"/>
    <mergeCell ref="E35:M35"/>
    <mergeCell ref="L7:M7"/>
    <mergeCell ref="E31:M31"/>
    <mergeCell ref="E32:M32"/>
    <mergeCell ref="E33:M33"/>
    <mergeCell ref="E34:M34"/>
    <mergeCell ref="E30:K30"/>
  </mergeCells>
  <printOptions horizontalCentered="1" verticalCentered="1"/>
  <pageMargins left="0.39370078740157483" right="0.75" top="0.39370078740157483" bottom="0.39370078740157483" header="0" footer="0"/>
  <pageSetup paperSize="9" scale="99" orientation="landscape" r:id="rId1"/>
  <headerFooter alignWithMargins="0"/>
  <ignoredErrors>
    <ignoredError sqref="G15 I15 G20 I24 K24 I20 G24 K15" formula="1"/>
    <ignoredError sqref="M20" formulaRange="1"/>
    <ignoredError sqref="K20 G27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pageSetUpPr fitToPage="1"/>
  </sheetPr>
  <dimension ref="A1:L37"/>
  <sheetViews>
    <sheetView showGridLines="0" showRowColHeaders="0" zoomScaleNormal="100" workbookViewId="0">
      <selection activeCell="I30" sqref="I30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Abril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57" t="s">
        <v>99</v>
      </c>
      <c r="D7" s="37"/>
      <c r="E7" s="41"/>
    </row>
    <row r="8" spans="2:12" s="31" customFormat="1" ht="12.75" customHeight="1">
      <c r="B8" s="39"/>
      <c r="C8" s="257"/>
      <c r="D8" s="37"/>
      <c r="E8" s="41"/>
      <c r="J8" s="30"/>
      <c r="K8" s="30"/>
      <c r="L8" s="30"/>
    </row>
    <row r="9" spans="2:12" s="31" customFormat="1" ht="12.75" customHeight="1">
      <c r="B9" s="39"/>
      <c r="C9" s="257"/>
      <c r="D9" s="37"/>
      <c r="E9" s="41"/>
      <c r="J9" s="30"/>
      <c r="K9" s="78"/>
      <c r="L9" s="79"/>
    </row>
    <row r="10" spans="2:12" s="31" customFormat="1" ht="12.75" customHeight="1">
      <c r="B10" s="39"/>
      <c r="C10" s="33" t="str">
        <f>CONCATENATE(TEXT(SUM(Dat_01!B33:B46),"0.0")," MW")</f>
        <v>2.314 MW</v>
      </c>
      <c r="D10" s="37"/>
      <c r="E10" s="41"/>
      <c r="J10" s="30"/>
      <c r="K10" s="80"/>
      <c r="L10" s="77"/>
    </row>
    <row r="11" spans="2:12" s="31" customFormat="1" ht="12.75" customHeight="1">
      <c r="B11" s="39"/>
      <c r="D11" s="37"/>
      <c r="E11" s="37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J12" s="30"/>
      <c r="K12" s="80"/>
      <c r="L12" s="77"/>
    </row>
    <row r="13" spans="2:12" s="31" customFormat="1" ht="12.75" customHeight="1">
      <c r="B13" s="39"/>
      <c r="C13" s="40"/>
      <c r="D13" s="37"/>
      <c r="E13" s="37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</row>
    <row r="15" spans="2:12" s="31" customFormat="1" ht="12.75" customHeight="1">
      <c r="B15" s="39"/>
      <c r="C15" s="40"/>
      <c r="D15" s="37"/>
      <c r="E15" s="37"/>
    </row>
    <row r="16" spans="2:12" s="31" customFormat="1" ht="12.75" customHeight="1">
      <c r="B16" s="39"/>
      <c r="D16" s="37"/>
      <c r="E16" s="37"/>
      <c r="J16" s="30"/>
      <c r="K16" s="30"/>
      <c r="L16" s="30"/>
    </row>
    <row r="17" spans="2:12" s="31" customFormat="1" ht="12.75" customHeight="1">
      <c r="B17" s="39"/>
      <c r="D17" s="37"/>
      <c r="E17" s="37"/>
      <c r="J17" s="30"/>
      <c r="K17" s="30"/>
      <c r="L17" s="30"/>
    </row>
    <row r="18" spans="2:12" s="31" customFormat="1" ht="12.75" customHeight="1">
      <c r="B18" s="39"/>
      <c r="D18" s="37"/>
      <c r="E18" s="37"/>
      <c r="F18" s="143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J20" s="30"/>
      <c r="K20" s="30"/>
      <c r="L20" s="30"/>
    </row>
    <row r="21" spans="2:12" s="31" customFormat="1" ht="12.75" customHeight="1">
      <c r="B21" s="39"/>
      <c r="C21" s="38"/>
      <c r="D21" s="37"/>
      <c r="E21" s="37"/>
      <c r="J21" s="154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>
      <c r="C24" s="257" t="s">
        <v>107</v>
      </c>
      <c r="E24" s="35"/>
      <c r="J24" s="31"/>
      <c r="K24" s="31"/>
    </row>
    <row r="25" spans="2:12">
      <c r="C25" s="257"/>
      <c r="E25" s="34"/>
      <c r="J25" s="30"/>
      <c r="K25" s="30"/>
    </row>
    <row r="26" spans="2:12" ht="12.75" customHeight="1">
      <c r="J26" s="78"/>
      <c r="K26" s="79"/>
    </row>
    <row r="27" spans="2:12">
      <c r="J27" s="80"/>
      <c r="K27" s="77"/>
    </row>
    <row r="28" spans="2:12">
      <c r="C28" s="33"/>
      <c r="J28" s="80"/>
      <c r="K28" s="77"/>
    </row>
    <row r="29" spans="2:12">
      <c r="C29" s="32"/>
      <c r="J29" s="80"/>
      <c r="K29" s="77"/>
    </row>
    <row r="30" spans="2:12">
      <c r="J30" s="30"/>
      <c r="K30" s="30"/>
    </row>
    <row r="31" spans="2:12" ht="12.75" customHeight="1">
      <c r="J31" s="31"/>
      <c r="K31" s="31"/>
    </row>
    <row r="32" spans="2:12">
      <c r="J32" s="31"/>
      <c r="K32" s="31"/>
    </row>
    <row r="33" spans="10:11">
      <c r="J33" s="30"/>
      <c r="K33" s="30"/>
    </row>
    <row r="34" spans="10:11">
      <c r="J34" s="30"/>
      <c r="K34" s="30"/>
    </row>
    <row r="35" spans="10:11">
      <c r="J35" s="30"/>
      <c r="K35" s="30"/>
    </row>
    <row r="36" spans="10:11">
      <c r="J36" s="30"/>
      <c r="K36" s="30"/>
    </row>
    <row r="37" spans="10:11">
      <c r="J37" s="30"/>
      <c r="K37" s="30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9548-3FF5-4B2B-BF7E-FDAEE5363641}">
  <sheetPr codeName="Hoja12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Abril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58" t="s">
        <v>101</v>
      </c>
      <c r="D7" s="55"/>
      <c r="E7" s="59"/>
    </row>
    <row r="8" spans="1:20" ht="12.75" customHeight="1">
      <c r="A8" s="58"/>
      <c r="B8" s="57"/>
      <c r="C8" s="258"/>
      <c r="D8" s="55"/>
      <c r="E8" s="59"/>
      <c r="F8" s="54"/>
    </row>
    <row r="9" spans="1:20" ht="12.75" customHeight="1">
      <c r="A9" s="58"/>
      <c r="B9" s="57"/>
      <c r="C9" s="258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Abril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58" t="s">
        <v>101</v>
      </c>
      <c r="D7" s="55"/>
      <c r="E7" s="59"/>
    </row>
    <row r="8" spans="1:20" ht="12.75" customHeight="1">
      <c r="A8" s="58"/>
      <c r="B8" s="57"/>
      <c r="C8" s="258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78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L39"/>
  <sheetViews>
    <sheetView showGridLines="0" showRowColHeaders="0" zoomScaleNormal="100" workbookViewId="0">
      <selection activeCell="G26" sqref="G26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Abril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57" t="s">
        <v>100</v>
      </c>
      <c r="D7" s="37"/>
      <c r="E7" s="41"/>
    </row>
    <row r="8" spans="2:12" s="31" customFormat="1" ht="12.75" customHeight="1">
      <c r="B8" s="39"/>
      <c r="C8" s="257"/>
      <c r="D8" s="37"/>
      <c r="E8" s="41"/>
      <c r="F8" s="44"/>
      <c r="J8" s="30"/>
      <c r="K8" s="30"/>
      <c r="L8" s="30"/>
    </row>
    <row r="9" spans="2:12" s="31" customFormat="1" ht="12.75" customHeight="1">
      <c r="B9" s="39"/>
      <c r="C9" s="257"/>
      <c r="D9" s="37"/>
      <c r="E9" s="41"/>
      <c r="F9" s="44"/>
      <c r="J9" s="30"/>
      <c r="K9" s="78"/>
      <c r="L9" s="79"/>
    </row>
    <row r="10" spans="2:12" s="31" customFormat="1" ht="12.75" customHeight="1">
      <c r="B10" s="39"/>
      <c r="C10" s="33" t="str">
        <f>CONCATENATE(TEXT(SUM(Dat_01!C33:C46),"0.0")," MW")</f>
        <v>3.437 MW</v>
      </c>
      <c r="D10" s="37"/>
      <c r="E10" s="41"/>
      <c r="F10" s="44"/>
      <c r="J10" s="30"/>
      <c r="K10" s="80"/>
      <c r="L10" s="77"/>
    </row>
    <row r="11" spans="2:12" s="31" customFormat="1" ht="12.75" customHeight="1">
      <c r="B11" s="39"/>
      <c r="D11" s="37"/>
      <c r="E11" s="37"/>
      <c r="F11" s="44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F12" s="44"/>
      <c r="J12" s="30"/>
    </row>
    <row r="13" spans="2:12" s="31" customFormat="1" ht="12.75" customHeight="1">
      <c r="B13" s="39"/>
      <c r="C13" s="40"/>
      <c r="D13" s="37"/>
      <c r="E13" s="37"/>
      <c r="F13" s="44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  <c r="F14" s="44"/>
    </row>
    <row r="15" spans="2:12" s="31" customFormat="1" ht="12.75" customHeight="1">
      <c r="B15" s="39"/>
      <c r="C15" s="40"/>
      <c r="D15" s="37"/>
      <c r="E15" s="37"/>
      <c r="F15" s="44"/>
    </row>
    <row r="16" spans="2:12" s="31" customFormat="1" ht="12.75" customHeight="1">
      <c r="B16" s="39"/>
      <c r="D16" s="37"/>
      <c r="E16" s="37"/>
      <c r="F16" s="44"/>
      <c r="J16" s="30"/>
      <c r="K16" s="30"/>
      <c r="L16" s="30"/>
    </row>
    <row r="17" spans="2:12" s="31" customFormat="1" ht="12.75" customHeight="1">
      <c r="B17" s="39"/>
      <c r="D17" s="37"/>
      <c r="E17" s="37"/>
      <c r="F17" s="44"/>
      <c r="J17" s="30"/>
      <c r="K17" s="30"/>
      <c r="L17" s="30"/>
    </row>
    <row r="18" spans="2:12" s="31" customFormat="1" ht="12.75" customHeight="1">
      <c r="B18" s="39"/>
      <c r="D18" s="37"/>
      <c r="E18" s="37"/>
      <c r="F18" s="142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F19" s="44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F20" s="44"/>
      <c r="J20" s="30"/>
      <c r="K20" s="30"/>
    </row>
    <row r="21" spans="2:12" s="31" customFormat="1" ht="12.75" customHeight="1">
      <c r="B21" s="39"/>
      <c r="C21" s="38"/>
      <c r="D21" s="37"/>
      <c r="E21" s="37"/>
      <c r="F21" s="44"/>
      <c r="J21" s="30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 ht="12.75" customHeight="1">
      <c r="C24" s="257" t="s">
        <v>108</v>
      </c>
      <c r="E24" s="35"/>
      <c r="J24" s="31"/>
      <c r="K24" s="31"/>
    </row>
    <row r="25" spans="2:12">
      <c r="C25" s="257"/>
      <c r="E25" s="34"/>
      <c r="J25" s="30"/>
      <c r="K25" s="30"/>
    </row>
    <row r="26" spans="2:12" ht="12.75" customHeight="1">
      <c r="C26" s="33"/>
      <c r="J26" s="78"/>
      <c r="K26" s="79"/>
    </row>
    <row r="27" spans="2:12">
      <c r="C27" s="64"/>
      <c r="J27" s="80"/>
      <c r="K27" s="77"/>
    </row>
    <row r="28" spans="2:12">
      <c r="C28" s="64"/>
      <c r="F28" s="44"/>
      <c r="J28" s="80"/>
      <c r="K28" s="77"/>
    </row>
    <row r="29" spans="2:12">
      <c r="C29" s="32"/>
      <c r="F29" s="44"/>
      <c r="J29" s="31"/>
      <c r="K29" s="31"/>
    </row>
    <row r="30" spans="2:12">
      <c r="F30" s="44"/>
      <c r="J30" s="30"/>
      <c r="K30" s="30"/>
    </row>
    <row r="31" spans="2:12">
      <c r="F31" s="44"/>
      <c r="J31" s="31"/>
      <c r="K31" s="31"/>
    </row>
    <row r="32" spans="2:12">
      <c r="F32" s="44"/>
      <c r="J32" s="31"/>
      <c r="K32" s="31"/>
    </row>
    <row r="33" spans="6:11">
      <c r="F33" s="44"/>
      <c r="J33" s="30"/>
      <c r="K33" s="30"/>
    </row>
    <row r="34" spans="6:11">
      <c r="F34" s="44"/>
      <c r="J34" s="30"/>
      <c r="K34" s="30"/>
    </row>
    <row r="35" spans="6:11">
      <c r="F35" s="44"/>
      <c r="J35" s="30"/>
      <c r="K35" s="30"/>
    </row>
    <row r="36" spans="6:11">
      <c r="F36" s="44"/>
      <c r="J36" s="30"/>
      <c r="K36" s="30"/>
    </row>
    <row r="37" spans="6:11">
      <c r="F37" s="44"/>
    </row>
    <row r="38" spans="6:11">
      <c r="F38" s="44"/>
    </row>
    <row r="39" spans="6:11">
      <c r="F39" s="44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T45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Abril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58" t="s">
        <v>102</v>
      </c>
      <c r="D7" s="55"/>
      <c r="E7" s="59"/>
    </row>
    <row r="8" spans="1:20" ht="12.75" customHeight="1">
      <c r="A8" s="58"/>
      <c r="B8" s="57"/>
      <c r="C8" s="258"/>
      <c r="D8" s="55"/>
      <c r="E8" s="59"/>
      <c r="F8" s="54"/>
    </row>
    <row r="9" spans="1:20" ht="12.75" customHeight="1">
      <c r="A9" s="58"/>
      <c r="B9" s="57"/>
      <c r="C9" s="258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7</vt:i4>
      </vt:variant>
    </vt:vector>
  </HeadingPairs>
  <TitlesOfParts>
    <vt:vector size="29" baseType="lpstr">
      <vt:lpstr>Indice</vt:lpstr>
      <vt:lpstr>SN1</vt:lpstr>
      <vt:lpstr>SN2</vt:lpstr>
      <vt:lpstr>SN3</vt:lpstr>
      <vt:lpstr>SN4</vt:lpstr>
      <vt:lpstr>SN5</vt:lpstr>
      <vt:lpstr>SN5 FUEL GAS</vt:lpstr>
      <vt:lpstr>SN6</vt:lpstr>
      <vt:lpstr>SN7</vt:lpstr>
      <vt:lpstr>SN7 FUEL GAS</vt:lpstr>
      <vt:lpstr>SN8</vt:lpstr>
      <vt:lpstr>SN9</vt:lpstr>
      <vt:lpstr>SN10</vt:lpstr>
      <vt:lpstr>SN11</vt:lpstr>
      <vt:lpstr>SN12</vt:lpstr>
      <vt:lpstr>SN13</vt:lpstr>
      <vt:lpstr>SN14</vt:lpstr>
      <vt:lpstr>SN15</vt:lpstr>
      <vt:lpstr>SN16</vt:lpstr>
      <vt:lpstr>SN17</vt:lpstr>
      <vt:lpstr>Dat_01</vt:lpstr>
      <vt:lpstr>Dat_02</vt:lpstr>
      <vt:lpstr>MSTR.Energía_generada_y_autoconsumida.1</vt:lpstr>
      <vt:lpstr>MSTR.Energía_generada_y_autoconsumida.3</vt:lpstr>
      <vt:lpstr>MSTR.Mes_del_informe.1</vt:lpstr>
      <vt:lpstr>MSTR.Potencia_instalada_Autoconsumo.2</vt:lpstr>
      <vt:lpstr>MSTR.Potencia_instalada_Autoconsumo.3</vt:lpstr>
      <vt:lpstr>MSTR.Potencia_instalada_Total.2</vt:lpstr>
      <vt:lpstr>MSTR.Potencia_instalada_Total.3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cp:lastPrinted>2021-10-14T14:51:00Z</cp:lastPrinted>
  <dcterms:created xsi:type="dcterms:W3CDTF">2016-11-17T11:02:48Z</dcterms:created>
  <dcterms:modified xsi:type="dcterms:W3CDTF">2026-05-18T10:21:42Z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