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5\OCT\INF_ELABORADA\"/>
    </mc:Choice>
  </mc:AlternateContent>
  <xr:revisionPtr revIDLastSave="0" documentId="13_ncr:1_{6F994E9D-FDAF-4F88-B18C-6DA30B9EE682}" xr6:coauthVersionLast="47" xr6:coauthVersionMax="47" xr10:uidLastSave="{00000000-0000-0000-0000-000000000000}"/>
  <bookViews>
    <workbookView xWindow="-120" yWindow="-120" windowWidth="29040" windowHeight="15720" tabRatio="828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7" sheetId="66" r:id="rId19"/>
    <sheet name="P18" sheetId="67" r:id="rId20"/>
    <sheet name="P18 DESGLOSE" sheetId="69" state="hidden" r:id="rId21"/>
    <sheet name="P19" sheetId="68" r:id="rId22"/>
    <sheet name="Dat_01" sheetId="44" r:id="rId23"/>
    <sheet name="Dat_02" sheetId="47" r:id="rId24"/>
    <sheet name="Data 2" sheetId="49" state="hidden" r:id="rId25"/>
    <sheet name="Data 3" sheetId="43" r:id="rId26"/>
    <sheet name="Data 4" sheetId="59" r:id="rId27"/>
    <sheet name="Data 5" sheetId="60" r:id="rId28"/>
    <sheet name="Data 6" sheetId="56" r:id="rId29"/>
  </sheets>
  <definedNames>
    <definedName name="_xlnm._FilterDatabase" localSheetId="26" hidden="1">'Data 4'!$B$1:$H$487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Eol_Dia">OFFSET(Dat_01!$Y$184,0,0,COUNT(Dat_01!$W$184:$W$215),1)</definedName>
    <definedName name="Eol_Fechas">OFFSET(Dat_01!$A$184,0,0,COUNT(Dat_01!$A$184:$A$215),1)</definedName>
    <definedName name="Eol_Porcentaje">OFFSET(Dat_01!$X$184,0,0,COUNT(Dat_01!$X$184:$X$215),1)</definedName>
    <definedName name="H_Eol">OFFSET(Dat_01!$K$224,0,0,COUNT(Dat_01!$I$224:$I$249),1)</definedName>
    <definedName name="H_Gen">OFFSET(Dat_01!$R$224,0,0,COUNT(Dat_01!$P$224:$P$249),1)</definedName>
    <definedName name="H_Porcentaje">OFFSET(Dat_01!$W$224,0,0,COUNT(Dat_01!$W$224:$W$249),1)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Índice" localSheetId="20">[0]!INDICE</definedName>
    <definedName name="Índice" localSheetId="21">[0]!INDICE</definedName>
    <definedName name="Índice">[0]!INDICE</definedName>
    <definedName name="indice_jcol" localSheetId="20">[0]!INDICE</definedName>
    <definedName name="indice_jcol" localSheetId="21">[0]!INDICE</definedName>
    <definedName name="indice_jcol">[0]!INDICE</definedName>
    <definedName name="MSTR.Balance._Día_máx_generación_renovable._Histórico" xml:space="preserve">    Dat_01!$G$67:$H$88</definedName>
    <definedName name="MSTR.Balance._Día_máx_generación_renovable._Mes" xml:space="preserve">    Dat_01!$A$67:$B$87</definedName>
    <definedName name="MSTR.Balance_B.C._Mensual_Nacional" xml:space="preserve">           Dat_01!$A$271:$I$293</definedName>
    <definedName name="MSTR.Balance_B.C._Mensual_Sistema_eléctrico" xml:space="preserve">            'Data 6'!$A$1:$AT$27</definedName>
    <definedName name="MSTR.Emisiones_CO2" xml:space="preserve">    'Data 6'!$A$32:$O$46</definedName>
    <definedName name="MSTR.Emisiones_CO2.1" xml:space="preserve">    Dat_01!$A$252:$O$266</definedName>
    <definedName name="MSTR.Serie_Balance_B.C._Mensual_Peninsular" xml:space="preserve">    Dat_01!$A$118:$Z$143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Prod">OFFSET(Dat_02!$E$3,0,0,COUNT(Dat_02!$E$3:$E$500),1)</definedName>
    <definedName name="Prod_Dia">OFFSET(Dat_02!$C$3,0,0,COUNT(Dat_02!$C$3:$C$500),1)</definedName>
    <definedName name="Prod_Med">OFFSET(Dat_02!$D$3,0,0,COUNT(Dat_02!$D$3:$D$500),1)</definedName>
    <definedName name="sfasfasf" localSheetId="20">[0]!INDICE</definedName>
    <definedName name="sfasfasf" localSheetId="21">[0]!INDICE</definedName>
    <definedName name="sfasfasf">[0]!INDICE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Dat_01!$L$4:$M$21</definedName>
    <definedName name="WW" hidden="1" xml:space="preserve">        Dat_01!$A$271:$I$295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4" i="56" l="1"/>
  <c r="H874" i="56" l="1"/>
  <c r="J874" i="56"/>
  <c r="F70" i="43"/>
  <c r="I62" i="43"/>
  <c r="J62" i="43" s="1"/>
  <c r="K62" i="43" l="1"/>
  <c r="E813" i="56" l="1"/>
  <c r="A763" i="60" l="1"/>
  <c r="E763" i="60" l="1"/>
  <c r="A763" i="59" l="1"/>
  <c r="E763" i="59" l="1"/>
  <c r="H215" i="44" l="1"/>
  <c r="Q266" i="44"/>
  <c r="X225" i="44"/>
  <c r="X226" i="44"/>
  <c r="X227" i="44"/>
  <c r="X228" i="44"/>
  <c r="X229" i="44"/>
  <c r="X230" i="44"/>
  <c r="X231" i="44"/>
  <c r="X232" i="44"/>
  <c r="X233" i="44"/>
  <c r="X234" i="44"/>
  <c r="X235" i="44"/>
  <c r="X236" i="44"/>
  <c r="X237" i="44"/>
  <c r="X238" i="44"/>
  <c r="X239" i="44"/>
  <c r="X240" i="44"/>
  <c r="X241" i="44"/>
  <c r="X242" i="44"/>
  <c r="X243" i="44"/>
  <c r="X244" i="44"/>
  <c r="X245" i="44"/>
  <c r="X246" i="44"/>
  <c r="X247" i="44"/>
  <c r="X248" i="44"/>
  <c r="X249" i="44"/>
  <c r="X250" i="44"/>
  <c r="X224" i="44"/>
  <c r="X184" i="44"/>
  <c r="B148" i="44"/>
  <c r="B147" i="44"/>
  <c r="B146" i="44"/>
  <c r="I81" i="44" l="1"/>
  <c r="B97" i="44"/>
  <c r="C82" i="44"/>
  <c r="B30" i="44"/>
  <c r="O47" i="56"/>
  <c r="H873" i="56"/>
  <c r="I61" i="43"/>
  <c r="I215" i="44" l="1"/>
  <c r="B296" i="44" l="1"/>
  <c r="B298" i="44" s="1"/>
  <c r="C296" i="44"/>
  <c r="C298" i="44" s="1"/>
  <c r="E296" i="44"/>
  <c r="E298" i="44" s="1"/>
  <c r="F296" i="44"/>
  <c r="F298" i="44" s="1"/>
  <c r="B297" i="44"/>
  <c r="C297" i="44"/>
  <c r="E297" i="44"/>
  <c r="F297" i="44"/>
  <c r="M60" i="44" l="1"/>
  <c r="M53" i="44"/>
  <c r="H70" i="43"/>
  <c r="I60" i="43"/>
  <c r="H872" i="56"/>
  <c r="J61" i="43" l="1"/>
  <c r="G18" i="6"/>
  <c r="H97" i="44"/>
  <c r="AA184" i="44"/>
  <c r="Z184" i="44"/>
  <c r="Y184" i="44" l="1"/>
  <c r="I59" i="43" l="1"/>
  <c r="J60" i="43" s="1"/>
  <c r="X207" i="44" l="1"/>
  <c r="X185" i="44" l="1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X208" i="44"/>
  <c r="X209" i="44"/>
  <c r="X210" i="44"/>
  <c r="X211" i="44"/>
  <c r="X212" i="44"/>
  <c r="X213" i="44"/>
  <c r="X214" i="44"/>
  <c r="H100" i="44" l="1"/>
  <c r="B100" i="44"/>
  <c r="H99" i="44"/>
  <c r="B99" i="44"/>
  <c r="M24" i="44" l="1"/>
  <c r="H871" i="56"/>
  <c r="F23" i="68"/>
  <c r="F10" i="68"/>
  <c r="E8" i="68"/>
  <c r="AA185" i="44"/>
  <c r="AA186" i="44"/>
  <c r="AA187" i="44"/>
  <c r="AA188" i="44"/>
  <c r="AA189" i="44"/>
  <c r="AA190" i="44"/>
  <c r="AA191" i="44"/>
  <c r="AA192" i="44"/>
  <c r="AA193" i="44"/>
  <c r="AA194" i="44"/>
  <c r="AA195" i="44"/>
  <c r="AA196" i="44"/>
  <c r="AA197" i="44"/>
  <c r="AA198" i="44"/>
  <c r="AA199" i="44"/>
  <c r="AA200" i="44"/>
  <c r="AA201" i="44"/>
  <c r="AA202" i="44"/>
  <c r="AA203" i="44"/>
  <c r="AA204" i="44"/>
  <c r="AA205" i="44"/>
  <c r="AA206" i="44"/>
  <c r="AA207" i="44"/>
  <c r="AA208" i="44"/>
  <c r="AA209" i="44"/>
  <c r="AA210" i="44"/>
  <c r="AA211" i="44"/>
  <c r="AA212" i="44"/>
  <c r="AA213" i="44"/>
  <c r="AA214" i="44"/>
  <c r="Z185" i="44"/>
  <c r="Z186" i="44"/>
  <c r="Z187" i="44"/>
  <c r="Z188" i="44"/>
  <c r="Z189" i="44"/>
  <c r="Z190" i="44"/>
  <c r="Z191" i="44"/>
  <c r="Z192" i="44"/>
  <c r="Z193" i="44"/>
  <c r="Z194" i="44"/>
  <c r="Z195" i="44"/>
  <c r="Z196" i="44"/>
  <c r="Z197" i="44"/>
  <c r="Z198" i="44"/>
  <c r="Z199" i="44"/>
  <c r="Z200" i="44"/>
  <c r="Z201" i="44"/>
  <c r="Z202" i="44"/>
  <c r="Z203" i="44"/>
  <c r="Z204" i="44"/>
  <c r="Z205" i="44"/>
  <c r="Z206" i="44"/>
  <c r="Z207" i="44"/>
  <c r="Z208" i="44"/>
  <c r="Z209" i="44"/>
  <c r="Z210" i="44"/>
  <c r="Z211" i="44"/>
  <c r="Z212" i="44"/>
  <c r="Z213" i="44"/>
  <c r="Z21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207" i="44"/>
  <c r="Y208" i="44"/>
  <c r="Y209" i="44"/>
  <c r="Y210" i="44"/>
  <c r="Y211" i="44"/>
  <c r="Y212" i="44"/>
  <c r="Y213" i="44"/>
  <c r="Y214" i="44"/>
  <c r="F299" i="44"/>
  <c r="E299" i="44"/>
  <c r="C299" i="44"/>
  <c r="B299" i="44"/>
  <c r="E764" i="47" l="1"/>
  <c r="I59" i="44" l="1"/>
  <c r="I58" i="44"/>
  <c r="I51" i="44"/>
  <c r="I35" i="44"/>
  <c r="I52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B34" i="44"/>
  <c r="I34" i="44"/>
  <c r="K27" i="6" l="1"/>
  <c r="K22" i="6"/>
  <c r="K15" i="6"/>
  <c r="J19" i="6"/>
  <c r="H19" i="6"/>
  <c r="I27" i="6"/>
  <c r="I22" i="6"/>
  <c r="I15" i="6"/>
  <c r="G27" i="6"/>
  <c r="C30" i="44"/>
  <c r="G22" i="6"/>
  <c r="G15" i="6"/>
  <c r="F19" i="6"/>
  <c r="B37" i="44"/>
  <c r="B39" i="44"/>
  <c r="I30" i="44"/>
  <c r="H30" i="44"/>
  <c r="F30" i="44"/>
  <c r="E30" i="44"/>
  <c r="D30" i="44" l="1"/>
  <c r="B63" i="44"/>
  <c r="E27" i="40"/>
  <c r="E26" i="40"/>
  <c r="E25" i="40"/>
  <c r="E23" i="40"/>
  <c r="E22" i="40"/>
  <c r="H870" i="56"/>
  <c r="I58" i="43" l="1"/>
  <c r="J59" i="43" l="1"/>
  <c r="I57" i="43"/>
  <c r="H869" i="56"/>
  <c r="H868" i="56"/>
  <c r="J58" i="43" l="1"/>
  <c r="H813" i="56" l="1"/>
  <c r="N303" i="44" l="1"/>
  <c r="M303" i="44" s="1"/>
  <c r="L303" i="44" s="1"/>
  <c r="N302" i="44" l="1"/>
  <c r="L302" i="44"/>
  <c r="K303" i="44"/>
  <c r="M302" i="44"/>
  <c r="K302" i="44" l="1"/>
  <c r="J303" i="44"/>
  <c r="J302" i="44" l="1"/>
  <c r="I303" i="44"/>
  <c r="I302" i="44" l="1"/>
  <c r="H303" i="44"/>
  <c r="H302" i="44" l="1"/>
  <c r="G303" i="44"/>
  <c r="G302" i="44" l="1"/>
  <c r="F303" i="44"/>
  <c r="F302" i="44" l="1"/>
  <c r="E303" i="44"/>
  <c r="E302" i="44" l="1"/>
  <c r="D303" i="44"/>
  <c r="D302" i="44" l="1"/>
  <c r="C303" i="44"/>
  <c r="B303" i="44" l="1"/>
  <c r="B302" i="44" s="1"/>
  <c r="C302" i="44"/>
  <c r="K59" i="44" l="1"/>
  <c r="K52" i="44"/>
  <c r="I60" i="44" l="1"/>
  <c r="J59" i="44" s="1"/>
  <c r="M59" i="44" s="1"/>
  <c r="K51" i="44"/>
  <c r="K58" i="44"/>
  <c r="I53" i="44"/>
  <c r="J52" i="44" s="1"/>
  <c r="M52" i="44" s="1"/>
  <c r="K35" i="44"/>
  <c r="K34" i="44"/>
  <c r="I36" i="44" l="1"/>
  <c r="C9" i="66" s="1"/>
  <c r="J58" i="44"/>
  <c r="M58" i="44" s="1"/>
  <c r="J51" i="44"/>
  <c r="M51" i="44" s="1"/>
  <c r="J60" i="44" l="1"/>
  <c r="J34" i="44"/>
  <c r="M34" i="44" s="1"/>
  <c r="J35" i="44"/>
  <c r="M35" i="44" s="1"/>
  <c r="J53" i="44"/>
  <c r="H867" i="56"/>
  <c r="I56" i="43"/>
  <c r="J57" i="43" s="1"/>
  <c r="J36" i="44" l="1"/>
  <c r="E812" i="56" l="1"/>
  <c r="E811" i="56"/>
  <c r="G26" i="6" l="1"/>
  <c r="W248" i="44"/>
  <c r="W249" i="44"/>
  <c r="W250" i="44"/>
  <c r="I55" i="43"/>
  <c r="J56" i="43" s="1"/>
  <c r="E762" i="47" l="1"/>
  <c r="E763" i="47"/>
  <c r="A761" i="60" l="1"/>
  <c r="A762" i="60"/>
  <c r="E761" i="60" l="1"/>
  <c r="E762" i="60" l="1"/>
  <c r="A761" i="59" l="1"/>
  <c r="A762" i="59"/>
  <c r="E761" i="59" l="1"/>
  <c r="E762" i="59"/>
  <c r="H866" i="56" l="1"/>
  <c r="I54" i="43"/>
  <c r="J55" i="43" s="1"/>
  <c r="G25" i="6" l="1"/>
  <c r="J30" i="44" l="1"/>
  <c r="G30" i="44"/>
  <c r="I52" i="43" l="1"/>
  <c r="I51" i="43"/>
  <c r="I50" i="43"/>
  <c r="I49" i="43"/>
  <c r="K61" i="43" s="1"/>
  <c r="I48" i="43"/>
  <c r="K60" i="43" s="1"/>
  <c r="I47" i="43"/>
  <c r="K59" i="43" s="1"/>
  <c r="I46" i="43"/>
  <c r="K58" i="43" s="1"/>
  <c r="I45" i="43"/>
  <c r="K57" i="43" s="1"/>
  <c r="I44" i="43"/>
  <c r="K56" i="43" s="1"/>
  <c r="I43" i="43"/>
  <c r="K55" i="43" s="1"/>
  <c r="I42" i="43"/>
  <c r="K54" i="43" s="1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H864" i="56"/>
  <c r="H863" i="56"/>
  <c r="H862" i="56"/>
  <c r="H861" i="56"/>
  <c r="H860" i="56"/>
  <c r="H859" i="56"/>
  <c r="H858" i="56"/>
  <c r="H857" i="56"/>
  <c r="H856" i="56"/>
  <c r="H855" i="56"/>
  <c r="H854" i="56"/>
  <c r="H853" i="56"/>
  <c r="H852" i="56"/>
  <c r="H851" i="56"/>
  <c r="H850" i="56"/>
  <c r="H849" i="56"/>
  <c r="H848" i="56"/>
  <c r="H847" i="56"/>
  <c r="H846" i="56"/>
  <c r="H845" i="56"/>
  <c r="H844" i="56"/>
  <c r="H843" i="56"/>
  <c r="H842" i="56"/>
  <c r="H841" i="56"/>
  <c r="H840" i="56"/>
  <c r="H839" i="56"/>
  <c r="H838" i="56"/>
  <c r="H837" i="56"/>
  <c r="H836" i="56"/>
  <c r="H835" i="56"/>
  <c r="H834" i="56"/>
  <c r="H833" i="56"/>
  <c r="H832" i="56"/>
  <c r="H831" i="56"/>
  <c r="H830" i="56"/>
  <c r="H829" i="56"/>
  <c r="H828" i="56"/>
  <c r="H827" i="56"/>
  <c r="H826" i="56"/>
  <c r="H825" i="56"/>
  <c r="H824" i="56"/>
  <c r="H823" i="56"/>
  <c r="H822" i="56"/>
  <c r="H821" i="56"/>
  <c r="H820" i="56"/>
  <c r="H819" i="56"/>
  <c r="H818" i="56"/>
  <c r="H817" i="56"/>
  <c r="C31" i="56" l="1"/>
  <c r="H98" i="44" l="1"/>
  <c r="H101" i="44"/>
  <c r="H102" i="44"/>
  <c r="H103" i="44"/>
  <c r="H104" i="44"/>
  <c r="H105" i="44"/>
  <c r="H106" i="44"/>
  <c r="H107" i="44"/>
  <c r="H108" i="44"/>
  <c r="B108" i="44"/>
  <c r="B107" i="44"/>
  <c r="B106" i="44"/>
  <c r="B105" i="44"/>
  <c r="B104" i="44"/>
  <c r="B103" i="44"/>
  <c r="B102" i="44"/>
  <c r="B101" i="44"/>
  <c r="B98" i="44"/>
  <c r="K26" i="6"/>
  <c r="J26" i="6"/>
  <c r="K25" i="6"/>
  <c r="J25" i="6"/>
  <c r="H26" i="6"/>
  <c r="H25" i="6"/>
  <c r="I26" i="6"/>
  <c r="I25" i="6"/>
  <c r="F26" i="6"/>
  <c r="F25" i="6"/>
  <c r="F30" i="6"/>
  <c r="F9" i="6"/>
  <c r="H109" i="44" l="1"/>
  <c r="B112" i="44"/>
  <c r="B113" i="44"/>
  <c r="H112" i="44"/>
  <c r="H113" i="44"/>
  <c r="I764" i="47" l="1"/>
  <c r="F764" i="47"/>
  <c r="H764" i="47"/>
  <c r="K10" i="6" l="1"/>
  <c r="G813" i="56" l="1"/>
  <c r="H811" i="56" l="1"/>
  <c r="H812" i="56"/>
  <c r="G762" i="59" l="1"/>
  <c r="H762" i="59"/>
  <c r="G761" i="59"/>
  <c r="H761" i="59"/>
  <c r="I53" i="43" l="1"/>
  <c r="J54" i="43" s="1"/>
  <c r="J53" i="43" l="1"/>
  <c r="K53" i="43"/>
  <c r="H865" i="56"/>
  <c r="I750" i="49" l="1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G567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G201" i="47"/>
  <c r="H3" i="47"/>
  <c r="F71" i="43"/>
  <c r="F566" i="47" l="1"/>
  <c r="F261" i="47"/>
  <c r="F200" i="47"/>
  <c r="F717" i="47"/>
  <c r="F352" i="47"/>
  <c r="F474" i="47"/>
  <c r="F413" i="47"/>
  <c r="F108" i="47"/>
  <c r="F47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62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I106" i="47"/>
  <c r="I98" i="47"/>
  <c r="I90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I105" i="47"/>
  <c r="I97" i="47"/>
  <c r="I89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I104" i="47"/>
  <c r="I96" i="47"/>
  <c r="I88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I103" i="47"/>
  <c r="I95" i="47"/>
  <c r="I87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I102" i="47"/>
  <c r="I94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I101" i="47"/>
  <c r="I93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I100" i="47"/>
  <c r="I92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I107" i="47"/>
  <c r="I99" i="47"/>
  <c r="I91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64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F503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34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687" i="47" l="1"/>
  <c r="I688" i="49" s="1"/>
  <c r="G414" i="47"/>
  <c r="I415" i="49" s="1"/>
  <c r="G475" i="47"/>
  <c r="G626" i="47"/>
  <c r="I627" i="49" s="1"/>
  <c r="G595" i="47"/>
  <c r="I596" i="49" s="1"/>
  <c r="G656" i="47"/>
  <c r="I657" i="49" s="1"/>
  <c r="I475" i="49"/>
  <c r="I628" i="49"/>
  <c r="G717" i="47"/>
  <c r="I718" i="49" s="1"/>
  <c r="I414" i="49"/>
  <c r="I567" i="49"/>
  <c r="I598" i="49"/>
  <c r="I659" i="49"/>
  <c r="G505" i="47"/>
  <c r="I506" i="49" s="1"/>
  <c r="I476" i="49"/>
  <c r="G444" i="47"/>
  <c r="I445" i="49" s="1"/>
  <c r="G536" i="47"/>
  <c r="I537" i="49" s="1"/>
  <c r="I721" i="49"/>
  <c r="I690" i="49"/>
  <c r="I629" i="49"/>
  <c r="I568" i="49"/>
  <c r="I504" i="49"/>
  <c r="I565" i="49"/>
  <c r="I443" i="49"/>
  <c r="I474" i="49"/>
  <c r="I413" i="49"/>
  <c r="I626" i="49"/>
  <c r="I566" i="49"/>
  <c r="I535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F94" i="60" l="1"/>
  <c r="F460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52" i="56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G76" i="60"/>
  <c r="H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H627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H168" i="60"/>
  <c r="G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H597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H229" i="60"/>
  <c r="G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A613" i="59"/>
  <c r="A544" i="59"/>
  <c r="A407" i="59"/>
  <c r="A13" i="59"/>
  <c r="E397" i="49"/>
  <c r="E398" i="49"/>
  <c r="F399" i="49"/>
  <c r="H810" i="56" l="1"/>
  <c r="G12" i="59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A614" i="59"/>
  <c r="A545" i="59"/>
  <c r="A408" i="59"/>
  <c r="A14" i="59"/>
  <c r="C398" i="49"/>
  <c r="C397" i="49"/>
  <c r="E399" i="49"/>
  <c r="E810" i="56" l="1"/>
  <c r="G13" i="59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8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0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I76" i="43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9" i="6"/>
  <c r="I29" i="6"/>
  <c r="K29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76" i="43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2" i="44"/>
  <c r="B35" i="44"/>
  <c r="B36" i="44"/>
  <c r="B38" i="44"/>
  <c r="B40" i="44"/>
  <c r="B41" i="44"/>
  <c r="B43" i="44"/>
  <c r="B44" i="44"/>
  <c r="B45" i="44"/>
  <c r="B46" i="44"/>
  <c r="B47" i="44" l="1"/>
  <c r="C37" i="44" s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A36" i="59"/>
  <c r="D31" i="56"/>
  <c r="E31" i="56"/>
  <c r="F31" i="56"/>
  <c r="G31" i="56"/>
  <c r="H31" i="56"/>
  <c r="I31" i="56"/>
  <c r="J31" i="56"/>
  <c r="K31" i="56"/>
  <c r="L31" i="56"/>
  <c r="M31" i="56"/>
  <c r="N31" i="56"/>
  <c r="O31" i="56"/>
  <c r="D47" i="44" l="1"/>
  <c r="C10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4" i="43"/>
  <c r="K75" i="43"/>
  <c r="J70" i="43" l="1"/>
  <c r="K76" i="43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9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H45" i="59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A582" i="59"/>
  <c r="H443" i="59"/>
  <c r="A445" i="59"/>
  <c r="A51" i="59"/>
  <c r="F2" i="59"/>
  <c r="C4" i="49"/>
  <c r="G50" i="59" l="1"/>
  <c r="H50" i="59"/>
  <c r="G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H444" i="59"/>
  <c r="A52" i="59"/>
  <c r="H46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45" i="44"/>
  <c r="N307" i="44" l="1"/>
  <c r="N308" i="44"/>
  <c r="N304" i="44"/>
  <c r="N305" i="44"/>
  <c r="N149" i="44"/>
  <c r="N152" i="44"/>
  <c r="N154" i="44"/>
  <c r="N156" i="44"/>
  <c r="N146" i="44"/>
  <c r="N147" i="44"/>
  <c r="N148" i="44"/>
  <c r="N150" i="44"/>
  <c r="N151" i="44"/>
  <c r="N153" i="44"/>
  <c r="N155" i="44"/>
  <c r="N157" i="44"/>
  <c r="N144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306" i="44" l="1"/>
  <c r="N309" i="44"/>
  <c r="N169" i="44"/>
  <c r="N161" i="44"/>
  <c r="N160" i="44"/>
  <c r="N168" i="44"/>
  <c r="N158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G53" i="56"/>
  <c r="N310" i="44" l="1"/>
  <c r="N171" i="44"/>
  <c r="N163" i="44"/>
  <c r="N170" i="44"/>
  <c r="N162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F52" i="56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E56" i="56"/>
  <c r="E54" i="56"/>
  <c r="E58" i="56"/>
  <c r="E57" i="56"/>
  <c r="E53" i="56"/>
  <c r="E55" i="56"/>
  <c r="E52" i="56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94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5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6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7" i="56"/>
  <c r="H238" i="56"/>
  <c r="H239" i="56"/>
  <c r="H240" i="56"/>
  <c r="H241" i="56"/>
  <c r="H242" i="56"/>
  <c r="H243" i="56"/>
  <c r="H244" i="56"/>
  <c r="H245" i="56"/>
  <c r="H246" i="56"/>
  <c r="H251" i="56"/>
  <c r="H252" i="56"/>
  <c r="H253" i="56"/>
  <c r="H254" i="56"/>
  <c r="H255" i="56"/>
  <c r="H256" i="56"/>
  <c r="H257" i="56"/>
  <c r="H258" i="56"/>
  <c r="H263" i="56"/>
  <c r="H266" i="56"/>
  <c r="H267" i="56"/>
  <c r="H271" i="56"/>
  <c r="H274" i="56"/>
  <c r="H275" i="56"/>
  <c r="H276" i="56"/>
  <c r="H277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12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2" i="56"/>
  <c r="H363" i="56"/>
  <c r="H364" i="56"/>
  <c r="H365" i="56"/>
  <c r="H366" i="56"/>
  <c r="H367" i="56"/>
  <c r="H368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4" i="56"/>
  <c r="H405" i="56"/>
  <c r="H406" i="56"/>
  <c r="H407" i="56"/>
  <c r="H408" i="56"/>
  <c r="H409" i="56"/>
  <c r="H410" i="56"/>
  <c r="H411" i="56"/>
  <c r="H412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1" i="56"/>
  <c r="H433" i="56"/>
  <c r="H434" i="56"/>
  <c r="H435" i="56"/>
  <c r="H436" i="56"/>
  <c r="H437" i="56"/>
  <c r="H441" i="56"/>
  <c r="H443" i="56"/>
  <c r="H445" i="56"/>
  <c r="H447" i="56"/>
  <c r="H448" i="56"/>
  <c r="H449" i="56"/>
  <c r="H450" i="56"/>
  <c r="H451" i="56"/>
  <c r="H452" i="56"/>
  <c r="H453" i="56"/>
  <c r="H454" i="56"/>
  <c r="H455" i="56"/>
  <c r="H456" i="56"/>
  <c r="H457" i="56"/>
  <c r="H458" i="56"/>
  <c r="H459" i="56"/>
  <c r="H464" i="56"/>
  <c r="H465" i="56"/>
  <c r="H466" i="56"/>
  <c r="H467" i="56"/>
  <c r="H468" i="56"/>
  <c r="H469" i="56"/>
  <c r="H470" i="56"/>
  <c r="H471" i="56"/>
  <c r="H473" i="56"/>
  <c r="H476" i="56"/>
  <c r="H477" i="56"/>
  <c r="H479" i="56"/>
  <c r="H481" i="56"/>
  <c r="H483" i="56"/>
  <c r="H485" i="56"/>
  <c r="H486" i="56"/>
  <c r="H487" i="56"/>
  <c r="H488" i="56"/>
  <c r="H489" i="56"/>
  <c r="H490" i="56"/>
  <c r="H495" i="56"/>
  <c r="H496" i="56"/>
  <c r="H497" i="56"/>
  <c r="H498" i="56"/>
  <c r="H499" i="56"/>
  <c r="H500" i="56"/>
  <c r="H501" i="56"/>
  <c r="H502" i="56"/>
  <c r="H504" i="56"/>
  <c r="H505" i="56"/>
  <c r="H507" i="56"/>
  <c r="H510" i="56"/>
  <c r="H513" i="56"/>
  <c r="H515" i="56"/>
  <c r="H516" i="56"/>
  <c r="H517" i="56"/>
  <c r="H518" i="56"/>
  <c r="H519" i="56"/>
  <c r="H520" i="56"/>
  <c r="H525" i="56"/>
  <c r="H526" i="56"/>
  <c r="H527" i="56"/>
  <c r="H528" i="56"/>
  <c r="H529" i="56"/>
  <c r="H530" i="56"/>
  <c r="H531" i="56"/>
  <c r="H536" i="56"/>
  <c r="H537" i="56"/>
  <c r="H539" i="56"/>
  <c r="H540" i="56"/>
  <c r="H541" i="56"/>
  <c r="H542" i="56"/>
  <c r="H543" i="56"/>
  <c r="H544" i="56"/>
  <c r="H545" i="56"/>
  <c r="H546" i="56"/>
  <c r="H547" i="56"/>
  <c r="H548" i="56"/>
  <c r="H549" i="56"/>
  <c r="H550" i="56"/>
  <c r="H551" i="56"/>
  <c r="H556" i="56"/>
  <c r="H557" i="56"/>
  <c r="H558" i="56"/>
  <c r="H559" i="56"/>
  <c r="H561" i="56"/>
  <c r="H562" i="56"/>
  <c r="H563" i="56"/>
  <c r="H565" i="56"/>
  <c r="H567" i="56"/>
  <c r="H568" i="56"/>
  <c r="H569" i="56"/>
  <c r="H571" i="56"/>
  <c r="H573" i="56"/>
  <c r="H574" i="56"/>
  <c r="H575" i="56"/>
  <c r="H576" i="56"/>
  <c r="H577" i="56"/>
  <c r="H578" i="56"/>
  <c r="H579" i="56"/>
  <c r="H580" i="56"/>
  <c r="H581" i="56"/>
  <c r="H584" i="56"/>
  <c r="H586" i="56"/>
  <c r="H587" i="56"/>
  <c r="H589" i="56"/>
  <c r="H592" i="56"/>
  <c r="H594" i="56"/>
  <c r="H595" i="56"/>
  <c r="H597" i="56"/>
  <c r="H599" i="56"/>
  <c r="H600" i="56"/>
  <c r="H601" i="56"/>
  <c r="H603" i="56"/>
  <c r="H605" i="56"/>
  <c r="H607" i="56"/>
  <c r="H608" i="56"/>
  <c r="H609" i="56"/>
  <c r="H610" i="56"/>
  <c r="H611" i="56"/>
  <c r="H612" i="56"/>
  <c r="H617" i="56"/>
  <c r="H618" i="56"/>
  <c r="H619" i="56"/>
  <c r="H621" i="56"/>
  <c r="H626" i="56"/>
  <c r="H627" i="56"/>
  <c r="H629" i="56"/>
  <c r="H631" i="56"/>
  <c r="H632" i="56"/>
  <c r="H633" i="56"/>
  <c r="H635" i="56"/>
  <c r="H637" i="56"/>
  <c r="H638" i="56"/>
  <c r="H639" i="56"/>
  <c r="H640" i="56"/>
  <c r="H641" i="56"/>
  <c r="H642" i="56"/>
  <c r="H643" i="56"/>
  <c r="H645" i="56"/>
  <c r="H648" i="56"/>
  <c r="H649" i="56"/>
  <c r="H650" i="56"/>
  <c r="H651" i="56"/>
  <c r="H652" i="56"/>
  <c r="H653" i="56"/>
  <c r="H654" i="56"/>
  <c r="H655" i="56"/>
  <c r="H656" i="56"/>
  <c r="H657" i="56"/>
  <c r="H658" i="56"/>
  <c r="H659" i="56"/>
  <c r="H660" i="56"/>
  <c r="H661" i="56"/>
  <c r="H662" i="56"/>
  <c r="H663" i="56"/>
  <c r="H664" i="56"/>
  <c r="H665" i="56"/>
  <c r="H666" i="56"/>
  <c r="H667" i="56"/>
  <c r="H668" i="56"/>
  <c r="H669" i="56"/>
  <c r="H670" i="56"/>
  <c r="H671" i="56"/>
  <c r="H672" i="56"/>
  <c r="H673" i="56"/>
  <c r="H678" i="56"/>
  <c r="H679" i="56"/>
  <c r="H680" i="56"/>
  <c r="H681" i="56"/>
  <c r="H682" i="56"/>
  <c r="H683" i="56"/>
  <c r="H684" i="56"/>
  <c r="H685" i="56"/>
  <c r="H686" i="56"/>
  <c r="H687" i="56"/>
  <c r="H688" i="56"/>
  <c r="H689" i="56"/>
  <c r="H690" i="56"/>
  <c r="H691" i="56"/>
  <c r="H692" i="56"/>
  <c r="H693" i="56"/>
  <c r="H694" i="56"/>
  <c r="H695" i="56"/>
  <c r="H696" i="56"/>
  <c r="H697" i="56"/>
  <c r="H698" i="56"/>
  <c r="H699" i="56"/>
  <c r="H700" i="56"/>
  <c r="H701" i="56"/>
  <c r="H702" i="56"/>
  <c r="H703" i="56"/>
  <c r="H704" i="56"/>
  <c r="H709" i="56"/>
  <c r="H710" i="56"/>
  <c r="H711" i="56"/>
  <c r="H712" i="56"/>
  <c r="H713" i="56"/>
  <c r="H714" i="56"/>
  <c r="H715" i="56"/>
  <c r="H716" i="56"/>
  <c r="H717" i="56"/>
  <c r="H718" i="56"/>
  <c r="H719" i="56"/>
  <c r="H720" i="56"/>
  <c r="H721" i="56"/>
  <c r="H722" i="56"/>
  <c r="H723" i="56"/>
  <c r="H724" i="56"/>
  <c r="H725" i="56"/>
  <c r="H726" i="56"/>
  <c r="H727" i="56"/>
  <c r="H728" i="56"/>
  <c r="H729" i="56"/>
  <c r="H730" i="56"/>
  <c r="H731" i="56"/>
  <c r="H732" i="56"/>
  <c r="H733" i="56"/>
  <c r="H734" i="56"/>
  <c r="H737" i="56"/>
  <c r="H739" i="56"/>
  <c r="H740" i="56"/>
  <c r="H741" i="56"/>
  <c r="H742" i="56"/>
  <c r="H743" i="56"/>
  <c r="H744" i="56"/>
  <c r="H745" i="56"/>
  <c r="H746" i="56"/>
  <c r="H747" i="56"/>
  <c r="H748" i="56"/>
  <c r="H749" i="56"/>
  <c r="H750" i="56"/>
  <c r="H751" i="56"/>
  <c r="H752" i="56"/>
  <c r="H753" i="56"/>
  <c r="H754" i="56"/>
  <c r="H755" i="56"/>
  <c r="H756" i="56"/>
  <c r="H757" i="56"/>
  <c r="H758" i="56"/>
  <c r="H759" i="56"/>
  <c r="H760" i="56"/>
  <c r="H761" i="56"/>
  <c r="H762" i="56"/>
  <c r="H763" i="56"/>
  <c r="H764" i="56"/>
  <c r="H765" i="56"/>
  <c r="H768" i="56"/>
  <c r="H770" i="56"/>
  <c r="H771" i="56"/>
  <c r="H772" i="56"/>
  <c r="H773" i="56"/>
  <c r="H774" i="56"/>
  <c r="H775" i="56"/>
  <c r="H776" i="56"/>
  <c r="H777" i="56"/>
  <c r="H778" i="56"/>
  <c r="H779" i="56"/>
  <c r="H780" i="56"/>
  <c r="H781" i="56"/>
  <c r="H782" i="56"/>
  <c r="H783" i="56"/>
  <c r="H784" i="56"/>
  <c r="H785" i="56"/>
  <c r="H786" i="56"/>
  <c r="H787" i="56"/>
  <c r="H788" i="56"/>
  <c r="H789" i="56"/>
  <c r="H790" i="56"/>
  <c r="H791" i="56"/>
  <c r="H792" i="56"/>
  <c r="H793" i="56"/>
  <c r="H794" i="56"/>
  <c r="H795" i="56"/>
  <c r="H796" i="56"/>
  <c r="H797" i="56"/>
  <c r="H798" i="56"/>
  <c r="H799" i="56"/>
  <c r="H800" i="56"/>
  <c r="H801" i="56"/>
  <c r="H802" i="56"/>
  <c r="H803" i="56"/>
  <c r="H804" i="56"/>
  <c r="H805" i="56"/>
  <c r="H806" i="56"/>
  <c r="H807" i="56"/>
  <c r="H808" i="56"/>
  <c r="H809" i="56"/>
  <c r="H218" i="56" l="1"/>
  <c r="H158" i="56"/>
  <c r="H97" i="56"/>
  <c r="H309" i="56"/>
  <c r="H370" i="56"/>
  <c r="H735" i="56"/>
  <c r="H248" i="56"/>
  <c r="H462" i="56"/>
  <c r="H157" i="56"/>
  <c r="H96" i="56"/>
  <c r="H523" i="56"/>
  <c r="H674" i="56"/>
  <c r="H613" i="56"/>
  <c r="H279" i="56"/>
  <c r="H281" i="56"/>
  <c r="H494" i="56"/>
  <c r="H647" i="56"/>
  <c r="H708" i="56"/>
  <c r="H555" i="56"/>
  <c r="H402" i="56"/>
  <c r="H371" i="56"/>
  <c r="H342" i="56"/>
  <c r="H311" i="56"/>
  <c r="H250" i="56"/>
  <c r="H189" i="56"/>
  <c r="H766" i="56"/>
  <c r="H310" i="56"/>
  <c r="H249" i="56"/>
  <c r="H127" i="56"/>
  <c r="H615" i="56"/>
  <c r="H401" i="56"/>
  <c r="H676" i="56"/>
  <c r="H646" i="56"/>
  <c r="H463" i="56"/>
  <c r="H372" i="56"/>
  <c r="H707" i="56"/>
  <c r="H403" i="56"/>
  <c r="H219" i="56"/>
  <c r="H616" i="56"/>
  <c r="H677" i="56"/>
  <c r="H493" i="56"/>
  <c r="H341" i="56"/>
  <c r="H738" i="56"/>
  <c r="H554" i="56"/>
  <c r="H524" i="56"/>
  <c r="H188" i="56"/>
  <c r="H769" i="56"/>
  <c r="H585" i="56"/>
  <c r="H432" i="56"/>
  <c r="H280" i="56"/>
  <c r="H582" i="56"/>
  <c r="H460" i="56"/>
  <c r="H94" i="56"/>
  <c r="H369" i="56"/>
  <c r="H521" i="56"/>
  <c r="H216" i="56"/>
  <c r="H308" i="56"/>
  <c r="H155" i="56"/>
  <c r="H491" i="56"/>
  <c r="H125" i="56"/>
  <c r="H340" i="56"/>
  <c r="H156" i="56"/>
  <c r="H187" i="56"/>
  <c r="H706" i="56"/>
  <c r="H128" i="56"/>
  <c r="H186" i="56"/>
  <c r="H552" i="56"/>
  <c r="H767" i="56"/>
  <c r="H583" i="56"/>
  <c r="H675" i="56"/>
  <c r="H736" i="56"/>
  <c r="H614" i="56"/>
  <c r="H217" i="56"/>
  <c r="H461" i="56"/>
  <c r="H522" i="56"/>
  <c r="H247" i="56"/>
  <c r="G630" i="56"/>
  <c r="H630" i="56"/>
  <c r="G622" i="56"/>
  <c r="H622" i="56"/>
  <c r="G606" i="56"/>
  <c r="H606" i="56"/>
  <c r="G598" i="56"/>
  <c r="H598" i="56"/>
  <c r="G590" i="56"/>
  <c r="H590" i="56"/>
  <c r="G566" i="56"/>
  <c r="H566" i="56"/>
  <c r="G534" i="56"/>
  <c r="H534" i="56"/>
  <c r="G478" i="56"/>
  <c r="H478" i="56"/>
  <c r="G446" i="56"/>
  <c r="H446" i="56"/>
  <c r="G438" i="56"/>
  <c r="H438" i="56"/>
  <c r="H278" i="56"/>
  <c r="G270" i="56"/>
  <c r="H270" i="56"/>
  <c r="G262" i="56"/>
  <c r="H262" i="56"/>
  <c r="H705" i="56"/>
  <c r="G533" i="56"/>
  <c r="H533" i="56"/>
  <c r="G509" i="56"/>
  <c r="H509" i="56"/>
  <c r="G269" i="56"/>
  <c r="H269" i="56"/>
  <c r="G261" i="56"/>
  <c r="H261" i="56"/>
  <c r="H553" i="56"/>
  <c r="G265" i="56"/>
  <c r="H265" i="56"/>
  <c r="H644" i="56"/>
  <c r="G636" i="56"/>
  <c r="H636" i="56"/>
  <c r="G628" i="56"/>
  <c r="H628" i="56"/>
  <c r="G620" i="56"/>
  <c r="H620" i="56"/>
  <c r="G604" i="56"/>
  <c r="H604" i="56"/>
  <c r="G596" i="56"/>
  <c r="H596" i="56"/>
  <c r="G588" i="56"/>
  <c r="H588" i="56"/>
  <c r="G572" i="56"/>
  <c r="H572" i="56"/>
  <c r="G564" i="56"/>
  <c r="H564" i="56"/>
  <c r="G532" i="56"/>
  <c r="H532" i="56"/>
  <c r="G508" i="56"/>
  <c r="H508" i="56"/>
  <c r="H492" i="56"/>
  <c r="G484" i="56"/>
  <c r="H484" i="56"/>
  <c r="G444" i="56"/>
  <c r="H444" i="56"/>
  <c r="G268" i="56"/>
  <c r="H268" i="56"/>
  <c r="G260" i="56"/>
  <c r="H260" i="56"/>
  <c r="G236" i="56"/>
  <c r="H236" i="56"/>
  <c r="G475" i="56"/>
  <c r="H475" i="56"/>
  <c r="H339" i="56"/>
  <c r="G259" i="56"/>
  <c r="H259" i="56"/>
  <c r="G625" i="56"/>
  <c r="H625" i="56"/>
  <c r="G634" i="56"/>
  <c r="H634" i="56"/>
  <c r="G602" i="56"/>
  <c r="H602" i="56"/>
  <c r="G570" i="56"/>
  <c r="H570" i="56"/>
  <c r="G538" i="56"/>
  <c r="H538" i="56"/>
  <c r="G514" i="56"/>
  <c r="H514" i="56"/>
  <c r="G506" i="56"/>
  <c r="H506" i="56"/>
  <c r="G482" i="56"/>
  <c r="H482" i="56"/>
  <c r="G474" i="56"/>
  <c r="H474" i="56"/>
  <c r="G442" i="56"/>
  <c r="H442" i="56"/>
  <c r="G593" i="56"/>
  <c r="H593" i="56"/>
  <c r="G624" i="56"/>
  <c r="H624" i="56"/>
  <c r="G560" i="56"/>
  <c r="H560" i="56"/>
  <c r="G512" i="56"/>
  <c r="H512" i="56"/>
  <c r="G480" i="56"/>
  <c r="H480" i="56"/>
  <c r="G472" i="56"/>
  <c r="H472" i="56"/>
  <c r="G440" i="56"/>
  <c r="H440" i="56"/>
  <c r="H400" i="56"/>
  <c r="G272" i="56"/>
  <c r="H272" i="56"/>
  <c r="G264" i="56"/>
  <c r="H264" i="56"/>
  <c r="G273" i="56"/>
  <c r="H273" i="56"/>
  <c r="G623" i="56"/>
  <c r="H623" i="56"/>
  <c r="G591" i="56"/>
  <c r="H591" i="56"/>
  <c r="G535" i="56"/>
  <c r="H535" i="56"/>
  <c r="G511" i="56"/>
  <c r="H511" i="56"/>
  <c r="G503" i="56"/>
  <c r="H503" i="56"/>
  <c r="G439" i="56"/>
  <c r="H439" i="56"/>
  <c r="G797" i="56"/>
  <c r="G61" i="59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F662" i="56"/>
  <c r="F660" i="56"/>
  <c r="G298" i="56"/>
  <c r="G297" i="56"/>
  <c r="G293" i="56"/>
  <c r="G290" i="56"/>
  <c r="G288" i="56"/>
  <c r="G287" i="56"/>
  <c r="G286" i="56"/>
  <c r="G745" i="56"/>
  <c r="G353" i="56"/>
  <c r="G778" i="56"/>
  <c r="G746" i="56"/>
  <c r="G714" i="56"/>
  <c r="G418" i="56"/>
  <c r="G410" i="56"/>
  <c r="G386" i="56"/>
  <c r="G378" i="56"/>
  <c r="G362" i="56"/>
  <c r="G354" i="56"/>
  <c r="G330" i="56"/>
  <c r="G322" i="56"/>
  <c r="G777" i="56"/>
  <c r="G416" i="56"/>
  <c r="G384" i="56"/>
  <c r="G360" i="56"/>
  <c r="G352" i="56"/>
  <c r="G328" i="56"/>
  <c r="G320" i="56"/>
  <c r="G753" i="56"/>
  <c r="G329" i="56"/>
  <c r="G783" i="56"/>
  <c r="G751" i="56"/>
  <c r="G774" i="56"/>
  <c r="G726" i="56"/>
  <c r="G422" i="56"/>
  <c r="G414" i="56"/>
  <c r="G390" i="56"/>
  <c r="G382" i="56"/>
  <c r="G358" i="56"/>
  <c r="G350" i="56"/>
  <c r="G326" i="56"/>
  <c r="G318" i="56"/>
  <c r="G785" i="56"/>
  <c r="G361" i="56"/>
  <c r="G415" i="56"/>
  <c r="G421" i="56"/>
  <c r="G389" i="56"/>
  <c r="G357" i="56"/>
  <c r="G333" i="56"/>
  <c r="G325" i="56"/>
  <c r="G393" i="56"/>
  <c r="G776" i="56"/>
  <c r="G752" i="56"/>
  <c r="G720" i="56"/>
  <c r="G719" i="56"/>
  <c r="G788" i="56"/>
  <c r="G780" i="56"/>
  <c r="G756" i="56"/>
  <c r="G748" i="56"/>
  <c r="G724" i="56"/>
  <c r="G716" i="56"/>
  <c r="G388" i="56"/>
  <c r="G380" i="56"/>
  <c r="G332" i="56"/>
  <c r="G324" i="56"/>
  <c r="G316" i="56"/>
  <c r="G411" i="56"/>
  <c r="G387" i="56"/>
  <c r="G379" i="56"/>
  <c r="G126" i="56"/>
  <c r="G582" i="56"/>
  <c r="F661" i="56"/>
  <c r="F659" i="56"/>
  <c r="F658" i="56"/>
  <c r="G666" i="56"/>
  <c r="G682" i="56"/>
  <c r="G689" i="56"/>
  <c r="G692" i="56"/>
  <c r="G660" i="56"/>
  <c r="G698" i="56"/>
  <c r="G681" i="56"/>
  <c r="G657" i="56"/>
  <c r="G688" i="56"/>
  <c r="G680" i="56"/>
  <c r="G684" i="56"/>
  <c r="G655" i="56"/>
  <c r="G694" i="56"/>
  <c r="G662" i="56"/>
  <c r="G654" i="56"/>
  <c r="G652" i="56"/>
  <c r="G110" i="56"/>
  <c r="G106" i="56"/>
  <c r="F82" i="56"/>
  <c r="G105" i="56"/>
  <c r="F203" i="56"/>
  <c r="G234" i="56"/>
  <c r="G230" i="56"/>
  <c r="G226" i="56"/>
  <c r="G210" i="56"/>
  <c r="G202" i="56"/>
  <c r="G198" i="56"/>
  <c r="G118" i="56"/>
  <c r="G114" i="56"/>
  <c r="G233" i="56"/>
  <c r="G229" i="56"/>
  <c r="G209" i="56"/>
  <c r="G205" i="56"/>
  <c r="G201" i="56"/>
  <c r="G197" i="56"/>
  <c r="G117" i="56"/>
  <c r="G113" i="56"/>
  <c r="G109" i="56"/>
  <c r="G232" i="56"/>
  <c r="G224" i="56"/>
  <c r="G208" i="56"/>
  <c r="G116" i="56"/>
  <c r="G112" i="56"/>
  <c r="G108" i="56"/>
  <c r="G104" i="56"/>
  <c r="G103" i="56"/>
  <c r="G204" i="56"/>
  <c r="F204" i="56"/>
  <c r="G206" i="56"/>
  <c r="F206" i="56"/>
  <c r="G147" i="56"/>
  <c r="G146" i="56"/>
  <c r="G142" i="56"/>
  <c r="G138" i="56"/>
  <c r="G149" i="56"/>
  <c r="G145" i="56"/>
  <c r="G141" i="56"/>
  <c r="G137" i="56"/>
  <c r="G339" i="56"/>
  <c r="G127" i="56"/>
  <c r="G796" i="56"/>
  <c r="G492" i="56"/>
  <c r="G102" i="56"/>
  <c r="G98" i="56"/>
  <c r="G764" i="56"/>
  <c r="G708" i="56"/>
  <c r="G648" i="56"/>
  <c r="G584" i="56"/>
  <c r="G556" i="56"/>
  <c r="G548" i="56"/>
  <c r="G540" i="56"/>
  <c r="G528" i="56"/>
  <c r="G500" i="56"/>
  <c r="G464" i="56"/>
  <c r="G460" i="56"/>
  <c r="G448" i="56"/>
  <c r="G527" i="56"/>
  <c r="G519" i="56"/>
  <c r="G495" i="56"/>
  <c r="G487" i="56"/>
  <c r="G471" i="56"/>
  <c r="G467" i="56"/>
  <c r="G451" i="56"/>
  <c r="G435" i="56"/>
  <c r="G407" i="56"/>
  <c r="G403" i="56"/>
  <c r="G375" i="56"/>
  <c r="G371" i="56"/>
  <c r="G347" i="56"/>
  <c r="G343" i="56"/>
  <c r="G315" i="56"/>
  <c r="G311" i="56"/>
  <c r="G307" i="56"/>
  <c r="G283" i="56"/>
  <c r="G279" i="56"/>
  <c r="G251" i="56"/>
  <c r="G243" i="56"/>
  <c r="G223" i="56"/>
  <c r="G219" i="56"/>
  <c r="G215" i="56"/>
  <c r="G211" i="56"/>
  <c r="G195" i="56"/>
  <c r="G187" i="56"/>
  <c r="G183" i="56"/>
  <c r="G163" i="56"/>
  <c r="G155" i="56"/>
  <c r="G151" i="56"/>
  <c r="G131" i="56"/>
  <c r="G99" i="56"/>
  <c r="G794" i="56"/>
  <c r="G790" i="56"/>
  <c r="G762" i="56"/>
  <c r="G758" i="56"/>
  <c r="G742" i="56"/>
  <c r="G730" i="56"/>
  <c r="G710" i="56"/>
  <c r="G678" i="56"/>
  <c r="G670" i="56"/>
  <c r="G650" i="56"/>
  <c r="G638" i="56"/>
  <c r="G618" i="56"/>
  <c r="G614" i="56"/>
  <c r="G610" i="56"/>
  <c r="G586" i="56"/>
  <c r="G558" i="56"/>
  <c r="G546" i="56"/>
  <c r="G542" i="56"/>
  <c r="G530" i="56"/>
  <c r="G518" i="56"/>
  <c r="G502" i="56"/>
  <c r="G498" i="56"/>
  <c r="G490" i="56"/>
  <c r="G486" i="56"/>
  <c r="G470" i="56"/>
  <c r="G466" i="56"/>
  <c r="G458" i="56"/>
  <c r="G454" i="56"/>
  <c r="G450" i="56"/>
  <c r="G430" i="56"/>
  <c r="G426" i="56"/>
  <c r="G398" i="56"/>
  <c r="G394" i="56"/>
  <c r="G374" i="56"/>
  <c r="G366" i="56"/>
  <c r="G346" i="56"/>
  <c r="G338" i="56"/>
  <c r="G314" i="56"/>
  <c r="G306" i="56"/>
  <c r="G302" i="56"/>
  <c r="G282" i="56"/>
  <c r="G274" i="56"/>
  <c r="G258" i="56"/>
  <c r="G254" i="56"/>
  <c r="G250" i="56"/>
  <c r="G242" i="56"/>
  <c r="G238" i="56"/>
  <c r="G222" i="56"/>
  <c r="G218" i="56"/>
  <c r="G214" i="56"/>
  <c r="G194" i="56"/>
  <c r="G190" i="56"/>
  <c r="G186" i="56"/>
  <c r="G182" i="56"/>
  <c r="G162" i="56"/>
  <c r="G154" i="56"/>
  <c r="G150" i="56"/>
  <c r="G134" i="56"/>
  <c r="G130" i="56"/>
  <c r="G122" i="56"/>
  <c r="G769" i="56"/>
  <c r="G737" i="56"/>
  <c r="G705" i="56"/>
  <c r="G641" i="56"/>
  <c r="G617" i="56"/>
  <c r="G609" i="56"/>
  <c r="G577" i="56"/>
  <c r="G545" i="56"/>
  <c r="G525" i="56"/>
  <c r="G517" i="56"/>
  <c r="G497" i="56"/>
  <c r="G493" i="56"/>
  <c r="G469" i="56"/>
  <c r="G465" i="56"/>
  <c r="G457" i="56"/>
  <c r="G453" i="56"/>
  <c r="G437" i="56"/>
  <c r="G429" i="56"/>
  <c r="G425" i="56"/>
  <c r="G405" i="56"/>
  <c r="G397" i="56"/>
  <c r="G373" i="56"/>
  <c r="G365" i="56"/>
  <c r="G341" i="56"/>
  <c r="G337" i="56"/>
  <c r="G305" i="56"/>
  <c r="G301" i="56"/>
  <c r="G277" i="56"/>
  <c r="G253" i="56"/>
  <c r="G245" i="56"/>
  <c r="G241" i="56"/>
  <c r="G237" i="56"/>
  <c r="G181" i="56"/>
  <c r="G161" i="56"/>
  <c r="G153" i="56"/>
  <c r="G133" i="56"/>
  <c r="G125" i="56"/>
  <c r="G101" i="56"/>
  <c r="G772" i="56"/>
  <c r="G740" i="56"/>
  <c r="G732" i="56"/>
  <c r="G712" i="56"/>
  <c r="G700" i="56"/>
  <c r="G676" i="56"/>
  <c r="G668" i="56"/>
  <c r="G644" i="56"/>
  <c r="G580" i="56"/>
  <c r="G552" i="56"/>
  <c r="G524" i="56"/>
  <c r="G496" i="56"/>
  <c r="G468" i="56"/>
  <c r="G456" i="56"/>
  <c r="G452" i="56"/>
  <c r="G436" i="56"/>
  <c r="G432" i="56"/>
  <c r="G428" i="56"/>
  <c r="G424" i="56"/>
  <c r="G408" i="56"/>
  <c r="G404" i="56"/>
  <c r="G400" i="56"/>
  <c r="G396" i="56"/>
  <c r="G376" i="56"/>
  <c r="G372" i="56"/>
  <c r="G368" i="56"/>
  <c r="G364" i="56"/>
  <c r="G344" i="56"/>
  <c r="G340" i="56"/>
  <c r="G336" i="56"/>
  <c r="G312" i="56"/>
  <c r="G304" i="56"/>
  <c r="G300" i="56"/>
  <c r="G280" i="56"/>
  <c r="G276" i="56"/>
  <c r="G256" i="56"/>
  <c r="G252" i="56"/>
  <c r="G244" i="56"/>
  <c r="G240" i="56"/>
  <c r="G216" i="56"/>
  <c r="G212" i="56"/>
  <c r="G196" i="56"/>
  <c r="G192" i="56"/>
  <c r="G188" i="56"/>
  <c r="G184" i="56"/>
  <c r="G160" i="56"/>
  <c r="G156" i="56"/>
  <c r="G152" i="56"/>
  <c r="G136" i="56"/>
  <c r="G132" i="56"/>
  <c r="G128" i="56"/>
  <c r="G124" i="56"/>
  <c r="G120" i="56"/>
  <c r="G100" i="56"/>
  <c r="G158" i="56"/>
  <c r="G554" i="56"/>
  <c r="G401" i="56"/>
  <c r="G309" i="56"/>
  <c r="G189" i="56"/>
  <c r="G66" i="56"/>
  <c r="H66" i="56"/>
  <c r="G248" i="56"/>
  <c r="G174" i="56"/>
  <c r="G166" i="56"/>
  <c r="G180" i="56"/>
  <c r="G176" i="56"/>
  <c r="G172" i="56"/>
  <c r="G168" i="56"/>
  <c r="G179" i="56"/>
  <c r="G175" i="56"/>
  <c r="G178" i="56"/>
  <c r="G170" i="56"/>
  <c r="G177" i="56"/>
  <c r="G173" i="56"/>
  <c r="G165" i="56"/>
  <c r="G522" i="56"/>
  <c r="G278" i="56"/>
  <c r="G673" i="56"/>
  <c r="G461" i="56"/>
  <c r="G247" i="56"/>
  <c r="G369" i="56"/>
  <c r="G157" i="56"/>
  <c r="G612" i="56"/>
  <c r="G308" i="56"/>
  <c r="G95" i="56"/>
  <c r="G75" i="56"/>
  <c r="G71" i="56"/>
  <c r="G67" i="56"/>
  <c r="G462" i="56"/>
  <c r="G96" i="56"/>
  <c r="G92" i="56"/>
  <c r="G88" i="56"/>
  <c r="G84" i="56"/>
  <c r="G80" i="56"/>
  <c r="G72" i="56"/>
  <c r="G68" i="56"/>
  <c r="G64" i="56"/>
  <c r="G60" i="56"/>
  <c r="G56" i="56"/>
  <c r="G94" i="56"/>
  <c r="G90" i="56"/>
  <c r="G86" i="56"/>
  <c r="G82" i="56"/>
  <c r="G78" i="56"/>
  <c r="G74" i="56"/>
  <c r="G70" i="56"/>
  <c r="G62" i="56"/>
  <c r="G89" i="56"/>
  <c r="G85" i="56"/>
  <c r="G81" i="56"/>
  <c r="G69" i="56"/>
  <c r="G61" i="56"/>
  <c r="G57" i="56"/>
  <c r="G802" i="56"/>
  <c r="G750" i="56"/>
  <c r="G734" i="56"/>
  <c r="G722" i="56"/>
  <c r="G686" i="56"/>
  <c r="G674" i="56"/>
  <c r="G626" i="56"/>
  <c r="G578" i="56"/>
  <c r="G510" i="56"/>
  <c r="G809" i="56"/>
  <c r="G801" i="56"/>
  <c r="G793" i="56"/>
  <c r="G773" i="56"/>
  <c r="G765" i="56"/>
  <c r="G757" i="56"/>
  <c r="G741" i="56"/>
  <c r="G733" i="56"/>
  <c r="G725" i="56"/>
  <c r="G717" i="56"/>
  <c r="G709" i="56"/>
  <c r="G701" i="56"/>
  <c r="G693" i="56"/>
  <c r="G685" i="56"/>
  <c r="G649" i="56"/>
  <c r="G633" i="56"/>
  <c r="G808" i="56"/>
  <c r="G800" i="56"/>
  <c r="G792" i="56"/>
  <c r="G784" i="56"/>
  <c r="G768" i="56"/>
  <c r="G760" i="56"/>
  <c r="G744" i="56"/>
  <c r="G736" i="56"/>
  <c r="G696" i="56"/>
  <c r="G672" i="56"/>
  <c r="G664" i="56"/>
  <c r="G656" i="56"/>
  <c r="G640" i="56"/>
  <c r="G632" i="56"/>
  <c r="G616" i="56"/>
  <c r="G608" i="56"/>
  <c r="G600" i="56"/>
  <c r="G592" i="56"/>
  <c r="G576" i="56"/>
  <c r="G568" i="56"/>
  <c r="G544" i="56"/>
  <c r="G536" i="56"/>
  <c r="G520" i="56"/>
  <c r="G504" i="56"/>
  <c r="G488" i="56"/>
  <c r="G392" i="56"/>
  <c r="G356" i="56"/>
  <c r="G348" i="56"/>
  <c r="G296" i="56"/>
  <c r="G292" i="56"/>
  <c r="G284" i="56"/>
  <c r="G228" i="56"/>
  <c r="G220" i="56"/>
  <c r="G200" i="56"/>
  <c r="G164" i="56"/>
  <c r="G148" i="56"/>
  <c r="G144" i="56"/>
  <c r="G140" i="56"/>
  <c r="G76" i="56"/>
  <c r="G806" i="56"/>
  <c r="G782" i="56"/>
  <c r="G770" i="56"/>
  <c r="G766" i="56"/>
  <c r="G754" i="56"/>
  <c r="G718" i="56"/>
  <c r="G706" i="56"/>
  <c r="G658" i="56"/>
  <c r="G646" i="56"/>
  <c r="G574" i="56"/>
  <c r="G562" i="56"/>
  <c r="G550" i="56"/>
  <c r="G526" i="56"/>
  <c r="G805" i="56"/>
  <c r="G789" i="56"/>
  <c r="G781" i="56"/>
  <c r="G761" i="56"/>
  <c r="G749" i="56"/>
  <c r="G729" i="56"/>
  <c r="G721" i="56"/>
  <c r="G713" i="56"/>
  <c r="G697" i="56"/>
  <c r="G677" i="56"/>
  <c r="G669" i="56"/>
  <c r="G665" i="56"/>
  <c r="G661" i="56"/>
  <c r="G653" i="56"/>
  <c r="G645" i="56"/>
  <c r="G637" i="56"/>
  <c r="G629" i="56"/>
  <c r="G621" i="56"/>
  <c r="G613" i="56"/>
  <c r="G804" i="56"/>
  <c r="G728" i="56"/>
  <c r="G704" i="56"/>
  <c r="G516" i="56"/>
  <c r="G476" i="56"/>
  <c r="G420" i="56"/>
  <c r="G412" i="56"/>
  <c r="G812" i="56"/>
  <c r="G807" i="56"/>
  <c r="G803" i="56"/>
  <c r="G799" i="56"/>
  <c r="G795" i="56"/>
  <c r="G791" i="56"/>
  <c r="G787" i="56"/>
  <c r="G779" i="56"/>
  <c r="G775" i="56"/>
  <c r="G771" i="56"/>
  <c r="I767" i="56"/>
  <c r="G767" i="56"/>
  <c r="G763" i="56"/>
  <c r="G759" i="56"/>
  <c r="G755" i="56"/>
  <c r="G747" i="56"/>
  <c r="G743" i="56"/>
  <c r="G739" i="56"/>
  <c r="G735" i="56"/>
  <c r="G731" i="56"/>
  <c r="G727" i="56"/>
  <c r="G723" i="56"/>
  <c r="G715" i="56"/>
  <c r="G711" i="56"/>
  <c r="G707" i="56"/>
  <c r="G703" i="56"/>
  <c r="G699" i="56"/>
  <c r="G695" i="56"/>
  <c r="G691" i="56"/>
  <c r="G687" i="56"/>
  <c r="G683" i="56"/>
  <c r="G679" i="56"/>
  <c r="G675" i="56"/>
  <c r="G671" i="56"/>
  <c r="G667" i="56"/>
  <c r="G663" i="56"/>
  <c r="G659" i="56"/>
  <c r="G651" i="56"/>
  <c r="G647" i="56"/>
  <c r="G643" i="56"/>
  <c r="G639" i="56"/>
  <c r="G635" i="56"/>
  <c r="G631" i="56"/>
  <c r="G627" i="56"/>
  <c r="G619" i="56"/>
  <c r="G615" i="56"/>
  <c r="G611" i="56"/>
  <c r="G607" i="56"/>
  <c r="G603" i="56"/>
  <c r="G599" i="56"/>
  <c r="G595" i="56"/>
  <c r="G587" i="56"/>
  <c r="I583" i="56"/>
  <c r="G583" i="56"/>
  <c r="G579" i="56"/>
  <c r="G575" i="56"/>
  <c r="G571" i="56"/>
  <c r="G567" i="56"/>
  <c r="G563" i="56"/>
  <c r="G559" i="56"/>
  <c r="G555" i="56"/>
  <c r="G551" i="56"/>
  <c r="G547" i="56"/>
  <c r="G543" i="56"/>
  <c r="G539" i="56"/>
  <c r="G531" i="56"/>
  <c r="G523" i="56"/>
  <c r="G515" i="56"/>
  <c r="G507" i="56"/>
  <c r="G499" i="56"/>
  <c r="G491" i="56"/>
  <c r="G483" i="56"/>
  <c r="G479" i="56"/>
  <c r="G463" i="56"/>
  <c r="G459" i="56"/>
  <c r="G455" i="56"/>
  <c r="G447" i="56"/>
  <c r="G443" i="56"/>
  <c r="G431" i="56"/>
  <c r="G427" i="56"/>
  <c r="G423" i="56"/>
  <c r="G419" i="56"/>
  <c r="G399" i="56"/>
  <c r="G395" i="56"/>
  <c r="G391" i="56"/>
  <c r="G383" i="56"/>
  <c r="G367" i="56"/>
  <c r="G363" i="56"/>
  <c r="G359" i="56"/>
  <c r="G355" i="56"/>
  <c r="G351" i="56"/>
  <c r="G335" i="56"/>
  <c r="G331" i="56"/>
  <c r="G327" i="56"/>
  <c r="G323" i="56"/>
  <c r="G319" i="56"/>
  <c r="G303" i="56"/>
  <c r="G299" i="56"/>
  <c r="G295" i="56"/>
  <c r="G291" i="56"/>
  <c r="G275" i="56"/>
  <c r="G271" i="56"/>
  <c r="G267" i="56"/>
  <c r="G263" i="56"/>
  <c r="G255" i="56"/>
  <c r="G239" i="56"/>
  <c r="G235" i="56"/>
  <c r="G231" i="56"/>
  <c r="G227" i="56"/>
  <c r="G207" i="56"/>
  <c r="G203" i="56"/>
  <c r="G199" i="56"/>
  <c r="G191" i="56"/>
  <c r="G171" i="56"/>
  <c r="G167" i="56"/>
  <c r="G159" i="56"/>
  <c r="G143" i="56"/>
  <c r="G139" i="56"/>
  <c r="G135" i="56"/>
  <c r="G123" i="56"/>
  <c r="G119" i="56"/>
  <c r="G115" i="56"/>
  <c r="G111" i="56"/>
  <c r="G107" i="56"/>
  <c r="G91" i="56"/>
  <c r="G87" i="56"/>
  <c r="G83" i="56"/>
  <c r="G79" i="56"/>
  <c r="G63" i="56"/>
  <c r="G59" i="56"/>
  <c r="G55" i="56"/>
  <c r="G810" i="56"/>
  <c r="G798" i="56"/>
  <c r="G786" i="56"/>
  <c r="G738" i="56"/>
  <c r="G702" i="56"/>
  <c r="G690" i="56"/>
  <c r="G642" i="56"/>
  <c r="G594" i="56"/>
  <c r="G494" i="56"/>
  <c r="G434" i="56"/>
  <c r="G406" i="56"/>
  <c r="I402" i="56"/>
  <c r="G402" i="56"/>
  <c r="G370" i="56"/>
  <c r="G342" i="56"/>
  <c r="G334" i="56"/>
  <c r="I310" i="56"/>
  <c r="G310" i="56"/>
  <c r="G294" i="56"/>
  <c r="G266" i="56"/>
  <c r="G246" i="56"/>
  <c r="G58" i="56"/>
  <c r="G54" i="56"/>
  <c r="G605" i="56"/>
  <c r="G601" i="56"/>
  <c r="G597" i="56"/>
  <c r="G589" i="56"/>
  <c r="G585" i="56"/>
  <c r="G581" i="56"/>
  <c r="G573" i="56"/>
  <c r="G569" i="56"/>
  <c r="G565" i="56"/>
  <c r="G561" i="56"/>
  <c r="G557" i="56"/>
  <c r="G553" i="56"/>
  <c r="G549" i="56"/>
  <c r="G541" i="56"/>
  <c r="G537" i="56"/>
  <c r="G529" i="56"/>
  <c r="G521" i="56"/>
  <c r="G513" i="56"/>
  <c r="G505" i="56"/>
  <c r="G501" i="56"/>
  <c r="G489" i="56"/>
  <c r="G485" i="56"/>
  <c r="G481" i="56"/>
  <c r="G477" i="56"/>
  <c r="G473" i="56"/>
  <c r="G449" i="56"/>
  <c r="G445" i="56"/>
  <c r="G441" i="56"/>
  <c r="G433" i="56"/>
  <c r="G417" i="56"/>
  <c r="G413" i="56"/>
  <c r="G409" i="56"/>
  <c r="G385" i="56"/>
  <c r="G381" i="56"/>
  <c r="G377" i="56"/>
  <c r="G349" i="56"/>
  <c r="G345" i="56"/>
  <c r="G321" i="56"/>
  <c r="G317" i="56"/>
  <c r="G313" i="56"/>
  <c r="G289" i="56"/>
  <c r="G285" i="56"/>
  <c r="G281" i="56"/>
  <c r="G257" i="56"/>
  <c r="G249" i="56"/>
  <c r="G225" i="56"/>
  <c r="G221" i="56"/>
  <c r="G217" i="56"/>
  <c r="G213" i="56"/>
  <c r="G193" i="56"/>
  <c r="G185" i="56"/>
  <c r="G169" i="56"/>
  <c r="G129" i="56"/>
  <c r="G121" i="56"/>
  <c r="G97" i="56"/>
  <c r="G93" i="56"/>
  <c r="G77" i="56"/>
  <c r="G73" i="56"/>
  <c r="G65" i="56"/>
  <c r="I675" i="56"/>
  <c r="I218" i="56"/>
  <c r="I66" i="56"/>
  <c r="I249" i="56"/>
  <c r="I705" i="56"/>
  <c r="I189" i="56"/>
  <c r="I158" i="56"/>
  <c r="I736" i="56"/>
  <c r="I644" i="56"/>
  <c r="I524" i="56"/>
  <c r="I432" i="56"/>
  <c r="I340" i="56"/>
  <c r="E3" i="47"/>
  <c r="I97" i="56"/>
  <c r="I614" i="56"/>
  <c r="I493" i="56"/>
  <c r="I463" i="56"/>
  <c r="I371" i="56"/>
  <c r="I279" i="56"/>
  <c r="I127" i="56"/>
  <c r="I797" i="56"/>
  <c r="I555" i="56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I139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F230" i="47"/>
  <c r="F291" i="47"/>
  <c r="G322" i="47"/>
  <c r="I323" i="49" s="1"/>
  <c r="G109" i="47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230" i="47"/>
  <c r="I231" i="49" s="1"/>
  <c r="G170" i="47"/>
  <c r="G78" i="47"/>
  <c r="G48" i="47"/>
  <c r="G17" i="47"/>
  <c r="I18" i="49" s="1"/>
  <c r="G139" i="47"/>
  <c r="G291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F260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F199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F169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F138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F460" i="59"/>
  <c r="E64" i="59"/>
  <c r="A67" i="59"/>
  <c r="G66" i="59" l="1"/>
  <c r="H66" i="59"/>
  <c r="G460" i="59"/>
  <c r="H460" i="59"/>
  <c r="G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H597" i="59"/>
  <c r="E459" i="59"/>
  <c r="A462" i="59"/>
  <c r="A68" i="59"/>
  <c r="I30" i="6"/>
  <c r="I28" i="6"/>
  <c r="I24" i="6"/>
  <c r="I21" i="6"/>
  <c r="I20" i="6"/>
  <c r="I18" i="6"/>
  <c r="I17" i="6"/>
  <c r="I16" i="6"/>
  <c r="I23" i="6"/>
  <c r="I14" i="6"/>
  <c r="I13" i="6"/>
  <c r="I12" i="6"/>
  <c r="I11" i="6"/>
  <c r="I10" i="6"/>
  <c r="I9" i="6"/>
  <c r="H30" i="6"/>
  <c r="H29" i="6"/>
  <c r="H28" i="6"/>
  <c r="H24" i="6"/>
  <c r="H21" i="6"/>
  <c r="H20" i="6"/>
  <c r="H18" i="6"/>
  <c r="H17" i="6"/>
  <c r="H16" i="6"/>
  <c r="H23" i="6"/>
  <c r="H14" i="6"/>
  <c r="H13" i="6"/>
  <c r="H12" i="6"/>
  <c r="H11" i="6"/>
  <c r="H10" i="6"/>
  <c r="H9" i="6"/>
  <c r="G30" i="6"/>
  <c r="G28" i="6"/>
  <c r="G24" i="6"/>
  <c r="G21" i="6"/>
  <c r="G20" i="6"/>
  <c r="G17" i="6"/>
  <c r="G16" i="6"/>
  <c r="G23" i="6"/>
  <c r="G14" i="6"/>
  <c r="G13" i="6"/>
  <c r="G11" i="6"/>
  <c r="G10" i="6"/>
  <c r="G9" i="6"/>
  <c r="F29" i="6"/>
  <c r="F28" i="6"/>
  <c r="F24" i="6"/>
  <c r="F21" i="6"/>
  <c r="F20" i="6"/>
  <c r="F18" i="6"/>
  <c r="F17" i="6"/>
  <c r="F16" i="6"/>
  <c r="F23" i="6"/>
  <c r="F14" i="6"/>
  <c r="F13" i="6"/>
  <c r="F12" i="6"/>
  <c r="F11" i="6"/>
  <c r="F10" i="6"/>
  <c r="K30" i="6"/>
  <c r="K28" i="6"/>
  <c r="K24" i="6"/>
  <c r="K21" i="6"/>
  <c r="K20" i="6"/>
  <c r="K18" i="6"/>
  <c r="K17" i="6"/>
  <c r="K16" i="6"/>
  <c r="K23" i="6"/>
  <c r="K14" i="6"/>
  <c r="K13" i="6"/>
  <c r="K12" i="6"/>
  <c r="K11" i="6"/>
  <c r="K9" i="6"/>
  <c r="J30" i="6"/>
  <c r="J29" i="6"/>
  <c r="J28" i="6"/>
  <c r="J24" i="6"/>
  <c r="J21" i="6"/>
  <c r="J20" i="6"/>
  <c r="J18" i="6"/>
  <c r="J17" i="6"/>
  <c r="J16" i="6"/>
  <c r="J23" i="6"/>
  <c r="J14" i="6"/>
  <c r="J13" i="6"/>
  <c r="J12" i="6"/>
  <c r="J11" i="6"/>
  <c r="J10" i="6"/>
  <c r="J9" i="6"/>
  <c r="H27" i="6" l="1"/>
  <c r="F27" i="6"/>
  <c r="J27" i="6"/>
  <c r="F15" i="6"/>
  <c r="F22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3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6" i="44"/>
  <c r="C45" i="44"/>
  <c r="C35" i="44"/>
  <c r="C44" i="44"/>
  <c r="C38" i="44"/>
  <c r="C39" i="44"/>
  <c r="C34" i="44"/>
  <c r="C42" i="44"/>
  <c r="C46" i="44"/>
  <c r="C40" i="44"/>
  <c r="C41" i="44"/>
  <c r="F53" i="56"/>
  <c r="F54" i="56"/>
  <c r="F55" i="56"/>
  <c r="F56" i="56"/>
  <c r="F57" i="56"/>
  <c r="F58" i="56"/>
  <c r="E59" i="56"/>
  <c r="F59" i="56"/>
  <c r="E60" i="56"/>
  <c r="F60" i="56"/>
  <c r="E61" i="56"/>
  <c r="F61" i="56"/>
  <c r="E62" i="56"/>
  <c r="F62" i="56"/>
  <c r="E63" i="56"/>
  <c r="F63" i="56"/>
  <c r="E64" i="56"/>
  <c r="F64" i="56"/>
  <c r="E65" i="56"/>
  <c r="F65" i="56"/>
  <c r="E66" i="56"/>
  <c r="F66" i="56"/>
  <c r="E67" i="56"/>
  <c r="F67" i="56"/>
  <c r="E68" i="56"/>
  <c r="F68" i="56"/>
  <c r="E69" i="56"/>
  <c r="F69" i="56"/>
  <c r="E70" i="56"/>
  <c r="F70" i="56"/>
  <c r="E71" i="56"/>
  <c r="F71" i="56"/>
  <c r="E72" i="56"/>
  <c r="F72" i="56"/>
  <c r="E73" i="56"/>
  <c r="F73" i="56"/>
  <c r="E74" i="56"/>
  <c r="F74" i="56"/>
  <c r="E75" i="56"/>
  <c r="F75" i="56"/>
  <c r="E76" i="56"/>
  <c r="F76" i="56"/>
  <c r="E77" i="56"/>
  <c r="F77" i="56"/>
  <c r="E78" i="56"/>
  <c r="F78" i="56"/>
  <c r="E79" i="56"/>
  <c r="F79" i="56"/>
  <c r="E80" i="56"/>
  <c r="F80" i="56"/>
  <c r="E81" i="56"/>
  <c r="F81" i="56"/>
  <c r="E82" i="56"/>
  <c r="E83" i="56"/>
  <c r="F83" i="56"/>
  <c r="E84" i="56"/>
  <c r="F84" i="56"/>
  <c r="E85" i="56"/>
  <c r="F85" i="56"/>
  <c r="E86" i="56"/>
  <c r="F86" i="56"/>
  <c r="E87" i="56"/>
  <c r="F87" i="56"/>
  <c r="E88" i="56"/>
  <c r="F88" i="56"/>
  <c r="E89" i="56"/>
  <c r="F89" i="56"/>
  <c r="E90" i="56"/>
  <c r="F90" i="56"/>
  <c r="E91" i="56"/>
  <c r="F91" i="56"/>
  <c r="E92" i="56"/>
  <c r="F92" i="56"/>
  <c r="E93" i="56"/>
  <c r="F93" i="56"/>
  <c r="E94" i="56"/>
  <c r="F94" i="56"/>
  <c r="E95" i="56"/>
  <c r="F95" i="56"/>
  <c r="E96" i="56"/>
  <c r="F96" i="56"/>
  <c r="E97" i="56"/>
  <c r="F97" i="56"/>
  <c r="E98" i="56"/>
  <c r="F98" i="56"/>
  <c r="E99" i="56"/>
  <c r="F99" i="56"/>
  <c r="E100" i="56"/>
  <c r="F100" i="56"/>
  <c r="E101" i="56"/>
  <c r="F101" i="56"/>
  <c r="E102" i="56"/>
  <c r="F102" i="56"/>
  <c r="E103" i="56"/>
  <c r="F103" i="56"/>
  <c r="E104" i="56"/>
  <c r="F104" i="56"/>
  <c r="E105" i="56"/>
  <c r="F105" i="56"/>
  <c r="E106" i="56"/>
  <c r="F106" i="56"/>
  <c r="E107" i="56"/>
  <c r="F107" i="56"/>
  <c r="E108" i="56"/>
  <c r="F108" i="56"/>
  <c r="E109" i="56"/>
  <c r="F109" i="56"/>
  <c r="E110" i="56"/>
  <c r="F110" i="56"/>
  <c r="E111" i="56"/>
  <c r="F111" i="56"/>
  <c r="E112" i="56"/>
  <c r="F112" i="56"/>
  <c r="E113" i="56"/>
  <c r="F113" i="56"/>
  <c r="E114" i="56"/>
  <c r="F114" i="56"/>
  <c r="E115" i="56"/>
  <c r="F115" i="56"/>
  <c r="E116" i="56"/>
  <c r="F116" i="56"/>
  <c r="E117" i="56"/>
  <c r="F117" i="56"/>
  <c r="E118" i="56"/>
  <c r="F118" i="56"/>
  <c r="E119" i="56"/>
  <c r="F119" i="56"/>
  <c r="E120" i="56"/>
  <c r="F120" i="56"/>
  <c r="E121" i="56"/>
  <c r="F121" i="56"/>
  <c r="E122" i="56"/>
  <c r="F122" i="56"/>
  <c r="E123" i="56"/>
  <c r="F123" i="56"/>
  <c r="E124" i="56"/>
  <c r="F124" i="56"/>
  <c r="E125" i="56"/>
  <c r="F125" i="56"/>
  <c r="E126" i="56"/>
  <c r="F126" i="56"/>
  <c r="E127" i="56"/>
  <c r="F127" i="56"/>
  <c r="E128" i="56"/>
  <c r="F128" i="56"/>
  <c r="E129" i="56"/>
  <c r="F129" i="56"/>
  <c r="E130" i="56"/>
  <c r="F130" i="56"/>
  <c r="E131" i="56"/>
  <c r="F131" i="56"/>
  <c r="E132" i="56"/>
  <c r="F132" i="56"/>
  <c r="E133" i="56"/>
  <c r="F133" i="56"/>
  <c r="E134" i="56"/>
  <c r="F134" i="56"/>
  <c r="E135" i="56"/>
  <c r="F135" i="56"/>
  <c r="E136" i="56"/>
  <c r="F136" i="56"/>
  <c r="E137" i="56"/>
  <c r="F137" i="56"/>
  <c r="E138" i="56"/>
  <c r="F138" i="56"/>
  <c r="E139" i="56"/>
  <c r="F139" i="56"/>
  <c r="E140" i="56"/>
  <c r="F140" i="56"/>
  <c r="E141" i="56"/>
  <c r="F141" i="56"/>
  <c r="E142" i="56"/>
  <c r="F142" i="56"/>
  <c r="E143" i="56"/>
  <c r="F143" i="56"/>
  <c r="E144" i="56"/>
  <c r="F144" i="56"/>
  <c r="E145" i="56"/>
  <c r="F145" i="56"/>
  <c r="E146" i="56"/>
  <c r="F146" i="56"/>
  <c r="E147" i="56"/>
  <c r="F147" i="56"/>
  <c r="E148" i="56"/>
  <c r="F148" i="56"/>
  <c r="E149" i="56"/>
  <c r="F149" i="56"/>
  <c r="E150" i="56"/>
  <c r="F150" i="56"/>
  <c r="E151" i="56"/>
  <c r="F151" i="56"/>
  <c r="E152" i="56"/>
  <c r="F152" i="56"/>
  <c r="E153" i="56"/>
  <c r="F153" i="56"/>
  <c r="E154" i="56"/>
  <c r="F154" i="56"/>
  <c r="E155" i="56"/>
  <c r="F155" i="56"/>
  <c r="E156" i="56"/>
  <c r="F156" i="56"/>
  <c r="E157" i="56"/>
  <c r="F157" i="56"/>
  <c r="E158" i="56"/>
  <c r="F158" i="56"/>
  <c r="E159" i="56"/>
  <c r="F159" i="56"/>
  <c r="E160" i="56"/>
  <c r="F160" i="56"/>
  <c r="E161" i="56"/>
  <c r="F161" i="56"/>
  <c r="E162" i="56"/>
  <c r="F162" i="56"/>
  <c r="E163" i="56"/>
  <c r="F163" i="56"/>
  <c r="E164" i="56"/>
  <c r="F164" i="56"/>
  <c r="E165" i="56"/>
  <c r="F165" i="56"/>
  <c r="E166" i="56"/>
  <c r="F166" i="56"/>
  <c r="E167" i="56"/>
  <c r="F167" i="56"/>
  <c r="E168" i="56"/>
  <c r="F168" i="56"/>
  <c r="E169" i="56"/>
  <c r="F169" i="56"/>
  <c r="E170" i="56"/>
  <c r="F170" i="56"/>
  <c r="E171" i="56"/>
  <c r="F171" i="56"/>
  <c r="E172" i="56"/>
  <c r="F172" i="56"/>
  <c r="E173" i="56"/>
  <c r="F173" i="56"/>
  <c r="E174" i="56"/>
  <c r="F174" i="56"/>
  <c r="E175" i="56"/>
  <c r="F175" i="56"/>
  <c r="E176" i="56"/>
  <c r="F176" i="56"/>
  <c r="E177" i="56"/>
  <c r="F177" i="56"/>
  <c r="E178" i="56"/>
  <c r="F178" i="56"/>
  <c r="E179" i="56"/>
  <c r="F179" i="56"/>
  <c r="E180" i="56"/>
  <c r="F180" i="56"/>
  <c r="E181" i="56"/>
  <c r="F181" i="56"/>
  <c r="E182" i="56"/>
  <c r="F182" i="56"/>
  <c r="E183" i="56"/>
  <c r="F183" i="56"/>
  <c r="E184" i="56"/>
  <c r="F184" i="56"/>
  <c r="E185" i="56"/>
  <c r="F185" i="56"/>
  <c r="E186" i="56"/>
  <c r="F186" i="56"/>
  <c r="E187" i="56"/>
  <c r="F187" i="56"/>
  <c r="E188" i="56"/>
  <c r="F188" i="56"/>
  <c r="E189" i="56"/>
  <c r="F189" i="56"/>
  <c r="E190" i="56"/>
  <c r="F190" i="56"/>
  <c r="E191" i="56"/>
  <c r="F191" i="56"/>
  <c r="E192" i="56"/>
  <c r="F192" i="56"/>
  <c r="E193" i="56"/>
  <c r="F193" i="56"/>
  <c r="E194" i="56"/>
  <c r="F194" i="56"/>
  <c r="E195" i="56"/>
  <c r="F195" i="56"/>
  <c r="E196" i="56"/>
  <c r="F196" i="56"/>
  <c r="E197" i="56"/>
  <c r="F197" i="56"/>
  <c r="E198" i="56"/>
  <c r="F198" i="56"/>
  <c r="E199" i="56"/>
  <c r="F199" i="56"/>
  <c r="E200" i="56"/>
  <c r="F200" i="56"/>
  <c r="E201" i="56"/>
  <c r="F201" i="56"/>
  <c r="E202" i="56"/>
  <c r="F202" i="56"/>
  <c r="E203" i="56"/>
  <c r="E204" i="56"/>
  <c r="E205" i="56"/>
  <c r="F205" i="56"/>
  <c r="E206" i="56"/>
  <c r="E207" i="56"/>
  <c r="F207" i="56"/>
  <c r="E208" i="56"/>
  <c r="F208" i="56"/>
  <c r="E209" i="56"/>
  <c r="F209" i="56"/>
  <c r="E210" i="56"/>
  <c r="F210" i="56"/>
  <c r="E211" i="56"/>
  <c r="F211" i="56"/>
  <c r="E212" i="56"/>
  <c r="F212" i="56"/>
  <c r="E213" i="56"/>
  <c r="F213" i="56"/>
  <c r="E214" i="56"/>
  <c r="F214" i="56"/>
  <c r="E215" i="56"/>
  <c r="F215" i="56"/>
  <c r="E216" i="56"/>
  <c r="F216" i="56"/>
  <c r="E217" i="56"/>
  <c r="F217" i="56"/>
  <c r="E218" i="56"/>
  <c r="F218" i="56"/>
  <c r="E219" i="56"/>
  <c r="F219" i="56"/>
  <c r="E220" i="56"/>
  <c r="F220" i="56"/>
  <c r="E221" i="56"/>
  <c r="F221" i="56"/>
  <c r="E222" i="56"/>
  <c r="F222" i="56"/>
  <c r="E223" i="56"/>
  <c r="F223" i="56"/>
  <c r="E224" i="56"/>
  <c r="F224" i="56"/>
  <c r="E225" i="56"/>
  <c r="F225" i="56"/>
  <c r="E226" i="56"/>
  <c r="F226" i="56"/>
  <c r="E227" i="56"/>
  <c r="F227" i="56"/>
  <c r="E228" i="56"/>
  <c r="F228" i="56"/>
  <c r="E229" i="56"/>
  <c r="F229" i="56"/>
  <c r="E230" i="56"/>
  <c r="F230" i="56"/>
  <c r="E231" i="56"/>
  <c r="F231" i="56"/>
  <c r="E232" i="56"/>
  <c r="F232" i="56"/>
  <c r="E233" i="56"/>
  <c r="F233" i="56"/>
  <c r="E234" i="56"/>
  <c r="F234" i="56"/>
  <c r="E235" i="56"/>
  <c r="F235" i="56"/>
  <c r="E236" i="56"/>
  <c r="F236" i="56"/>
  <c r="E237" i="56"/>
  <c r="F237" i="56"/>
  <c r="E238" i="56"/>
  <c r="F238" i="56"/>
  <c r="E239" i="56"/>
  <c r="F239" i="56"/>
  <c r="E240" i="56"/>
  <c r="F240" i="56"/>
  <c r="E241" i="56"/>
  <c r="F241" i="56"/>
  <c r="E242" i="56"/>
  <c r="F242" i="56"/>
  <c r="E243" i="56"/>
  <c r="F243" i="56"/>
  <c r="E244" i="56"/>
  <c r="F244" i="56"/>
  <c r="E245" i="56"/>
  <c r="F245" i="56"/>
  <c r="E246" i="56"/>
  <c r="F246" i="56"/>
  <c r="E247" i="56"/>
  <c r="F247" i="56"/>
  <c r="E248" i="56"/>
  <c r="F248" i="56"/>
  <c r="E249" i="56"/>
  <c r="F249" i="56"/>
  <c r="E250" i="56"/>
  <c r="F250" i="56"/>
  <c r="E251" i="56"/>
  <c r="F251" i="56"/>
  <c r="E252" i="56"/>
  <c r="F252" i="56"/>
  <c r="E253" i="56"/>
  <c r="F253" i="56"/>
  <c r="E254" i="56"/>
  <c r="F254" i="56"/>
  <c r="E255" i="56"/>
  <c r="F255" i="56"/>
  <c r="E256" i="56"/>
  <c r="F256" i="56"/>
  <c r="E257" i="56"/>
  <c r="F257" i="56"/>
  <c r="E258" i="56"/>
  <c r="F258" i="56"/>
  <c r="E259" i="56"/>
  <c r="F259" i="56"/>
  <c r="E260" i="56"/>
  <c r="F260" i="56"/>
  <c r="E261" i="56"/>
  <c r="F261" i="56"/>
  <c r="E262" i="56"/>
  <c r="F262" i="56"/>
  <c r="E263" i="56"/>
  <c r="F263" i="56"/>
  <c r="E264" i="56"/>
  <c r="F264" i="56"/>
  <c r="E265" i="56"/>
  <c r="F265" i="56"/>
  <c r="E266" i="56"/>
  <c r="F266" i="56"/>
  <c r="E267" i="56"/>
  <c r="F267" i="56"/>
  <c r="E268" i="56"/>
  <c r="F268" i="56"/>
  <c r="E269" i="56"/>
  <c r="F269" i="56"/>
  <c r="E270" i="56"/>
  <c r="F270" i="56"/>
  <c r="E271" i="56"/>
  <c r="F271" i="56"/>
  <c r="E272" i="56"/>
  <c r="F272" i="56"/>
  <c r="E273" i="56"/>
  <c r="F273" i="56"/>
  <c r="E274" i="56"/>
  <c r="F274" i="56"/>
  <c r="E275" i="56"/>
  <c r="F275" i="56"/>
  <c r="E276" i="56"/>
  <c r="F276" i="56"/>
  <c r="E277" i="56"/>
  <c r="F277" i="56"/>
  <c r="E278" i="56"/>
  <c r="F278" i="56"/>
  <c r="E279" i="56"/>
  <c r="F279" i="56"/>
  <c r="E280" i="56"/>
  <c r="F280" i="56"/>
  <c r="E281" i="56"/>
  <c r="F281" i="56"/>
  <c r="E282" i="56"/>
  <c r="F282" i="56"/>
  <c r="E283" i="56"/>
  <c r="F283" i="56"/>
  <c r="E284" i="56"/>
  <c r="F284" i="56"/>
  <c r="E285" i="56"/>
  <c r="F285" i="56"/>
  <c r="E286" i="56"/>
  <c r="F286" i="56"/>
  <c r="E287" i="56"/>
  <c r="F287" i="56"/>
  <c r="E288" i="56"/>
  <c r="F288" i="56"/>
  <c r="E289" i="56"/>
  <c r="F289" i="56"/>
  <c r="E290" i="56"/>
  <c r="F290" i="56"/>
  <c r="E291" i="56"/>
  <c r="F291" i="56"/>
  <c r="E292" i="56"/>
  <c r="F292" i="56"/>
  <c r="E293" i="56"/>
  <c r="F293" i="56"/>
  <c r="E294" i="56"/>
  <c r="F294" i="56"/>
  <c r="E295" i="56"/>
  <c r="F295" i="56"/>
  <c r="E296" i="56"/>
  <c r="F296" i="56"/>
  <c r="E297" i="56"/>
  <c r="F297" i="56"/>
  <c r="E298" i="56"/>
  <c r="F298" i="56"/>
  <c r="E299" i="56"/>
  <c r="F299" i="56"/>
  <c r="E300" i="56"/>
  <c r="F300" i="56"/>
  <c r="E301" i="56"/>
  <c r="F301" i="56"/>
  <c r="E302" i="56"/>
  <c r="F302" i="56"/>
  <c r="E303" i="56"/>
  <c r="F303" i="56"/>
  <c r="E304" i="56"/>
  <c r="F304" i="56"/>
  <c r="E305" i="56"/>
  <c r="F305" i="56"/>
  <c r="E306" i="56"/>
  <c r="F306" i="56"/>
  <c r="E307" i="56"/>
  <c r="F307" i="56"/>
  <c r="E308" i="56"/>
  <c r="F308" i="56"/>
  <c r="E309" i="56"/>
  <c r="F309" i="56"/>
  <c r="E310" i="56"/>
  <c r="F310" i="56"/>
  <c r="E311" i="56"/>
  <c r="F311" i="56"/>
  <c r="E312" i="56"/>
  <c r="F312" i="56"/>
  <c r="E313" i="56"/>
  <c r="F313" i="56"/>
  <c r="E314" i="56"/>
  <c r="F314" i="56"/>
  <c r="E315" i="56"/>
  <c r="F315" i="56"/>
  <c r="E316" i="56"/>
  <c r="F316" i="56"/>
  <c r="E317" i="56"/>
  <c r="F317" i="56"/>
  <c r="E318" i="56"/>
  <c r="F318" i="56"/>
  <c r="E319" i="56"/>
  <c r="F319" i="56"/>
  <c r="E320" i="56"/>
  <c r="F320" i="56"/>
  <c r="E321" i="56"/>
  <c r="F321" i="56"/>
  <c r="E322" i="56"/>
  <c r="F322" i="56"/>
  <c r="E323" i="56"/>
  <c r="F323" i="56"/>
  <c r="E324" i="56"/>
  <c r="F324" i="56"/>
  <c r="E325" i="56"/>
  <c r="F325" i="56"/>
  <c r="E326" i="56"/>
  <c r="F326" i="56"/>
  <c r="E327" i="56"/>
  <c r="F327" i="56"/>
  <c r="E328" i="56"/>
  <c r="F328" i="56"/>
  <c r="E329" i="56"/>
  <c r="F329" i="56"/>
  <c r="E330" i="56"/>
  <c r="F330" i="56"/>
  <c r="E331" i="56"/>
  <c r="F331" i="56"/>
  <c r="E332" i="56"/>
  <c r="F332" i="56"/>
  <c r="E333" i="56"/>
  <c r="F333" i="56"/>
  <c r="E334" i="56"/>
  <c r="F334" i="56"/>
  <c r="E335" i="56"/>
  <c r="F335" i="56"/>
  <c r="E336" i="56"/>
  <c r="F336" i="56"/>
  <c r="E337" i="56"/>
  <c r="F337" i="56"/>
  <c r="E338" i="56"/>
  <c r="F338" i="56"/>
  <c r="E339" i="56"/>
  <c r="F339" i="56"/>
  <c r="E340" i="56"/>
  <c r="F340" i="56"/>
  <c r="E341" i="56"/>
  <c r="F341" i="56"/>
  <c r="E342" i="56"/>
  <c r="F342" i="56"/>
  <c r="E343" i="56"/>
  <c r="F343" i="56"/>
  <c r="E344" i="56"/>
  <c r="F344" i="56"/>
  <c r="E345" i="56"/>
  <c r="F345" i="56"/>
  <c r="E346" i="56"/>
  <c r="F346" i="56"/>
  <c r="E347" i="56"/>
  <c r="F347" i="56"/>
  <c r="E348" i="56"/>
  <c r="F348" i="56"/>
  <c r="E349" i="56"/>
  <c r="F349" i="56"/>
  <c r="E350" i="56"/>
  <c r="F350" i="56"/>
  <c r="E351" i="56"/>
  <c r="F351" i="56"/>
  <c r="E352" i="56"/>
  <c r="F352" i="56"/>
  <c r="E353" i="56"/>
  <c r="F353" i="56"/>
  <c r="E354" i="56"/>
  <c r="F354" i="56"/>
  <c r="E355" i="56"/>
  <c r="F355" i="56"/>
  <c r="E356" i="56"/>
  <c r="F356" i="56"/>
  <c r="E357" i="56"/>
  <c r="F357" i="56"/>
  <c r="E358" i="56"/>
  <c r="F358" i="56"/>
  <c r="E359" i="56"/>
  <c r="F359" i="56"/>
  <c r="E360" i="56"/>
  <c r="F360" i="56"/>
  <c r="E361" i="56"/>
  <c r="F361" i="56"/>
  <c r="E362" i="56"/>
  <c r="F362" i="56"/>
  <c r="E363" i="56"/>
  <c r="F363" i="56"/>
  <c r="E364" i="56"/>
  <c r="F364" i="56"/>
  <c r="E365" i="56"/>
  <c r="F365" i="56"/>
  <c r="E366" i="56"/>
  <c r="F366" i="56"/>
  <c r="E367" i="56"/>
  <c r="F367" i="56"/>
  <c r="E368" i="56"/>
  <c r="F368" i="56"/>
  <c r="E369" i="56"/>
  <c r="F369" i="56"/>
  <c r="E370" i="56"/>
  <c r="F370" i="56"/>
  <c r="E371" i="56"/>
  <c r="F371" i="56"/>
  <c r="E372" i="56"/>
  <c r="F372" i="56"/>
  <c r="E373" i="56"/>
  <c r="F373" i="56"/>
  <c r="E374" i="56"/>
  <c r="F374" i="56"/>
  <c r="E375" i="56"/>
  <c r="F375" i="56"/>
  <c r="E376" i="56"/>
  <c r="F376" i="56"/>
  <c r="E377" i="56"/>
  <c r="F377" i="56"/>
  <c r="E378" i="56"/>
  <c r="F378" i="56"/>
  <c r="E379" i="56"/>
  <c r="F379" i="56"/>
  <c r="E380" i="56"/>
  <c r="F380" i="56"/>
  <c r="E381" i="56"/>
  <c r="F381" i="56"/>
  <c r="E382" i="56"/>
  <c r="F382" i="56"/>
  <c r="E383" i="56"/>
  <c r="F383" i="56"/>
  <c r="E384" i="56"/>
  <c r="F384" i="56"/>
  <c r="E385" i="56"/>
  <c r="F385" i="56"/>
  <c r="E386" i="56"/>
  <c r="F386" i="56"/>
  <c r="E387" i="56"/>
  <c r="F387" i="56"/>
  <c r="E388" i="56"/>
  <c r="F388" i="56"/>
  <c r="E389" i="56"/>
  <c r="F389" i="56"/>
  <c r="E390" i="56"/>
  <c r="F390" i="56"/>
  <c r="E391" i="56"/>
  <c r="F391" i="56"/>
  <c r="E392" i="56"/>
  <c r="F392" i="56"/>
  <c r="E393" i="56"/>
  <c r="F393" i="56"/>
  <c r="E394" i="56"/>
  <c r="F394" i="56"/>
  <c r="E395" i="56"/>
  <c r="F395" i="56"/>
  <c r="E396" i="56"/>
  <c r="F396" i="56"/>
  <c r="E397" i="56"/>
  <c r="F397" i="56"/>
  <c r="E398" i="56"/>
  <c r="F398" i="56"/>
  <c r="E399" i="56"/>
  <c r="F399" i="56"/>
  <c r="E400" i="56"/>
  <c r="F400" i="56"/>
  <c r="E401" i="56"/>
  <c r="F401" i="56"/>
  <c r="E402" i="56"/>
  <c r="F402" i="56"/>
  <c r="E403" i="56"/>
  <c r="F403" i="56"/>
  <c r="E404" i="56"/>
  <c r="F404" i="56"/>
  <c r="E405" i="56"/>
  <c r="F405" i="56"/>
  <c r="E406" i="56"/>
  <c r="F406" i="56"/>
  <c r="E407" i="56"/>
  <c r="F407" i="56"/>
  <c r="E408" i="56"/>
  <c r="F408" i="56"/>
  <c r="E409" i="56"/>
  <c r="F409" i="56"/>
  <c r="E410" i="56"/>
  <c r="F410" i="56"/>
  <c r="E411" i="56"/>
  <c r="F411" i="56"/>
  <c r="E412" i="56"/>
  <c r="F412" i="56"/>
  <c r="E413" i="56"/>
  <c r="F413" i="56"/>
  <c r="E414" i="56"/>
  <c r="F414" i="56"/>
  <c r="E415" i="56"/>
  <c r="F415" i="56"/>
  <c r="E416" i="56"/>
  <c r="F416" i="56"/>
  <c r="E417" i="56"/>
  <c r="F417" i="56"/>
  <c r="E418" i="56"/>
  <c r="F418" i="56"/>
  <c r="E419" i="56"/>
  <c r="F419" i="56"/>
  <c r="E420" i="56"/>
  <c r="F420" i="56"/>
  <c r="E421" i="56"/>
  <c r="F421" i="56"/>
  <c r="E422" i="56"/>
  <c r="F422" i="56"/>
  <c r="E423" i="56"/>
  <c r="F423" i="56"/>
  <c r="E424" i="56"/>
  <c r="F424" i="56"/>
  <c r="E425" i="56"/>
  <c r="F425" i="56"/>
  <c r="E426" i="56"/>
  <c r="F426" i="56"/>
  <c r="E427" i="56"/>
  <c r="F427" i="56"/>
  <c r="E428" i="56"/>
  <c r="F428" i="56"/>
  <c r="E429" i="56"/>
  <c r="F429" i="56"/>
  <c r="E430" i="56"/>
  <c r="F430" i="56"/>
  <c r="E431" i="56"/>
  <c r="F431" i="56"/>
  <c r="E432" i="56"/>
  <c r="F432" i="56"/>
  <c r="E433" i="56"/>
  <c r="F433" i="56"/>
  <c r="E434" i="56"/>
  <c r="F434" i="56"/>
  <c r="E435" i="56"/>
  <c r="F435" i="56"/>
  <c r="E436" i="56"/>
  <c r="F436" i="56"/>
  <c r="E437" i="56"/>
  <c r="F437" i="56"/>
  <c r="E438" i="56"/>
  <c r="F438" i="56"/>
  <c r="E439" i="56"/>
  <c r="F439" i="56"/>
  <c r="E440" i="56"/>
  <c r="F440" i="56"/>
  <c r="E441" i="56"/>
  <c r="F441" i="56"/>
  <c r="E442" i="56"/>
  <c r="F442" i="56"/>
  <c r="E443" i="56"/>
  <c r="F443" i="56"/>
  <c r="E444" i="56"/>
  <c r="F444" i="56"/>
  <c r="E445" i="56"/>
  <c r="F445" i="56"/>
  <c r="E446" i="56"/>
  <c r="F446" i="56"/>
  <c r="E447" i="56"/>
  <c r="F447" i="56"/>
  <c r="E448" i="56"/>
  <c r="F448" i="56"/>
  <c r="E449" i="56"/>
  <c r="F449" i="56"/>
  <c r="E450" i="56"/>
  <c r="F450" i="56"/>
  <c r="E451" i="56"/>
  <c r="F451" i="56"/>
  <c r="E452" i="56"/>
  <c r="F452" i="56"/>
  <c r="E453" i="56"/>
  <c r="F453" i="56"/>
  <c r="E454" i="56"/>
  <c r="F454" i="56"/>
  <c r="E455" i="56"/>
  <c r="F455" i="56"/>
  <c r="E456" i="56"/>
  <c r="F456" i="56"/>
  <c r="E457" i="56"/>
  <c r="F457" i="56"/>
  <c r="E458" i="56"/>
  <c r="F458" i="56"/>
  <c r="E459" i="56"/>
  <c r="F459" i="56"/>
  <c r="E460" i="56"/>
  <c r="F460" i="56"/>
  <c r="E461" i="56"/>
  <c r="F461" i="56"/>
  <c r="E462" i="56"/>
  <c r="F462" i="56"/>
  <c r="E463" i="56"/>
  <c r="F463" i="56"/>
  <c r="E464" i="56"/>
  <c r="F464" i="56"/>
  <c r="E465" i="56"/>
  <c r="F465" i="56"/>
  <c r="E466" i="56"/>
  <c r="F466" i="56"/>
  <c r="E467" i="56"/>
  <c r="F467" i="56"/>
  <c r="E468" i="56"/>
  <c r="F468" i="56"/>
  <c r="E469" i="56"/>
  <c r="F469" i="56"/>
  <c r="E470" i="56"/>
  <c r="F470" i="56"/>
  <c r="E471" i="56"/>
  <c r="F471" i="56"/>
  <c r="E472" i="56"/>
  <c r="F472" i="56"/>
  <c r="E473" i="56"/>
  <c r="F473" i="56"/>
  <c r="E474" i="56"/>
  <c r="F474" i="56"/>
  <c r="E475" i="56"/>
  <c r="F475" i="56"/>
  <c r="E476" i="56"/>
  <c r="F476" i="56"/>
  <c r="E477" i="56"/>
  <c r="F477" i="56"/>
  <c r="E478" i="56"/>
  <c r="F478" i="56"/>
  <c r="E479" i="56"/>
  <c r="F479" i="56"/>
  <c r="E480" i="56"/>
  <c r="F480" i="56"/>
  <c r="E481" i="56"/>
  <c r="F481" i="56"/>
  <c r="E482" i="56"/>
  <c r="F482" i="56"/>
  <c r="E483" i="56"/>
  <c r="F483" i="56"/>
  <c r="E484" i="56"/>
  <c r="F484" i="56"/>
  <c r="E485" i="56"/>
  <c r="F485" i="56"/>
  <c r="E486" i="56"/>
  <c r="F486" i="56"/>
  <c r="E487" i="56"/>
  <c r="F487" i="56"/>
  <c r="E488" i="56"/>
  <c r="F488" i="56"/>
  <c r="E489" i="56"/>
  <c r="F489" i="56"/>
  <c r="E490" i="56"/>
  <c r="F490" i="56"/>
  <c r="E491" i="56"/>
  <c r="F491" i="56"/>
  <c r="E492" i="56"/>
  <c r="F492" i="56"/>
  <c r="E493" i="56"/>
  <c r="F493" i="56"/>
  <c r="E494" i="56"/>
  <c r="F494" i="56"/>
  <c r="E495" i="56"/>
  <c r="F495" i="56"/>
  <c r="E496" i="56"/>
  <c r="F496" i="56"/>
  <c r="E497" i="56"/>
  <c r="F497" i="56"/>
  <c r="E498" i="56"/>
  <c r="F498" i="56"/>
  <c r="E499" i="56"/>
  <c r="F499" i="56"/>
  <c r="E500" i="56"/>
  <c r="F500" i="56"/>
  <c r="E501" i="56"/>
  <c r="F501" i="56"/>
  <c r="E502" i="56"/>
  <c r="F502" i="56"/>
  <c r="E503" i="56"/>
  <c r="F503" i="56"/>
  <c r="E504" i="56"/>
  <c r="F504" i="56"/>
  <c r="E505" i="56"/>
  <c r="F505" i="56"/>
  <c r="E506" i="56"/>
  <c r="F506" i="56"/>
  <c r="E507" i="56"/>
  <c r="F507" i="56"/>
  <c r="E508" i="56"/>
  <c r="F508" i="56"/>
  <c r="E509" i="56"/>
  <c r="F509" i="56"/>
  <c r="E510" i="56"/>
  <c r="F510" i="56"/>
  <c r="E511" i="56"/>
  <c r="F511" i="56"/>
  <c r="E512" i="56"/>
  <c r="F512" i="56"/>
  <c r="E513" i="56"/>
  <c r="F513" i="56"/>
  <c r="E514" i="56"/>
  <c r="F514" i="56"/>
  <c r="E515" i="56"/>
  <c r="F515" i="56"/>
  <c r="E516" i="56"/>
  <c r="F516" i="56"/>
  <c r="E517" i="56"/>
  <c r="F517" i="56"/>
  <c r="E518" i="56"/>
  <c r="F518" i="56"/>
  <c r="E519" i="56"/>
  <c r="F519" i="56"/>
  <c r="E520" i="56"/>
  <c r="F520" i="56"/>
  <c r="E521" i="56"/>
  <c r="F521" i="56"/>
  <c r="E522" i="56"/>
  <c r="F522" i="56"/>
  <c r="E523" i="56"/>
  <c r="F523" i="56"/>
  <c r="E524" i="56"/>
  <c r="F524" i="56"/>
  <c r="E525" i="56"/>
  <c r="F525" i="56"/>
  <c r="E526" i="56"/>
  <c r="F526" i="56"/>
  <c r="E527" i="56"/>
  <c r="F527" i="56"/>
  <c r="E528" i="56"/>
  <c r="F528" i="56"/>
  <c r="E529" i="56"/>
  <c r="F529" i="56"/>
  <c r="E530" i="56"/>
  <c r="F530" i="56"/>
  <c r="E531" i="56"/>
  <c r="F531" i="56"/>
  <c r="E532" i="56"/>
  <c r="F532" i="56"/>
  <c r="E533" i="56"/>
  <c r="F533" i="56"/>
  <c r="E534" i="56"/>
  <c r="F534" i="56"/>
  <c r="E535" i="56"/>
  <c r="F535" i="56"/>
  <c r="E536" i="56"/>
  <c r="F536" i="56"/>
  <c r="E537" i="56"/>
  <c r="F537" i="56"/>
  <c r="E538" i="56"/>
  <c r="F538" i="56"/>
  <c r="E539" i="56"/>
  <c r="F539" i="56"/>
  <c r="E540" i="56"/>
  <c r="F540" i="56"/>
  <c r="E541" i="56"/>
  <c r="F541" i="56"/>
  <c r="E542" i="56"/>
  <c r="F542" i="56"/>
  <c r="E543" i="56"/>
  <c r="F543" i="56"/>
  <c r="E544" i="56"/>
  <c r="F544" i="56"/>
  <c r="E545" i="56"/>
  <c r="F545" i="56"/>
  <c r="E546" i="56"/>
  <c r="F546" i="56"/>
  <c r="E547" i="56"/>
  <c r="F547" i="56"/>
  <c r="E548" i="56"/>
  <c r="F548" i="56"/>
  <c r="E549" i="56"/>
  <c r="F549" i="56"/>
  <c r="E550" i="56"/>
  <c r="F550" i="56"/>
  <c r="E551" i="56"/>
  <c r="F551" i="56"/>
  <c r="E552" i="56"/>
  <c r="F552" i="56"/>
  <c r="E553" i="56"/>
  <c r="F553" i="56"/>
  <c r="E554" i="56"/>
  <c r="F554" i="56"/>
  <c r="E555" i="56"/>
  <c r="F555" i="56"/>
  <c r="E556" i="56"/>
  <c r="F556" i="56"/>
  <c r="E557" i="56"/>
  <c r="F557" i="56"/>
  <c r="E558" i="56"/>
  <c r="F558" i="56"/>
  <c r="E559" i="56"/>
  <c r="F559" i="56"/>
  <c r="E560" i="56"/>
  <c r="F560" i="56"/>
  <c r="E561" i="56"/>
  <c r="F561" i="56"/>
  <c r="E562" i="56"/>
  <c r="F562" i="56"/>
  <c r="E563" i="56"/>
  <c r="F563" i="56"/>
  <c r="E564" i="56"/>
  <c r="F564" i="56"/>
  <c r="E565" i="56"/>
  <c r="F565" i="56"/>
  <c r="E566" i="56"/>
  <c r="F566" i="56"/>
  <c r="E567" i="56"/>
  <c r="F567" i="56"/>
  <c r="E568" i="56"/>
  <c r="F568" i="56"/>
  <c r="E569" i="56"/>
  <c r="F569" i="56"/>
  <c r="E570" i="56"/>
  <c r="F570" i="56"/>
  <c r="E571" i="56"/>
  <c r="F571" i="56"/>
  <c r="E572" i="56"/>
  <c r="F572" i="56"/>
  <c r="E573" i="56"/>
  <c r="F573" i="56"/>
  <c r="E574" i="56"/>
  <c r="F574" i="56"/>
  <c r="E575" i="56"/>
  <c r="F575" i="56"/>
  <c r="E576" i="56"/>
  <c r="F576" i="56"/>
  <c r="E577" i="56"/>
  <c r="F577" i="56"/>
  <c r="E578" i="56"/>
  <c r="F578" i="56"/>
  <c r="E579" i="56"/>
  <c r="F579" i="56"/>
  <c r="E580" i="56"/>
  <c r="F580" i="56"/>
  <c r="E581" i="56"/>
  <c r="F581" i="56"/>
  <c r="E582" i="56"/>
  <c r="F582" i="56"/>
  <c r="E583" i="56"/>
  <c r="F583" i="56"/>
  <c r="E584" i="56"/>
  <c r="F584" i="56"/>
  <c r="E585" i="56"/>
  <c r="F585" i="56"/>
  <c r="E586" i="56"/>
  <c r="F586" i="56"/>
  <c r="E587" i="56"/>
  <c r="F587" i="56"/>
  <c r="E588" i="56"/>
  <c r="F588" i="56"/>
  <c r="E589" i="56"/>
  <c r="F589" i="56"/>
  <c r="E590" i="56"/>
  <c r="F590" i="56"/>
  <c r="E591" i="56"/>
  <c r="F591" i="56"/>
  <c r="E592" i="56"/>
  <c r="F592" i="56"/>
  <c r="E593" i="56"/>
  <c r="F593" i="56"/>
  <c r="E594" i="56"/>
  <c r="F594" i="56"/>
  <c r="E595" i="56"/>
  <c r="F595" i="56"/>
  <c r="E596" i="56"/>
  <c r="F596" i="56"/>
  <c r="E597" i="56"/>
  <c r="F597" i="56"/>
  <c r="E598" i="56"/>
  <c r="F598" i="56"/>
  <c r="E599" i="56"/>
  <c r="F599" i="56"/>
  <c r="E600" i="56"/>
  <c r="F600" i="56"/>
  <c r="E601" i="56"/>
  <c r="F601" i="56"/>
  <c r="E602" i="56"/>
  <c r="F602" i="56"/>
  <c r="E603" i="56"/>
  <c r="F603" i="56"/>
  <c r="E604" i="56"/>
  <c r="F604" i="56"/>
  <c r="E605" i="56"/>
  <c r="F605" i="56"/>
  <c r="E606" i="56"/>
  <c r="F606" i="56"/>
  <c r="E607" i="56"/>
  <c r="F607" i="56"/>
  <c r="E608" i="56"/>
  <c r="F608" i="56"/>
  <c r="E609" i="56"/>
  <c r="F609" i="56"/>
  <c r="E610" i="56"/>
  <c r="F610" i="56"/>
  <c r="E611" i="56"/>
  <c r="F611" i="56"/>
  <c r="E612" i="56"/>
  <c r="F612" i="56"/>
  <c r="E613" i="56"/>
  <c r="F613" i="56"/>
  <c r="E614" i="56"/>
  <c r="F614" i="56"/>
  <c r="E615" i="56"/>
  <c r="F615" i="56"/>
  <c r="E616" i="56"/>
  <c r="F616" i="56"/>
  <c r="E617" i="56"/>
  <c r="F617" i="56"/>
  <c r="E618" i="56"/>
  <c r="F618" i="56"/>
  <c r="E619" i="56"/>
  <c r="F619" i="56"/>
  <c r="E620" i="56"/>
  <c r="F620" i="56"/>
  <c r="E621" i="56"/>
  <c r="F621" i="56"/>
  <c r="E622" i="56"/>
  <c r="F622" i="56"/>
  <c r="E623" i="56"/>
  <c r="F623" i="56"/>
  <c r="E624" i="56"/>
  <c r="F624" i="56"/>
  <c r="E625" i="56"/>
  <c r="F625" i="56"/>
  <c r="E626" i="56"/>
  <c r="F626" i="56"/>
  <c r="E627" i="56"/>
  <c r="F627" i="56"/>
  <c r="E628" i="56"/>
  <c r="F628" i="56"/>
  <c r="E629" i="56"/>
  <c r="F629" i="56"/>
  <c r="E630" i="56"/>
  <c r="F630" i="56"/>
  <c r="E631" i="56"/>
  <c r="F631" i="56"/>
  <c r="E632" i="56"/>
  <c r="F632" i="56"/>
  <c r="E633" i="56"/>
  <c r="F633" i="56"/>
  <c r="E634" i="56"/>
  <c r="F634" i="56"/>
  <c r="E635" i="56"/>
  <c r="F635" i="56"/>
  <c r="E636" i="56"/>
  <c r="F636" i="56"/>
  <c r="E637" i="56"/>
  <c r="F637" i="56"/>
  <c r="E638" i="56"/>
  <c r="F638" i="56"/>
  <c r="E639" i="56"/>
  <c r="F639" i="56"/>
  <c r="E640" i="56"/>
  <c r="F640" i="56"/>
  <c r="E641" i="56"/>
  <c r="F641" i="56"/>
  <c r="E642" i="56"/>
  <c r="F642" i="56"/>
  <c r="E643" i="56"/>
  <c r="F643" i="56"/>
  <c r="E644" i="56"/>
  <c r="F644" i="56"/>
  <c r="E645" i="56"/>
  <c r="F645" i="56"/>
  <c r="E646" i="56"/>
  <c r="F646" i="56"/>
  <c r="E647" i="56"/>
  <c r="F647" i="56"/>
  <c r="E648" i="56"/>
  <c r="F648" i="56"/>
  <c r="E649" i="56"/>
  <c r="F649" i="56"/>
  <c r="E650" i="56"/>
  <c r="F650" i="56"/>
  <c r="E651" i="56"/>
  <c r="F651" i="56"/>
  <c r="E652" i="56"/>
  <c r="F652" i="56"/>
  <c r="E653" i="56"/>
  <c r="F653" i="56"/>
  <c r="E654" i="56"/>
  <c r="F654" i="56"/>
  <c r="E655" i="56"/>
  <c r="F655" i="56"/>
  <c r="E656" i="56"/>
  <c r="F656" i="56"/>
  <c r="E657" i="56"/>
  <c r="F657" i="56"/>
  <c r="E658" i="56"/>
  <c r="E659" i="56"/>
  <c r="E660" i="56"/>
  <c r="E661" i="56"/>
  <c r="E662" i="56"/>
  <c r="E663" i="56"/>
  <c r="F663" i="56"/>
  <c r="E664" i="56"/>
  <c r="F664" i="56"/>
  <c r="E665" i="56"/>
  <c r="F665" i="56"/>
  <c r="E666" i="56"/>
  <c r="F666" i="56"/>
  <c r="E667" i="56"/>
  <c r="F667" i="56"/>
  <c r="E668" i="56"/>
  <c r="F668" i="56"/>
  <c r="E669" i="56"/>
  <c r="F669" i="56"/>
  <c r="E670" i="56"/>
  <c r="F670" i="56"/>
  <c r="E671" i="56"/>
  <c r="F671" i="56"/>
  <c r="E672" i="56"/>
  <c r="F672" i="56"/>
  <c r="E673" i="56"/>
  <c r="F673" i="56"/>
  <c r="E674" i="56"/>
  <c r="F674" i="56"/>
  <c r="E675" i="56"/>
  <c r="F675" i="56"/>
  <c r="E676" i="56"/>
  <c r="F676" i="56"/>
  <c r="E677" i="56"/>
  <c r="F677" i="56"/>
  <c r="E678" i="56"/>
  <c r="F678" i="56"/>
  <c r="E679" i="56"/>
  <c r="F679" i="56"/>
  <c r="E680" i="56"/>
  <c r="F680" i="56"/>
  <c r="E681" i="56"/>
  <c r="F681" i="56"/>
  <c r="E682" i="56"/>
  <c r="F682" i="56"/>
  <c r="E683" i="56"/>
  <c r="F683" i="56"/>
  <c r="E684" i="56"/>
  <c r="F684" i="56"/>
  <c r="E685" i="56"/>
  <c r="F685" i="56"/>
  <c r="E686" i="56"/>
  <c r="F686" i="56"/>
  <c r="E687" i="56"/>
  <c r="F687" i="56"/>
  <c r="E688" i="56"/>
  <c r="F688" i="56"/>
  <c r="E689" i="56"/>
  <c r="F689" i="56"/>
  <c r="E690" i="56"/>
  <c r="F690" i="56"/>
  <c r="E691" i="56"/>
  <c r="F691" i="56"/>
  <c r="E692" i="56"/>
  <c r="F692" i="56"/>
  <c r="E693" i="56"/>
  <c r="F693" i="56"/>
  <c r="E694" i="56"/>
  <c r="F694" i="56"/>
  <c r="E695" i="56"/>
  <c r="F695" i="56"/>
  <c r="E696" i="56"/>
  <c r="F696" i="56"/>
  <c r="E697" i="56"/>
  <c r="F697" i="56"/>
  <c r="E698" i="56"/>
  <c r="F698" i="56"/>
  <c r="E699" i="56"/>
  <c r="F699" i="56"/>
  <c r="E700" i="56"/>
  <c r="F700" i="56"/>
  <c r="E701" i="56"/>
  <c r="F701" i="56"/>
  <c r="E702" i="56"/>
  <c r="F702" i="56"/>
  <c r="E703" i="56"/>
  <c r="F703" i="56"/>
  <c r="E704" i="56"/>
  <c r="F704" i="56"/>
  <c r="E705" i="56"/>
  <c r="F705" i="56"/>
  <c r="E706" i="56"/>
  <c r="F706" i="56"/>
  <c r="E707" i="56"/>
  <c r="F707" i="56"/>
  <c r="E708" i="56"/>
  <c r="F708" i="56"/>
  <c r="E709" i="56"/>
  <c r="F709" i="56"/>
  <c r="E710" i="56"/>
  <c r="F710" i="56"/>
  <c r="E711" i="56"/>
  <c r="F711" i="56"/>
  <c r="E712" i="56"/>
  <c r="F712" i="56"/>
  <c r="E713" i="56"/>
  <c r="F713" i="56"/>
  <c r="E714" i="56"/>
  <c r="F714" i="56"/>
  <c r="E715" i="56"/>
  <c r="F715" i="56"/>
  <c r="E716" i="56"/>
  <c r="F716" i="56"/>
  <c r="E717" i="56"/>
  <c r="F717" i="56"/>
  <c r="E718" i="56"/>
  <c r="F718" i="56"/>
  <c r="E719" i="56"/>
  <c r="F719" i="56"/>
  <c r="E720" i="56"/>
  <c r="F720" i="56"/>
  <c r="E721" i="56"/>
  <c r="F721" i="56"/>
  <c r="E722" i="56"/>
  <c r="F722" i="56"/>
  <c r="E723" i="56"/>
  <c r="F723" i="56"/>
  <c r="E724" i="56"/>
  <c r="F724" i="56"/>
  <c r="E725" i="56"/>
  <c r="F725" i="56"/>
  <c r="E726" i="56"/>
  <c r="F726" i="56"/>
  <c r="E727" i="56"/>
  <c r="F727" i="56"/>
  <c r="E728" i="56"/>
  <c r="F728" i="56"/>
  <c r="E729" i="56"/>
  <c r="F729" i="56"/>
  <c r="E730" i="56"/>
  <c r="F730" i="56"/>
  <c r="E731" i="56"/>
  <c r="F731" i="56"/>
  <c r="E732" i="56"/>
  <c r="F732" i="56"/>
  <c r="E733" i="56"/>
  <c r="F733" i="56"/>
  <c r="E734" i="56"/>
  <c r="F734" i="56"/>
  <c r="E735" i="56"/>
  <c r="F735" i="56"/>
  <c r="E736" i="56"/>
  <c r="F736" i="56"/>
  <c r="E737" i="56"/>
  <c r="F737" i="56"/>
  <c r="E738" i="56"/>
  <c r="F738" i="56"/>
  <c r="E739" i="56"/>
  <c r="F739" i="56"/>
  <c r="E740" i="56"/>
  <c r="F740" i="56"/>
  <c r="E741" i="56"/>
  <c r="F741" i="56"/>
  <c r="E742" i="56"/>
  <c r="F742" i="56"/>
  <c r="E743" i="56"/>
  <c r="F743" i="56"/>
  <c r="E744" i="56"/>
  <c r="F744" i="56"/>
  <c r="E745" i="56"/>
  <c r="F745" i="56"/>
  <c r="E746" i="56"/>
  <c r="F746" i="56"/>
  <c r="E747" i="56"/>
  <c r="F747" i="56"/>
  <c r="E748" i="56"/>
  <c r="F748" i="56"/>
  <c r="E749" i="56"/>
  <c r="F749" i="56"/>
  <c r="E750" i="56"/>
  <c r="F750" i="56"/>
  <c r="E751" i="56"/>
  <c r="F751" i="56"/>
  <c r="E752" i="56"/>
  <c r="F752" i="56"/>
  <c r="E753" i="56"/>
  <c r="F753" i="56"/>
  <c r="E754" i="56"/>
  <c r="F754" i="56"/>
  <c r="E755" i="56"/>
  <c r="F755" i="56"/>
  <c r="E756" i="56"/>
  <c r="F756" i="56"/>
  <c r="E757" i="56"/>
  <c r="F757" i="56"/>
  <c r="E758" i="56"/>
  <c r="F758" i="56"/>
  <c r="E759" i="56"/>
  <c r="F759" i="56"/>
  <c r="E760" i="56"/>
  <c r="F760" i="56"/>
  <c r="E761" i="56"/>
  <c r="F761" i="56"/>
  <c r="E762" i="56"/>
  <c r="F762" i="56"/>
  <c r="E763" i="56"/>
  <c r="F763" i="56"/>
  <c r="E764" i="56"/>
  <c r="F764" i="56"/>
  <c r="E765" i="56"/>
  <c r="F765" i="56"/>
  <c r="E766" i="56"/>
  <c r="F766" i="56"/>
  <c r="E767" i="56"/>
  <c r="F767" i="56"/>
  <c r="E768" i="56"/>
  <c r="F768" i="56"/>
  <c r="E769" i="56"/>
  <c r="F769" i="56"/>
  <c r="E770" i="56"/>
  <c r="F770" i="56"/>
  <c r="E771" i="56"/>
  <c r="F771" i="56"/>
  <c r="E772" i="56"/>
  <c r="F772" i="56"/>
  <c r="E773" i="56"/>
  <c r="F773" i="56"/>
  <c r="E774" i="56"/>
  <c r="F774" i="56"/>
  <c r="E775" i="56"/>
  <c r="F775" i="56"/>
  <c r="E776" i="56"/>
  <c r="F776" i="56"/>
  <c r="E777" i="56"/>
  <c r="F777" i="56"/>
  <c r="E778" i="56"/>
  <c r="F778" i="56"/>
  <c r="E779" i="56"/>
  <c r="F779" i="56"/>
  <c r="E780" i="56"/>
  <c r="F780" i="56"/>
  <c r="E781" i="56"/>
  <c r="F781" i="56"/>
  <c r="E782" i="56"/>
  <c r="F782" i="56"/>
  <c r="E783" i="56"/>
  <c r="F783" i="56"/>
  <c r="E784" i="56"/>
  <c r="F784" i="56"/>
  <c r="E785" i="56"/>
  <c r="F785" i="56"/>
  <c r="E786" i="56"/>
  <c r="F786" i="56"/>
  <c r="E787" i="56"/>
  <c r="F787" i="56"/>
  <c r="E788" i="56"/>
  <c r="F788" i="56"/>
  <c r="E789" i="56"/>
  <c r="F789" i="56"/>
  <c r="E790" i="56"/>
  <c r="F790" i="56"/>
  <c r="E791" i="56"/>
  <c r="F791" i="56"/>
  <c r="E792" i="56"/>
  <c r="F792" i="56"/>
  <c r="E793" i="56"/>
  <c r="F793" i="56"/>
  <c r="E794" i="56"/>
  <c r="F794" i="56"/>
  <c r="E795" i="56"/>
  <c r="F795" i="56"/>
  <c r="E796" i="56"/>
  <c r="F796" i="56"/>
  <c r="E797" i="56"/>
  <c r="F797" i="56"/>
  <c r="E798" i="56"/>
  <c r="F798" i="56"/>
  <c r="E799" i="56"/>
  <c r="F799" i="56"/>
  <c r="E800" i="56"/>
  <c r="F800" i="56"/>
  <c r="E801" i="56"/>
  <c r="F801" i="56"/>
  <c r="E802" i="56"/>
  <c r="F802" i="56"/>
  <c r="E803" i="56"/>
  <c r="F803" i="56"/>
  <c r="E804" i="56"/>
  <c r="F804" i="56"/>
  <c r="E805" i="56"/>
  <c r="F805" i="56"/>
  <c r="E806" i="56"/>
  <c r="F806" i="56"/>
  <c r="E807" i="56"/>
  <c r="F807" i="56"/>
  <c r="E808" i="56"/>
  <c r="F808" i="56"/>
  <c r="E809" i="56"/>
  <c r="F809" i="56"/>
  <c r="F810" i="56"/>
  <c r="F34" i="44" l="1"/>
  <c r="F35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H76" i="59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H76" i="43" s="1"/>
  <c r="C76" i="43"/>
  <c r="F76" i="43" s="1"/>
  <c r="J75" i="43"/>
  <c r="H75" i="43"/>
  <c r="F75" i="43"/>
  <c r="J74" i="43"/>
  <c r="H74" i="43"/>
  <c r="F74" i="43"/>
  <c r="J73" i="43"/>
  <c r="H73" i="43"/>
  <c r="J72" i="43"/>
  <c r="H72" i="43"/>
  <c r="J71" i="43"/>
  <c r="H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45" i="44"/>
  <c r="M304" i="44" l="1"/>
  <c r="M305" i="44"/>
  <c r="M307" i="44"/>
  <c r="M308" i="44"/>
  <c r="M157" i="44"/>
  <c r="M146" i="44"/>
  <c r="M147" i="44"/>
  <c r="M148" i="44"/>
  <c r="M149" i="44"/>
  <c r="M150" i="44"/>
  <c r="M151" i="44"/>
  <c r="M152" i="44"/>
  <c r="M153" i="44"/>
  <c r="M154" i="44"/>
  <c r="M155" i="44"/>
  <c r="M156" i="44"/>
  <c r="M144" i="44"/>
  <c r="G88" i="59"/>
  <c r="H88" i="59"/>
  <c r="G482" i="59"/>
  <c r="H482" i="59"/>
  <c r="A177" i="60"/>
  <c r="E481" i="59"/>
  <c r="A484" i="59"/>
  <c r="E87" i="59"/>
  <c r="A90" i="59"/>
  <c r="L145" i="44"/>
  <c r="M309" i="44" l="1"/>
  <c r="M306" i="44"/>
  <c r="L307" i="44"/>
  <c r="L308" i="44"/>
  <c r="L304" i="44"/>
  <c r="L305" i="44"/>
  <c r="M161" i="44"/>
  <c r="M169" i="44"/>
  <c r="L146" i="44"/>
  <c r="L147" i="44"/>
  <c r="L148" i="44"/>
  <c r="L149" i="44"/>
  <c r="L150" i="44"/>
  <c r="L151" i="44"/>
  <c r="L152" i="44"/>
  <c r="L153" i="44"/>
  <c r="L154" i="44"/>
  <c r="L155" i="44"/>
  <c r="L156" i="44"/>
  <c r="L157" i="44"/>
  <c r="L144" i="44"/>
  <c r="M160" i="44"/>
  <c r="M168" i="44"/>
  <c r="M158" i="44"/>
  <c r="G89" i="59"/>
  <c r="H89" i="59"/>
  <c r="G483" i="59"/>
  <c r="H483" i="59"/>
  <c r="A178" i="60"/>
  <c r="E88" i="59"/>
  <c r="E482" i="59"/>
  <c r="A485" i="59"/>
  <c r="A91" i="59"/>
  <c r="K145" i="44"/>
  <c r="M310" i="44" l="1"/>
  <c r="L309" i="44"/>
  <c r="L306" i="44"/>
  <c r="K307" i="44"/>
  <c r="K308" i="44"/>
  <c r="K304" i="44"/>
  <c r="K305" i="44"/>
  <c r="L161" i="44"/>
  <c r="L169" i="44"/>
  <c r="M171" i="44"/>
  <c r="K146" i="44"/>
  <c r="K147" i="44"/>
  <c r="K148" i="44"/>
  <c r="K149" i="44"/>
  <c r="K150" i="44"/>
  <c r="K152" i="44"/>
  <c r="K153" i="44"/>
  <c r="K154" i="44"/>
  <c r="K155" i="44"/>
  <c r="K156" i="44"/>
  <c r="K157" i="44"/>
  <c r="K151" i="44"/>
  <c r="M170" i="44"/>
  <c r="M162" i="44"/>
  <c r="L158" i="44"/>
  <c r="L168" i="44"/>
  <c r="L160" i="44"/>
  <c r="K144" i="44"/>
  <c r="M163" i="44"/>
  <c r="G90" i="59"/>
  <c r="H90" i="59"/>
  <c r="G484" i="59"/>
  <c r="H484" i="59"/>
  <c r="A179" i="60"/>
  <c r="E483" i="59"/>
  <c r="A486" i="59"/>
  <c r="E89" i="59"/>
  <c r="A92" i="59"/>
  <c r="J145" i="44"/>
  <c r="L310" i="44" l="1"/>
  <c r="K306" i="44"/>
  <c r="K309" i="44"/>
  <c r="J307" i="44"/>
  <c r="J308" i="44"/>
  <c r="J304" i="44"/>
  <c r="J305" i="44"/>
  <c r="K169" i="44"/>
  <c r="K161" i="44"/>
  <c r="L171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L163" i="44"/>
  <c r="L170" i="44"/>
  <c r="L162" i="44"/>
  <c r="K160" i="44"/>
  <c r="K158" i="44"/>
  <c r="K168" i="44"/>
  <c r="J144" i="44"/>
  <c r="G91" i="59"/>
  <c r="H91" i="59"/>
  <c r="G485" i="59"/>
  <c r="H485" i="59"/>
  <c r="A180" i="60"/>
  <c r="E484" i="59"/>
  <c r="A487" i="59"/>
  <c r="A93" i="59"/>
  <c r="E90" i="59"/>
  <c r="I145" i="44"/>
  <c r="J306" i="44" l="1"/>
  <c r="J309" i="44"/>
  <c r="K310" i="44"/>
  <c r="I304" i="44"/>
  <c r="I305" i="44"/>
  <c r="I308" i="44"/>
  <c r="I307" i="44"/>
  <c r="J169" i="44"/>
  <c r="J161" i="44"/>
  <c r="K171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K170" i="44"/>
  <c r="K163" i="44"/>
  <c r="J158" i="44"/>
  <c r="J168" i="44"/>
  <c r="J160" i="44"/>
  <c r="I144" i="44"/>
  <c r="K162" i="44"/>
  <c r="G92" i="59"/>
  <c r="H92" i="59"/>
  <c r="G486" i="59"/>
  <c r="H486" i="59"/>
  <c r="A181" i="60"/>
  <c r="E485" i="59"/>
  <c r="A488" i="59"/>
  <c r="A94" i="59"/>
  <c r="E91" i="59"/>
  <c r="H145" i="44"/>
  <c r="J310" i="44" l="1"/>
  <c r="I306" i="44"/>
  <c r="H304" i="44"/>
  <c r="H305" i="44"/>
  <c r="H307" i="44"/>
  <c r="H308" i="44"/>
  <c r="I309" i="44"/>
  <c r="J171" i="44"/>
  <c r="I161" i="44"/>
  <c r="I169" i="44"/>
  <c r="H146" i="44"/>
  <c r="H147" i="44"/>
  <c r="H148" i="44"/>
  <c r="H149" i="44"/>
  <c r="H150" i="44"/>
  <c r="H151" i="44"/>
  <c r="H152" i="44"/>
  <c r="H153" i="44"/>
  <c r="H154" i="44"/>
  <c r="H155" i="44"/>
  <c r="H156" i="44"/>
  <c r="H157" i="44"/>
  <c r="J162" i="44"/>
  <c r="J170" i="44"/>
  <c r="J163" i="44"/>
  <c r="I158" i="44"/>
  <c r="I168" i="44"/>
  <c r="I160" i="44"/>
  <c r="H144" i="44"/>
  <c r="G93" i="59"/>
  <c r="H93" i="59"/>
  <c r="G487" i="59"/>
  <c r="H487" i="59"/>
  <c r="A182" i="60"/>
  <c r="E92" i="59"/>
  <c r="E486" i="59"/>
  <c r="A489" i="59"/>
  <c r="A95" i="59"/>
  <c r="F94" i="59"/>
  <c r="G145" i="44"/>
  <c r="I310" i="44" l="1"/>
  <c r="H309" i="44"/>
  <c r="H306" i="44"/>
  <c r="G304" i="44"/>
  <c r="G305" i="44"/>
  <c r="G307" i="44"/>
  <c r="G308" i="44"/>
  <c r="H169" i="44"/>
  <c r="I171" i="44"/>
  <c r="H161" i="44"/>
  <c r="G148" i="44"/>
  <c r="G152" i="44"/>
  <c r="G156" i="44"/>
  <c r="G149" i="44"/>
  <c r="G153" i="44"/>
  <c r="G157" i="44"/>
  <c r="G150" i="44"/>
  <c r="G147" i="44"/>
  <c r="G155" i="44"/>
  <c r="G146" i="44"/>
  <c r="G154" i="44"/>
  <c r="G151" i="44"/>
  <c r="H158" i="44"/>
  <c r="H168" i="44"/>
  <c r="I162" i="44"/>
  <c r="H160" i="44"/>
  <c r="I170" i="44"/>
  <c r="G144" i="44"/>
  <c r="I163" i="44"/>
  <c r="G94" i="59"/>
  <c r="H94" i="59"/>
  <c r="G488" i="59"/>
  <c r="H488" i="59"/>
  <c r="A183" i="60"/>
  <c r="E487" i="59"/>
  <c r="A490" i="59"/>
  <c r="E93" i="59"/>
  <c r="A96" i="59"/>
  <c r="F145" i="44"/>
  <c r="G309" i="44" l="1"/>
  <c r="G306" i="44"/>
  <c r="G310" i="44" s="1"/>
  <c r="H310" i="44"/>
  <c r="H171" i="44"/>
  <c r="F304" i="44"/>
  <c r="F305" i="44"/>
  <c r="F307" i="44"/>
  <c r="F308" i="44"/>
  <c r="G161" i="44"/>
  <c r="G169" i="44"/>
  <c r="F148" i="44"/>
  <c r="F152" i="44"/>
  <c r="F156" i="44"/>
  <c r="F149" i="44"/>
  <c r="F153" i="44"/>
  <c r="F157" i="44"/>
  <c r="F146" i="44"/>
  <c r="F154" i="44"/>
  <c r="F147" i="44"/>
  <c r="F150" i="44"/>
  <c r="F151" i="44"/>
  <c r="F155" i="44"/>
  <c r="H162" i="44"/>
  <c r="H170" i="44"/>
  <c r="G168" i="44"/>
  <c r="G160" i="44"/>
  <c r="G158" i="44"/>
  <c r="F144" i="44"/>
  <c r="H163" i="44"/>
  <c r="G95" i="59"/>
  <c r="H95" i="59"/>
  <c r="H489" i="59"/>
  <c r="G489" i="59"/>
  <c r="A184" i="60"/>
  <c r="E94" i="59"/>
  <c r="E488" i="59"/>
  <c r="A491" i="59"/>
  <c r="A97" i="59"/>
  <c r="E145" i="44"/>
  <c r="F309" i="44" l="1"/>
  <c r="F306" i="44"/>
  <c r="E305" i="44"/>
  <c r="E307" i="44"/>
  <c r="E308" i="44"/>
  <c r="E304" i="44"/>
  <c r="F161" i="44"/>
  <c r="G171" i="44"/>
  <c r="F169" i="44"/>
  <c r="E149" i="44"/>
  <c r="E153" i="44"/>
  <c r="E157" i="44"/>
  <c r="E150" i="44"/>
  <c r="E154" i="44"/>
  <c r="E151" i="44"/>
  <c r="E156" i="44"/>
  <c r="E147" i="44"/>
  <c r="E155" i="44"/>
  <c r="E146" i="44"/>
  <c r="E148" i="44"/>
  <c r="E152" i="44"/>
  <c r="G163" i="44"/>
  <c r="F158" i="44"/>
  <c r="F168" i="44"/>
  <c r="F160" i="44"/>
  <c r="E144" i="44"/>
  <c r="G162" i="44"/>
  <c r="G170" i="44"/>
  <c r="G96" i="59"/>
  <c r="H96" i="59"/>
  <c r="G490" i="59"/>
  <c r="H490" i="59"/>
  <c r="A185" i="60"/>
  <c r="E489" i="59"/>
  <c r="A492" i="59"/>
  <c r="E95" i="59"/>
  <c r="A98" i="59"/>
  <c r="D145" i="44"/>
  <c r="F310" i="44" l="1"/>
  <c r="E306" i="44"/>
  <c r="E309" i="44"/>
  <c r="D307" i="44"/>
  <c r="D308" i="44"/>
  <c r="D304" i="44"/>
  <c r="D305" i="44"/>
  <c r="F171" i="44"/>
  <c r="E161" i="44"/>
  <c r="E169" i="44"/>
  <c r="D146" i="44"/>
  <c r="D148" i="44"/>
  <c r="D150" i="44"/>
  <c r="D152" i="44"/>
  <c r="D154" i="44"/>
  <c r="D156" i="44"/>
  <c r="D147" i="44"/>
  <c r="D149" i="44"/>
  <c r="D151" i="44"/>
  <c r="D153" i="44"/>
  <c r="D155" i="44"/>
  <c r="D157" i="44"/>
  <c r="F163" i="44"/>
  <c r="F162" i="44"/>
  <c r="F170" i="44"/>
  <c r="D144" i="44"/>
  <c r="E158" i="44"/>
  <c r="E168" i="44"/>
  <c r="E160" i="44"/>
  <c r="G97" i="59"/>
  <c r="H97" i="59"/>
  <c r="G491" i="59"/>
  <c r="H491" i="59"/>
  <c r="A186" i="60"/>
  <c r="E96" i="59"/>
  <c r="E490" i="59"/>
  <c r="A493" i="59"/>
  <c r="A99" i="59"/>
  <c r="C145" i="44"/>
  <c r="E310" i="44" l="1"/>
  <c r="D306" i="44"/>
  <c r="D309" i="44"/>
  <c r="C307" i="44"/>
  <c r="C308" i="44"/>
  <c r="C304" i="44"/>
  <c r="C305" i="44"/>
  <c r="D161" i="44"/>
  <c r="D169" i="44"/>
  <c r="E171" i="44"/>
  <c r="C146" i="44"/>
  <c r="C148" i="44"/>
  <c r="C150" i="44"/>
  <c r="C152" i="44"/>
  <c r="C154" i="44"/>
  <c r="C156" i="44"/>
  <c r="C147" i="44"/>
  <c r="C149" i="44"/>
  <c r="C151" i="44"/>
  <c r="C153" i="44"/>
  <c r="C155" i="44"/>
  <c r="C157" i="44"/>
  <c r="B145" i="44"/>
  <c r="E170" i="44"/>
  <c r="E163" i="44"/>
  <c r="D168" i="44"/>
  <c r="D158" i="44"/>
  <c r="D160" i="44"/>
  <c r="C144" i="44"/>
  <c r="E162" i="44"/>
  <c r="G98" i="59"/>
  <c r="H98" i="59"/>
  <c r="G492" i="59"/>
  <c r="H492" i="59"/>
  <c r="A187" i="60"/>
  <c r="E491" i="59"/>
  <c r="A494" i="59"/>
  <c r="E97" i="59"/>
  <c r="A100" i="59"/>
  <c r="D310" i="44" l="1"/>
  <c r="C306" i="44"/>
  <c r="C309" i="44"/>
  <c r="B308" i="44"/>
  <c r="O308" i="44" s="1"/>
  <c r="B307" i="44"/>
  <c r="O307" i="44" s="1"/>
  <c r="B305" i="44"/>
  <c r="O305" i="44" s="1"/>
  <c r="B304" i="44"/>
  <c r="C161" i="44"/>
  <c r="C169" i="44"/>
  <c r="D171" i="44"/>
  <c r="B152" i="44"/>
  <c r="B151" i="44"/>
  <c r="B150" i="44"/>
  <c r="B149" i="44"/>
  <c r="B157" i="44"/>
  <c r="B156" i="44"/>
  <c r="B153" i="44"/>
  <c r="B155" i="44"/>
  <c r="B154" i="44"/>
  <c r="B144" i="44"/>
  <c r="D162" i="44"/>
  <c r="C160" i="44"/>
  <c r="C158" i="44"/>
  <c r="C168" i="44"/>
  <c r="D170" i="44"/>
  <c r="D163" i="44"/>
  <c r="G99" i="59"/>
  <c r="H99" i="59"/>
  <c r="G493" i="59"/>
  <c r="H493" i="59"/>
  <c r="A188" i="60"/>
  <c r="E98" i="59"/>
  <c r="E492" i="59"/>
  <c r="A495" i="59"/>
  <c r="A101" i="59"/>
  <c r="C310" i="44" l="1"/>
  <c r="C171" i="44"/>
  <c r="B169" i="44"/>
  <c r="B161" i="44"/>
  <c r="B168" i="44"/>
  <c r="B160" i="44"/>
  <c r="O160" i="44" s="1"/>
  <c r="B306" i="44"/>
  <c r="O304" i="44"/>
  <c r="B309" i="44"/>
  <c r="C170" i="44"/>
  <c r="B158" i="44"/>
  <c r="C162" i="44"/>
  <c r="C163" i="44"/>
  <c r="G100" i="59"/>
  <c r="H100" i="59"/>
  <c r="G494" i="59"/>
  <c r="H494" i="59"/>
  <c r="A189" i="60"/>
  <c r="E493" i="59"/>
  <c r="A496" i="59"/>
  <c r="E99" i="59"/>
  <c r="A102" i="59"/>
  <c r="O306" i="44" l="1"/>
  <c r="B310" i="44"/>
  <c r="O310" i="44" s="1"/>
  <c r="B162" i="44"/>
  <c r="O162" i="44" s="1"/>
  <c r="B170" i="44"/>
  <c r="O170" i="44" s="1"/>
  <c r="B163" i="44"/>
  <c r="B171" i="44"/>
  <c r="O309" i="44"/>
  <c r="G101" i="59"/>
  <c r="H101" i="59"/>
  <c r="G495" i="59"/>
  <c r="H495" i="59"/>
  <c r="A190" i="60"/>
  <c r="E494" i="59"/>
  <c r="A497" i="59"/>
  <c r="E100" i="59"/>
  <c r="A103" i="59"/>
  <c r="H94" i="44"/>
  <c r="G95" i="44"/>
  <c r="A95" i="44"/>
  <c r="E95" i="44" s="1"/>
  <c r="H15" i="6"/>
  <c r="E3" i="40"/>
  <c r="E3" i="66" l="1"/>
  <c r="G3" i="68"/>
  <c r="C54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E3" i="58"/>
  <c r="H22" i="6"/>
  <c r="J15" i="6"/>
  <c r="J22" i="6"/>
  <c r="D3" i="51"/>
  <c r="E3" i="29"/>
  <c r="K3" i="6"/>
  <c r="F7" i="6" s="1"/>
  <c r="G8" i="6" s="1"/>
  <c r="E3" i="13"/>
  <c r="I3" i="15"/>
  <c r="E3" i="23"/>
  <c r="E3" i="30"/>
  <c r="G3" i="11"/>
  <c r="E3" i="31"/>
  <c r="E3" i="10"/>
  <c r="E3" i="14"/>
  <c r="G103" i="59" l="1"/>
  <c r="H103" i="59"/>
  <c r="G497" i="59"/>
  <c r="H497" i="59"/>
  <c r="A192" i="60"/>
  <c r="E496" i="59"/>
  <c r="A499" i="59"/>
  <c r="A105" i="59"/>
  <c r="E102" i="59"/>
  <c r="C56" i="44"/>
  <c r="C55" i="44"/>
  <c r="C57" i="44"/>
  <c r="C62" i="44"/>
  <c r="C51" i="44"/>
  <c r="C61" i="44"/>
  <c r="C60" i="44"/>
  <c r="C53" i="44"/>
  <c r="C59" i="44"/>
  <c r="C52" i="44"/>
  <c r="C58" i="44"/>
  <c r="F52" i="44" l="1"/>
  <c r="F51" i="44"/>
  <c r="G104" i="59"/>
  <c r="H104" i="59"/>
  <c r="G498" i="59"/>
  <c r="H498" i="59"/>
  <c r="A193" i="60"/>
  <c r="E103" i="59"/>
  <c r="E497" i="59"/>
  <c r="A500" i="59"/>
  <c r="A106" i="59"/>
  <c r="G105" i="59" l="1"/>
  <c r="G499" i="59"/>
  <c r="H499" i="59"/>
  <c r="A194" i="60"/>
  <c r="E498" i="59"/>
  <c r="A501" i="59"/>
  <c r="E104" i="59"/>
  <c r="A107" i="59"/>
  <c r="H105" i="59"/>
  <c r="C47" i="44"/>
  <c r="C63" i="44"/>
  <c r="G106" i="59" l="1"/>
  <c r="G500" i="59"/>
  <c r="H500" i="59"/>
  <c r="A195" i="60"/>
  <c r="A502" i="59"/>
  <c r="E499" i="59"/>
  <c r="E105" i="59"/>
  <c r="A108" i="59"/>
  <c r="H106" i="59"/>
  <c r="C20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A257" i="60"/>
  <c r="E167" i="59"/>
  <c r="A170" i="59"/>
  <c r="H168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A318" i="60"/>
  <c r="H229" i="59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<sst xmlns="http://schemas.openxmlformats.org/spreadsheetml/2006/main" count="1532" uniqueCount="267">
  <si>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</si>
  <si>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</si>
  <si>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</si>
  <si>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</si>
  <si>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</si>
  <si>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</si>
  <si>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</si>
  <si>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</si>
  <si>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</si>
  <si>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</si>
  <si>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</si>
  <si>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</si>
  <si>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</si>
  <si>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</si>
  <si>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</si>
  <si>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</si>
  <si>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</si>
  <si>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</si>
  <si>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</si>
  <si>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</si>
  <si>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</si>
  <si>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</si>
  <si>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</si>
  <si>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</si>
  <si>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</si>
  <si>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</si>
  <si>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</si>
  <si>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</si>
  <si>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</si>
  <si>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</si>
  <si>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</si>
  <si>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</si>
  <si>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</si>
  <si>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</si>
  <si>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</si>
  <si>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</si>
  <si>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</si>
  <si>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</si>
  <si>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</si>
  <si>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</si>
  <si>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</si>
  <si>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</si>
  <si>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</si>
  <si>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</si>
  <si>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</si>
  <si>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</si>
  <si>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</si>
  <si>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</si>
  <si>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</si>
  <si>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</si>
  <si>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</si>
  <si>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</si>
  <si>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</si>
  <si>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</si>
  <si>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</si>
  <si>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</si>
  <si>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</si>
  <si>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</si>
  <si>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</si>
  <si>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</si>
  <si>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</si>
  <si>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</si>
  <si>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</si>
  <si>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</si>
  <si>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</si>
  <si>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</si>
  <si>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</si>
  <si>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</si>
  <si>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</si>
  <si>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</si>
  <si>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</si>
  <si>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</si>
  <si>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</si>
  <si>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</si>
  <si>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</si>
  <si>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</si>
  <si>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</si>
  <si>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</si>
  <si>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</si>
  <si>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</si>
  <si>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</si>
  <si>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</si>
  <si>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</si>
  <si>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</si>
  <si>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</si>
  <si>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</si>
  <si>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</si>
  <si>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</si>
  <si>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</si>
  <si>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</si>
  <si>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</si>
  <si>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</si>
  <si>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</si>
  <si>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</si>
  <si>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</si>
  <si>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</si>
  <si>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</si>
  <si>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</si>
  <si>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</si>
  <si>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</si>
  <si>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</si>
  <si>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</si>
  <si>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</si>
  <si>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</si>
  <si>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</si>
  <si>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</si>
  <si>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</si>
  <si>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</si>
  <si>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</si>
  <si>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</si>
  <si>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</si>
  <si>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</si>
  <si>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</si>
  <si>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</si>
  <si>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</si>
  <si>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</si>
  <si>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</si>
  <si>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</si>
  <si>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</si>
  <si>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</si>
  <si>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</si>
  <si>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</si>
  <si>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</si>
  <si>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</si>
  <si>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</si>
  <si>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</si>
  <si>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</si>
  <si>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</si>
  <si>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</si>
  <si>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</si>
  <si>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</si>
  <si>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</si>
  <si>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</si>
  <si>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Motores diesel</t>
  </si>
  <si>
    <t>Turbina de gas</t>
  </si>
  <si>
    <t>Turbina de vapor</t>
  </si>
  <si>
    <t>Generación auxiliar</t>
  </si>
  <si>
    <t>Hidroeólica</t>
  </si>
  <si>
    <t>Ceuta</t>
  </si>
  <si>
    <t>Melilla</t>
  </si>
  <si>
    <t>Baleares</t>
  </si>
  <si>
    <t>Canarias</t>
  </si>
  <si>
    <t>Mes año anterior (MWh)</t>
  </si>
  <si>
    <t>Año anterior (MWh)</t>
  </si>
  <si>
    <t>Año móvil 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</si>
  <si>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</si>
  <si>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</si>
  <si>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</si>
  <si>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</si>
  <si>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</si>
  <si>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</si>
  <si>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</si>
  <si>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</si>
  <si>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</si>
  <si>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</si>
  <si>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</si>
  <si>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</si>
  <si>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</si>
  <si>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</si>
  <si>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</si>
  <si>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</si>
  <si>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</si>
  <si>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2021 Mayo</t>
  </si>
  <si>
    <t>Residuos no Renovables</t>
  </si>
  <si>
    <t>Potencia instalada CIL</t>
  </si>
  <si>
    <t>Combustible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</si>
  <si>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</si>
  <si>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</si>
  <si>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</si>
  <si>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</si>
  <si>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</si>
  <si>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</si>
  <si>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</si>
  <si>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</si>
  <si>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</si>
  <si>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</si>
  <si>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</si>
  <si>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</si>
  <si>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</si>
  <si>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</si>
  <si>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</si>
  <si>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</si>
  <si>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</si>
  <si>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</si>
  <si>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</si>
  <si>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Octubre 2023</t>
  </si>
  <si>
    <t>Noviembre 2023</t>
  </si>
  <si>
    <t>Diciembre 2023</t>
  </si>
  <si>
    <t>Enero 2024</t>
  </si>
  <si>
    <t>Febrero 2024</t>
  </si>
  <si>
    <t>Marzo 2024</t>
  </si>
  <si>
    <t>Producible Eólico Medio 10 años (GWh)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</si>
  <si>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</si>
  <si>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</si>
  <si>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</si>
  <si>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</si>
  <si>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</si>
  <si>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</si>
  <si>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</si>
  <si>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</si>
  <si>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</si>
  <si>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</si>
  <si>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</si>
  <si>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</si>
  <si>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</si>
  <si>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</si>
  <si>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</si>
  <si>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</si>
  <si>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</si>
  <si>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</si>
  <si>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</si>
  <si>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</si>
  <si>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</si>
  <si>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</si>
  <si>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20/03/2025</t>
  </si>
  <si>
    <t>Abril 2025</t>
  </si>
  <si>
    <t>Balance Máx.Renov.Histórico</t>
  </si>
  <si>
    <t>Lunes 21/04/2025 (13:33 h)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</si>
  <si>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</si>
  <si>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</si>
  <si>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</si>
  <si>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</si>
  <si>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</si>
  <si>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</si>
  <si>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</si>
  <si>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Tomas de la red</t>
  </si>
  <si>
    <t>Mayo 2025</t>
  </si>
  <si>
    <t>Junio 2025</t>
  </si>
  <si>
    <t>Miércoles 18/06/2025 (13:58 h)</t>
  </si>
  <si>
    <t>Julio 2025</t>
  </si>
  <si>
    <t>Fuel</t>
  </si>
  <si>
    <t>Turbina de Vapor</t>
  </si>
  <si>
    <t>No renovables: nuclear, carbón, turbina de vapor,  fuel/gas, ciclo combinado, cogeneración y residuos no renovables.</t>
  </si>
  <si>
    <t>Sin emisiones CO2: hidráulica, nuclear, eólica, solar fotovoltaica, solar térmica, otras renovables y residuos renovables.</t>
  </si>
  <si>
    <t>Con emisiones CO2 (%)</t>
  </si>
  <si>
    <t>Con emisiones CO2: carbón, turbina de vapor, fuel/gas, ciclo combinado, cogeneración y residuos no renovables.</t>
  </si>
  <si>
    <t>FUG</t>
  </si>
  <si>
    <t>Generación eólica/Generación (%)</t>
  </si>
  <si>
    <t>Generación eólica (GWh)</t>
  </si>
  <si>
    <t>Generación solar fotovoltaica/Generación (%)</t>
  </si>
  <si>
    <t>Generación solar fotovoltaica (GWh)</t>
  </si>
  <si>
    <t>Desconocido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</si>
  <si>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srv="APBI5A"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nrr="598" nrc="9270"&gt;&lt;pg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</si>
  <si>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Agosto 2025</t>
  </si>
  <si>
    <t>variación año anterior</t>
  </si>
  <si>
    <t>Septiembre 2025</t>
  </si>
  <si>
    <t>FUE</t>
  </si>
  <si>
    <t>Octubre 2025</t>
  </si>
  <si>
    <t>31/10/2025</t>
  </si>
  <si>
    <t>2025 Octubre</t>
  </si>
  <si>
    <t>&lt;mi app="e" ver="22"&gt;&lt;rptloc guid="5b83d63ba9314e82b555f84bc06c4937" rank="0" ds="1"&gt;&lt;ri hasPG="0" name="Potencia instalada" id="CCCD6AEF49D88879CD2CE99555E139E4" path="Objetos públicos\Informes\Informes Específicos\Estadística\INFORMES MACROS\NUEVO BOLETIN ELECTRONICO\Potencia instalada" cf="0" prompt="1" ve="0" vm="0" flashpth="C:\Users\FUEPERRO\AppData\Local\Temp\" fimagepth="C:\Users\FUEPERRO\AppData\Local\Temp\" swfn="DashboardViewer.swf" fvars="" dvis=""&gt;&lt;ans /&gt;&lt;ci ps="BI" srv="apbi5a" prj="SIOSbi" prjid="80652F57504C7F8E3D7CF2B0B09EA47F" li="SEVPENMA" am="s" /&gt;&lt;lu ut="11/11/2025 08:28:12" si="2.000000017de8611cf480724cacf4cdf7ad3f46296f129d3ca78cafb5db827d318327cd505e7d300476343f4bb9f9136e5f372c2db7812cce503991303e732ba8073155b2a83588fe1d05f17a50f8a303e4d35881ad2fc75461d2fd2e40e176e54c3f1ce54a12906fe9cb972e6084165e1a3a0cdb91bec4143a03a80715538367a95684573d19ee274accce06126f251aeec7f205b17c97606e21ccd4b10fd8dee3fc91539da8536c716cb625320e7adb8bd9a4a1938ff7d15dbfe747e06292ab248b080505577a5426b7e7d1faf5c62863475569e2e8c69b95987c5d8b947d3519aa8212c32d3e5d0b9378fe4380b7bb9f8651bca060378f8636956382af810d283f5eba70b9c2c39f3114d11b735fb24db53c6299973168f573b3f2390dc1a3e0d3.p-3082.0.1_-3082.0.1_0.1.Europe/Madrid.upriv*_1*_pidn2*_22*_session*-lat*_1.00000001ed71de775a196ed319594385607c948fbc6025e086ea15575e7f98116d22974e053fbea897d792223ca3aa934c01d07aea3cbd4f.00000001abb0debc6bc7caa8a19377c85064fd85bc6025e0b983fb16d583fd622a02543232dd8d93012e8ae38be1ea28c1a4f72398a11f4d.0.1.1.SIOSbi.80652F57504C7F8E3D7CF2B0B09EA47F.0-3082.1.1_-0.1.0_-3082.1.1_5.5.0.*0.00000001c3a9ae9b1f2e6c296c70ede02a810cdec911585ac0a8a71451bc306ac8a621937e393f09.0.23.11*.4*.1200*.00787J.e.00000001709d82ff74ba93b0544c5a84c2c17590c911585a7ab69f095b638a6343fef981752d39dd.0.10*.131*.138*.18.*0.0.0.0" msgID="0FFBBCA9494D37DFAA2983A3ED012739"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ece="L4" enr="MSTR.Potencia_instalada.1" ptn="" qtn="" rows="19" cols="2" /&gt;&lt;esdo ews="" ece="" ptn="" /&gt;&lt;/excel&gt;&lt;pgs&gt;&lt;pg rows="16" cols="1" nrr="960" nrc="91"&gt;&lt;pg /&gt;&lt;bls&gt;&lt;bl sr="1" sc="1" rfetch="16" cfetch="1" posid="1" darows="0" dacols="1"&gt;&lt;excel&gt;&lt;epo ews="Dat_01" ece="L4" enr="MSTR.Potencia_instalada.1" ptn="" qtn="" rows="19" cols="2" /&gt;&lt;esdo ews="" ece="" ptn="" /&gt;&lt;/excel&gt;&lt;gridRng&gt;&lt;sect id="TITLE_AREA" rngprop="1:1:3:1" /&gt;&lt;sect id="ROWHEADERS_AREA" rngprop="4:1:16:1" /&gt;&lt;sect id="COLUMNHEADERS_AREA" rngprop="1:2:3:1" /&gt;&lt;sect id="DATA_AREA" rngprop="4:2:16:1" /&gt;&lt;/gridRng&gt;&lt;shapes /&gt;&lt;/bl&gt;&lt;/bls&gt;&lt;/pg&gt;&lt;/pgs&gt;&lt;/rptloc&gt;&lt;/mi&gt;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</si>
  <si>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07:03:55"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msgID="E3B0F04D874C346F6AEFABA6F4A67B20"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nrr="140"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</si>
  <si>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07:18:10"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msgID="775DEFF84C4F167D76E54BBD3EDA039D"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rows="26" cols="10" /&gt;&lt;esdo ews="" ece="" ptn="" /&gt;&lt;/excel&gt;&lt;pgs&gt;&lt;pg rows="22" cols="9" nrr="2185" nrc="1293"&gt;&lt;pg /&gt;&lt;bls&gt;&lt;bl sr="1" sc="1" rfetch="22" cfetch="9" posid="1" darows="0" dacols="1"&gt;&lt;excel&gt;&lt;epo ews="Dat_01" ece="A4" enr="MSTR.Balance_B.C._Mensual_Peninsular"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</si>
  <si>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22/10/2025</t>
  </si>
  <si>
    <t>&lt;mi app="e" ver="22"&gt;&lt;rptloc guid="529e5c846d334b2baa85f8e8504cbfe7"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07:51:30"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msgID="27E83A408946E50D183D30B2B1F367E6"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ece="A67" enr="MSTR.Balance._Día_máx_generación_renovable._Mes" ptn="" qtn="" rows="21" cols="2" /&gt;&lt;esdo ews="" ece="" ptn="" /&gt;&lt;/excel&gt;&lt;pgs&gt;&lt;pg rows="18" cols="1" nrr="138" nrc="7"&gt;&lt;pg /&gt;&lt;bls&gt;&lt;bl sr="1" sc="1" rfetch="18" cfetch="1" posid="1" darows="0" dacols="1"&gt;&lt;excel&gt;&lt;epo ews="Dat_01" ece="A67" enr="MSTR.Balance._Día_máx_generación_renovable._Mes" ptn="" qtn="" rows="21" cols="2" /&gt;&lt;esdo ews="" ece="" ptn="" /&gt;&lt;/excel&gt;&lt;gridRng&gt;&lt;sect id="TITLE_AREA" rngprop="1:1:3:1" /&gt;&lt;sect id="ROWHEADERS_AREA" rngprop="4:1:18:1" /&gt;&lt;sect id="COLUMNHEADERS_AREA" rngprop="1:2:3:1" /&gt;&lt;sect id="DATA_AREA" rngprop="4:2:18:1" /&gt;&lt;/gridRng&gt;&lt;shapes /&gt;&lt;/bl&gt;&lt;/bls&gt;&lt;/pg&gt;&lt;/pgs&gt;&lt;/rptloc&gt;&lt;/mi&gt;</t>
  </si>
  <si>
    <t>&lt;mi app="e" ver="22"&gt;&lt;rptloc guid="63ae816f42c3470cac4f70366e31d6a4"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ut="11/13/2025 08:12:01"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msgID="3DE4A97BBC4AAF259E9E0E8C57C7D8C7"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ece="G67" enr="MSTR.Balance._Día_máx_generación_renovable._Histórico" ptn="" qtn="" rows="22" cols="2" /&gt;&lt;esdo ews="" ece="" ptn="" /&gt;&lt;/excel&gt;&lt;pgs&gt;&lt;pg rows="19" cols="1" nrr="133" nrc="7"&gt;&lt;pg /&gt;&lt;bls&gt;&lt;bl sr="1" sc="1" rfetch="19" cfetch="1" posid="1" darows="0" dacols="1"&gt;&lt;excel&gt;&lt;epo ews="Dat_01" ece="G67" enr="MSTR.Balance._Día_máx_generación_renovable._Histórico" ptn="" qtn="" rows="22" cols="2" /&gt;&lt;esdo ews="" ece="" ptn="" /&gt;&lt;/excel&gt;&lt;gridRng&gt;&lt;sect id="TITLE_AREA" rngprop="1:1:3:1" /&gt;&lt;sect id="ROWHEADERS_AREA" rngprop="4:1:19:1" /&gt;&lt;sect id="COLUMNHEADERS_AREA" rngprop="1:2:3:1" /&gt;&lt;sect id="DATA_AREA" rngprop="4:2:19:1" /&gt;&lt;/gridRng&gt;&lt;shapes /&gt;&lt;/bl&gt;&lt;/bls&gt;&lt;/pg&gt;&lt;/pgs&gt;&lt;/rptloc&gt;&lt;/mi&gt;</t>
  </si>
  <si>
    <t>&lt;mi app="e" ver="22"&gt;&lt;rptloc guid="e56c484aa36e42a497bcfbacac849a72"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ut="11/13/2025 08:21:09"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msgID="71F52BA41E4CD3418C6879937747D979"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enr="MSTR.Serie_Balance_B.C._Mensual_Peninsular" ptn="" qtn="" rows="26" cols="26" /&gt;&lt;esdo ews="" ece="" ptn="" /&gt;&lt;/excel&gt;&lt;pgs&gt;&lt;pg rows="22" cols="25" nrr="151" nrc="175"&gt;&lt;pg /&gt;&lt;bls&gt;&lt;bl sr="1" sc="1" rfetch="22" cfetch="25" posid="1" darows="0" dacols="1"&gt;&lt;excel&gt;&lt;epo ews="Dat_01" ece="A118" enr="MSTR.Serie_Balance_B.C._Mensual_Peninsular" ptn="" qtn="" rows="26" cols="26" /&gt;&lt;esdo ews="" ece="" ptn="" /&gt;&lt;/excel&gt;&lt;gridRng&gt;&lt;sect id="TITLE_AREA" rngprop="1:1:4:1" /&gt;&lt;sect id="ROWHEADERS_AREA" rngprop="5:1:22:1" /&gt;&lt;sect id="COLUMNHEADERS_AREA" rngprop="1:2:4:25" /&gt;&lt;sect id="DATA_AREA" rngprop="5:2:22:25" /&gt;&lt;/gridRng&gt;&lt;shapes /&gt;&lt;/bl&gt;&lt;/bls&gt;&lt;/pg&gt;&lt;/pgs&gt;&lt;/rptloc&gt;&lt;/mi&gt;</t>
  </si>
  <si>
    <t>&lt;mi app="e" ver="22"&gt;&lt;rptloc guid="dc1825c7390746ac98b6d46339e8b3ac"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08:23:35"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msgID="D4048E6BAB45753EDD4ADB96A23C8969"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ece="A179" enr="MSTR.Balance_B.C._Diario_Peninsular" ptn="" qtn="" rows="36" cols="23" /&gt;&lt;esdo ews="" ece="" ptn="" /&gt;&lt;/excel&gt;&lt;pgs&gt;&lt;pg rows="31" cols="22" nrr="274" nrc="416"&gt;&lt;pg /&gt;&lt;bls&gt;&lt;bl sr="1" sc="1" rfetch="31" cfetch="22" posid="1" darows="0" dacols="1"&gt;&lt;excel&gt;&lt;epo ews="Dat_01" ece="A179" enr="MSTR.Balance_B.C._Diario_Peninsular" ptn="" qtn="" rows="36" cols="23" /&gt;&lt;esdo ews="" ece="" ptn="" /&gt;&lt;/excel&gt;&lt;gridRng&gt;&lt;sect id="TITLE_AREA" rngprop="1:1:5:1" /&gt;&lt;sect id="ROWHEADERS_AREA" rngprop="6:1:31:1" /&gt;&lt;sect id="COLUMNHEADERS_AREA" rngprop="1:2:5:22" /&gt;&lt;sect id="DATA_AREA" rngprop="6:2:31:22" /&gt;&lt;/gridRng&gt;&lt;shapes /&gt;&lt;/bl&gt;&lt;/bls&gt;&lt;/pg&gt;&lt;/pgs&gt;&lt;/rptloc&gt;&lt;/mi&gt;</t>
  </si>
  <si>
    <t>&lt;mi app="e" ver="22"&gt;&lt;rptloc guid="b7c58bb5f7b342b9a593b111f87a0fcd"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08:25:15"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msgID="0B59D9D9634B22CA480E369A8951E2C6"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ece="A219" enr="MSTR.Balance_B.C._Horario_Eólico" ptn="" qtn="" rows="29" cols="19" /&gt;&lt;esdo ews="" ece="" ptn="" /&gt;&lt;/excel&gt;&lt;pgs&gt;&lt;pg rows="24" cols="18" nrr="264" nrc="222"&gt;&lt;pg /&gt;&lt;bls&gt;&lt;bl sr="1" sc="1" rfetch="24" cfetch="18" posid="1" darows="0" dacols="1"&gt;&lt;excel&gt;&lt;epo ews="Dat_01" ece="A219" enr="MSTR.Balance_B.C._Horario_Eólico" ptn="" qtn="" rows="29" cols="19" /&gt;&lt;esdo ews="" ece="" ptn="" /&gt;&lt;/excel&gt;&lt;gridRng&gt;&lt;sect id="TITLE_AREA" rngprop="1:1:5:1" /&gt;&lt;sect id="ROWHEADERS_AREA" rngprop="6:1:24:1" /&gt;&lt;sect id="COLUMNHEADERS_AREA" rngprop="1:2:5:18" /&gt;&lt;sect id="DATA_AREA" rngprop="6:2:24:18" /&gt;&lt;/gridRng&gt;&lt;shapes /&gt;&lt;/bl&gt;&lt;/bls&gt;&lt;/pg&gt;&lt;/pgs&gt;&lt;/rptloc&gt;&lt;/mi&gt;</t>
  </si>
  <si>
    <t>&lt;mi app="e" ver="22"&gt;&lt;rptloc guid="f6f9c852476e4dc4a5a8e238a5c5c118"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ut="11/13/2025 08:28:00" si="2.000000013d46f139b7427fd708ddb58e25c2528d7302d94e974cdf7dd07a83ab9242ca36d463651c47bc6d472381ed9b61c0377ef3ff755b8f35722d7745149b3e3cfaa0d4ec4d003a806742f45318fee5d80096562270d1771613d31f046d7c79612b1847cb315c4398cb1082e1fb00d6fd0bdf894c2ffbaf86d384b8ab8dd201a07b03e1d4b8707e33df010a0f6ece9efbc8122da5f3b6fdb9df0d30fe897889361b42da6056ddbe2d4576494c591450b0f1f9547bb52cac45318e308eb18615396a6c56100dffc21cc6b00b667dfbb62602e73eafca2a9e42891a0f6c974972ba3f4b865605e15d28be57c427073739bbcba42f07d9175a42e93fa49d1d3e33a12afc983317ef46e80bc561232fa96ca107ebb44e89ea8a35528acdaa66776ea6.p-3082.0.1_-3082.0.1_0.1.Europe/Madrid.upriv*_1*_pidn2*_2*_session*-lat*_1.000000011f93e29498754ea1f3cbdf62d170292abc6025e0be47ff64e32595f044860c5bca7c40dfe28a54740adf53897e33d2556546e7fa.00000001c4ce810b4b48b1ed10a0724c48e092ecbc6025e093c4044f8dcee216109229222dcf484c80848a25aadf6181cce3a549493c9f21.0.1.1.BDEbi.A2E2948BC74B9CF051A963A6CEDDABFA.0-3082.1.1_-0.1.0_-3082.1.1_5.5.0.*0.0000000193738d9a9cb201b91db56bb4efecdce3c911585a976dbe4fdb6a39ce52b403f05b4ddb6a.0.23.11*.4*.1200*.00787J.e.000000012fb8b172bae3a12739a909dc83baf1c0c911585a6ee6a87bf0791470601b62bb59c9bf62.0.10*.131*.138*.18.*0.0.0.0" msgID="04B6D1A222449AC0DB95268B5D05E3D3"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ece="A252" enr="MSTR.Emisiones_CO2.1" ptn="" qtn="" rows="15" cols="15" /&gt;&lt;esdo ews="" ece="" ptn="" /&gt;&lt;/excel&gt;&lt;pgs&gt;&lt;pg rows="12" cols="13" nrr="81" nrc="91"&gt;&lt;pg /&gt;&lt;bls&gt;&lt;bl sr="1" sc="1" rfetch="12" cfetch="13" posid="1" darows="0" dacols="1"&gt;&lt;excel&gt;&lt;epo ews="Dat_01" ece="A252" enr="MSTR.Emisiones_CO2.1"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</si>
  <si>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ut="11/13/2025 09:49:57" si="2.00000001403d874d0948efd1089134cf5708e42d7123b90ac715ad5b87d1d9fee5a57a064faaf07cceae809903d86707d38e43b414573bc5c80a0857e61f8daf3025efed308e8b41cda0ff129a25f449c27b4e9986f5f248bb13bec6186856d9617e7c1a3459a2dacc99f51141bddd2ff189917f68734dc798739a0f814dd9d8a9ea1cdde7e7ddf00456d734766f2e20a78c12b41d94c5f3b7628127df3ac089483b035f9b8c3950626e3d6eaa7356f0ea79d6348fa2c5b43ff69ec2834372523f6b7d101f7fab821731f9b0f4e17ce1f2ade97bc713bdcc6633aa4e739580704d1fb6d2cca3b015b32cff4b0b1b5f8ea7db2071063bf1b9d15437756c9f2a8e36133d86765cb2b4f9f8f6a1a79b5e6932c2fe42e3fec5e5334f0e417c62488264e9.p-3082.0.1_-3082.0.1_0.1.Europe/Madrid.upriv*_1*_pidn2*_2*_session*-lat*_1.000000018ec150d820dba1f79848a1425933e246bc6025e0269a3cd6be8f9ff36de2a2a5c083bf9f5d8e2237a50b752331bd773be359f538.00000001b0e7b0c6110515605bd046da104b632bbc6025e0e066ddfe2e2c0f2f051ca7e1055321ea5e16ae1cc68db83b102dbc9b166879fa.0.1.1.BDEbi.A2E2948BC74B9CF051A963A6CEDDABFA.0-3082.1.1_-0.1.0_-3082.1.1_5.5.0.*0.000000016480b6c4b4bda44daf50a8179f1524a4c911585ac52b49500793e9646d8d5dfaaba456e7.0.23.11*.4*.1200*.00787J.e.00000001674a36a3ee265091c20f18a97205c8e6c911585ae007249e0d43a1619a0a15da4cf85c4e.0.10*.131*.138*.18.*0.0.0.0" msgID="35BC536CEE4E09BA4218D5AD4444A8DF"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rows="15" cols="15" /&gt;&lt;esdo ews="" ece="" ptn="" /&gt;&lt;/excel&gt;&lt;pgs&gt;&lt;pg rows="12" cols="13" nrr="145" nrc="169"&gt;&lt;pg /&gt;&lt;bls&gt;&lt;bl sr="1" sc="1" rfetch="12" cfetch="13" posid="1" darows="0" dacols="1"&gt;&lt;excel&gt;&lt;epo ews="Dat_04 CONSEJO" ece="A32" enr="MSTR.Emisiones_CO2"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</si>
  <si>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5ba82046a72d43839866dfe68c7db496</t>
  </si>
  <si>
    <t>&lt;mi app="e" ver="22"&gt;&lt;rptloc guid="318159fd6e9340cc859b23f41b05accf"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ut="11/13/2025 10:24:07" si="2.00000001bfb9a2c2156a576909bdd80c1838b9f599b4d6b2dade23f3fb00b00ff315a1425c8ae8dba79c2743dc1c8e739a39be3c183039e0235f6bbaf73231b8650ac42aa513bc14fe417097550e0302f51d7fbda6d8af8e96194b74a8b37443f6c7d886538152c1e242e541bb1c7f88d914fc3f006238d9a0fef1cf01715ebc06354f0be038f555545ad1924078d8cd6a09233ed21f3df02dbe7fcd84d51b0d23d344b55747693d4890a6ebac3c411671ba46e61eb848147a4fe74dd8a01fe2f48183256e4503bf36be93eb1e2c2e6da2634629abe36bca47833f31a5da3bbd21f4c8a618103051dca25048289445decb989b2a5c54e8813d30cc073ac3b5984c58417e342b9c3a7be3df2482033248ee18eb8b3c61a667027718de357164972398.p-3082.0.1_-3082.0.1_0.1.Europe/Madrid.upriv*_1*_pidn2*_2*_session*-lat*_1.00000001373ecfe4fafd74f087f2e48618a38628bc6025e040f3ac793d6cdebe0963cdcb40b650e9df70de66199ddd6842de7d62a8b47c37.00000001428666dad3c56a09757fc8c342c36bd1bc6025e0e2272b103d251c4e113bba836682ff91224cc140c8b08eee7dd9b29136ea9dfe.0.1.1.BDEbi.A2E2948BC74B9CF051A963A6CEDDABFA.0-3082.1.1_-0.1.0_-3082.1.1_5.5.0.*0.000000016486a53494074fea0ba6f898ea6047e1c911585af8e7258b5f7b59c365b2ec7299c9512e.0.23.11*.4*.1200*.00787J.e.000000013a4c162e600549d7d8b3136383c571ecc911585af92c7469acc4dd995d544f3e0d2a75f0.0.10*.131*.138*.19.*0.0.0.0" msgID="8DF7E213EB4671EFA909FD8E47A57ECA"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ece="A271" enr="MSTR.Balance_B.C._Mensual_Nacional.1" ptn="" qtn="" rows="25" cols="9" /&gt;&lt;esdo ews="" ece="" ptn="" /&gt;&lt;/excel&gt;&lt;pgs&gt;&lt;pg rows="22" cols="8" nrr="174" nrc="64"&gt;&lt;pg /&gt;&lt;bls&gt;&lt;bl sr="1" sc="1" rfetch="22" cfetch="8" posid="1" darows="0" dacols="1"&gt;&lt;excel&gt;&lt;epo ews="Dat_01" ece="A271" enr="MSTR.Balance_B.C._Mensual_Nacional.1" ptn="" qtn="" rows="25" cols="9" /&gt;&lt;esdo ews="" ece="" ptn="" /&gt;&lt;/excel&gt;&lt;gridRng&gt;&lt;sect id="TITLE_AREA" rngprop="1:1:3:1" /&gt;&lt;sect id="ROWHEADERS_AREA" rngprop="4:1:22:1" /&gt;&lt;sect id="COLUMNHEADERS_AREA" rngprop="1:2:3:8" /&gt;&lt;sect id="DATA_AREA" rngprop="4:2:22:8" /&gt;&lt;/gridRng&gt;&lt;shapes /&gt;&lt;/bl&gt;&lt;/bls&gt;&lt;/pg&gt;&lt;/pgs&gt;&lt;/rptloc&gt;&lt;/mi&gt;</t>
  </si>
  <si>
    <t>Jueves 23/10/2025 (07:21 h)</t>
  </si>
  <si>
    <t>Jueves 23/10/2025 (04:56 h)</t>
  </si>
  <si>
    <t>Jueves 02/10/2025 (12:39 h)</t>
  </si>
  <si>
    <t>Sábado 18/10/2025 (14:46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</si>
</sst>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</numFmts>
  <fonts count="7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8192AD"/>
      </patternFill>
    </fill>
    <fill>
      <patternFill patternType="solid">
        <fgColor rgb="FFFFFFFF"/>
      </patternFill>
    </fill>
    <fill>
      <patternFill patternType="solid">
        <fgColor rgb="FFDFDFD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67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4" fillId="7" borderId="16"/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8" fillId="13" borderId="13">
      <alignment horizontal="center" wrapText="1"/>
    </xf>
    <xf numFmtId="179" fontId="21" fillId="4" borderId="13">
      <alignment horizontal="right" vertical="center"/>
    </xf>
    <xf numFmtId="165" fontId="68" fillId="13" borderId="13">
      <alignment vertical="center" wrapText="1"/>
    </xf>
    <xf numFmtId="165" fontId="69" fillId="4" borderId="13">
      <alignment horizontal="left" vertical="center" wrapText="1"/>
    </xf>
    <xf numFmtId="179" fontId="68" fillId="13" borderId="13">
      <alignment horizontal="right" vertical="center"/>
    </xf>
    <xf numFmtId="165" fontId="68" fillId="13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2" fillId="18" borderId="13">
      <alignment vertical="center" wrapText="1"/>
    </xf>
    <xf numFmtId="165" fontId="72" fillId="13" borderId="13">
      <alignment horizontal="left" vertical="center"/>
    </xf>
    <xf numFmtId="165" fontId="72" fillId="18" borderId="13">
      <alignment horizontal="center" wrapText="1"/>
    </xf>
    <xf numFmtId="168" fontId="72" fillId="13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4" fillId="0" borderId="0"/>
    <xf numFmtId="0" fontId="1" fillId="0" borderId="0"/>
    <xf numFmtId="0" fontId="50" fillId="6" borderId="13">
      <alignment horizontal="center" wrapText="1"/>
    </xf>
    <xf numFmtId="0" fontId="50" fillId="6" borderId="13">
      <alignment horizontal="center" vertical="center" wrapText="1"/>
    </xf>
    <xf numFmtId="10" fontId="51" fillId="4" borderId="13">
      <alignment horizontal="right" vertical="center"/>
    </xf>
    <xf numFmtId="0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</cellStyleXfs>
  <cellXfs count="343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30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8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3" quotePrefix="1" applyAlignment="1">
      <alignment horizontal="center"/>
    </xf>
    <xf numFmtId="165" fontId="50" fillId="5" borderId="13" xfId="33" applyAlignment="1">
      <alignment horizontal="center"/>
    </xf>
    <xf numFmtId="165" fontId="66" fillId="9" borderId="18" xfId="33" applyFont="1" applyFill="1" applyBorder="1" applyAlignment="1">
      <alignment horizontal="center"/>
    </xf>
    <xf numFmtId="165" fontId="67" fillId="8" borderId="0" xfId="0" applyFont="1" applyFill="1"/>
    <xf numFmtId="169" fontId="67" fillId="8" borderId="0" xfId="0" applyNumberFormat="1" applyFont="1" applyFill="1"/>
    <xf numFmtId="165" fontId="52" fillId="4" borderId="16" xfId="34" quotePrefix="1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10" borderId="13" xfId="29" quotePrefix="1" applyFill="1" applyAlignment="1">
      <alignment horizontal="center"/>
    </xf>
    <xf numFmtId="3" fontId="62" fillId="0" borderId="0" xfId="0" applyNumberFormat="1" applyFont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2" borderId="0" xfId="0" applyNumberFormat="1" applyFont="1" applyFill="1" applyAlignment="1">
      <alignment horizontal="right" vertical="center"/>
    </xf>
    <xf numFmtId="177" fontId="20" fillId="12" borderId="0" xfId="13" applyNumberFormat="1" applyFont="1" applyFill="1" applyAlignment="1" applyProtection="1">
      <alignment horizontal="right" vertical="center"/>
    </xf>
    <xf numFmtId="177" fontId="38" fillId="12" borderId="1" xfId="13" applyNumberFormat="1" applyFont="1" applyFill="1" applyBorder="1" applyAlignment="1" applyProtection="1">
      <alignment horizontal="right"/>
    </xf>
    <xf numFmtId="165" fontId="0" fillId="0" borderId="0" xfId="0" applyAlignment="1">
      <alignment horizontal="right"/>
    </xf>
    <xf numFmtId="165" fontId="68" fillId="13" borderId="13" xfId="41" applyAlignment="1">
      <alignment vertical="center"/>
    </xf>
    <xf numFmtId="165" fontId="68" fillId="13" borderId="13" xfId="39" quotePrefix="1" applyAlignment="1">
      <alignment horizontal="center"/>
    </xf>
    <xf numFmtId="165" fontId="68" fillId="13" borderId="13" xfId="39" applyAlignment="1">
      <alignment horizontal="center"/>
    </xf>
    <xf numFmtId="165" fontId="69" fillId="4" borderId="13" xfId="42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3" fontId="51" fillId="4" borderId="13" xfId="23" applyNumberFormat="1">
      <alignment horizontal="right" vertical="center"/>
    </xf>
    <xf numFmtId="14" fontId="52" fillId="4" borderId="13" xfId="25" quotePrefix="1" applyNumberFormat="1" applyAlignment="1">
      <alignment horizontal="left" vertical="center"/>
    </xf>
    <xf numFmtId="165" fontId="50" fillId="10" borderId="14" xfId="29" applyFill="1" applyBorder="1" applyAlignment="1">
      <alignment horizontal="center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1" borderId="0" xfId="0" applyNumberFormat="1" applyFont="1" applyFill="1" applyAlignment="1">
      <alignment horizontal="right" vertical="center" wrapText="1"/>
    </xf>
    <xf numFmtId="165" fontId="58" fillId="11" borderId="0" xfId="0" applyFont="1" applyFill="1" applyAlignment="1">
      <alignment horizontal="right" vertical="center" wrapText="1"/>
    </xf>
    <xf numFmtId="171" fontId="20" fillId="11" borderId="9" xfId="0" applyNumberFormat="1" applyFont="1" applyFill="1" applyBorder="1" applyAlignment="1">
      <alignment horizontal="right" vertical="center" wrapText="1"/>
    </xf>
    <xf numFmtId="165" fontId="20" fillId="11" borderId="10" xfId="0" applyFont="1" applyFill="1" applyBorder="1" applyAlignment="1">
      <alignment horizontal="right" vertical="center" wrapText="1"/>
    </xf>
    <xf numFmtId="3" fontId="58" fillId="11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7" applyAlignment="1">
      <alignment horizontal="center" vertical="center" wrapText="1"/>
    </xf>
    <xf numFmtId="0" fontId="5" fillId="0" borderId="0" xfId="47"/>
    <xf numFmtId="14" fontId="5" fillId="0" borderId="0" xfId="47" applyNumberFormat="1"/>
    <xf numFmtId="3" fontId="70" fillId="0" borderId="22" xfId="47" applyNumberFormat="1" applyFont="1" applyBorder="1" applyAlignment="1">
      <alignment horizontal="right" vertical="center"/>
    </xf>
    <xf numFmtId="167" fontId="70" fillId="0" borderId="22" xfId="47" applyNumberFormat="1" applyFont="1" applyBorder="1" applyAlignment="1">
      <alignment horizontal="right" vertical="center"/>
    </xf>
    <xf numFmtId="171" fontId="5" fillId="0" borderId="0" xfId="47" applyNumberFormat="1"/>
    <xf numFmtId="1" fontId="5" fillId="0" borderId="0" xfId="47" applyNumberFormat="1"/>
    <xf numFmtId="180" fontId="20" fillId="0" borderId="0" xfId="0" applyNumberFormat="1" applyFont="1"/>
    <xf numFmtId="3" fontId="70" fillId="0" borderId="0" xfId="47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65" fontId="68" fillId="0" borderId="13" xfId="44" quotePrefix="1" applyFill="1">
      <alignment horizontal="left" vertical="center"/>
    </xf>
    <xf numFmtId="165" fontId="68" fillId="0" borderId="13" xfId="44" applyFill="1">
      <alignment horizontal="left" vertical="center"/>
    </xf>
    <xf numFmtId="179" fontId="68" fillId="0" borderId="13" xfId="43" applyFill="1">
      <alignment horizontal="right" vertical="center"/>
    </xf>
    <xf numFmtId="167" fontId="68" fillId="14" borderId="13" xfId="43" applyNumberFormat="1" applyFill="1">
      <alignment horizontal="right" vertical="center"/>
    </xf>
    <xf numFmtId="3" fontId="20" fillId="11" borderId="0" xfId="0" applyNumberFormat="1" applyFont="1" applyFill="1" applyAlignment="1">
      <alignment horizontal="right" vertical="center" wrapText="1"/>
    </xf>
    <xf numFmtId="165" fontId="20" fillId="11" borderId="8" xfId="0" applyFont="1" applyFill="1" applyBorder="1" applyAlignment="1">
      <alignment horizontal="right" vertical="center" wrapText="1"/>
    </xf>
    <xf numFmtId="165" fontId="72" fillId="18" borderId="13" xfId="48" applyAlignment="1">
      <alignment vertical="center"/>
    </xf>
    <xf numFmtId="165" fontId="72" fillId="18" borderId="13" xfId="50" quotePrefix="1" applyAlignment="1">
      <alignment horizontal="center"/>
    </xf>
    <xf numFmtId="165" fontId="72" fillId="18" borderId="13" xfId="50" applyAlignment="1">
      <alignment horizontal="center"/>
    </xf>
    <xf numFmtId="165" fontId="53" fillId="5" borderId="13" xfId="56" quotePrefix="1" applyAlignment="1">
      <alignment horizontal="left" vertical="center"/>
    </xf>
    <xf numFmtId="165" fontId="50" fillId="6" borderId="13" xfId="53" applyAlignment="1">
      <alignment horizontal="center"/>
    </xf>
    <xf numFmtId="181" fontId="0" fillId="0" borderId="0" xfId="0" applyNumberFormat="1"/>
    <xf numFmtId="167" fontId="49" fillId="5" borderId="13" xfId="20">
      <alignment horizontal="right" vertical="center"/>
    </xf>
    <xf numFmtId="0" fontId="50" fillId="16" borderId="13" xfId="59" applyFont="1" applyFill="1" applyBorder="1" applyAlignment="1">
      <alignment horizontal="center" vertical="center" wrapText="1"/>
    </xf>
    <xf numFmtId="0" fontId="50" fillId="16" borderId="21" xfId="59" applyFont="1" applyFill="1" applyBorder="1" applyAlignment="1">
      <alignment horizontal="center" vertical="center" wrapText="1"/>
    </xf>
    <xf numFmtId="0" fontId="3" fillId="0" borderId="0" xfId="47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7" applyFont="1" applyAlignment="1">
      <alignment horizontal="center" vertical="center" wrapText="1"/>
    </xf>
    <xf numFmtId="167" fontId="51" fillId="17" borderId="13" xfId="0" applyNumberFormat="1" applyFont="1" applyFill="1" applyBorder="1" applyAlignment="1">
      <alignment horizontal="right" vertical="center" wrapText="1"/>
    </xf>
    <xf numFmtId="10" fontId="51" fillId="17" borderId="13" xfId="0" applyNumberFormat="1" applyFont="1" applyFill="1" applyBorder="1" applyAlignment="1">
      <alignment horizontal="right" vertical="center" wrapText="1"/>
    </xf>
    <xf numFmtId="10" fontId="51" fillId="17" borderId="21" xfId="0" applyNumberFormat="1" applyFont="1" applyFill="1" applyBorder="1" applyAlignment="1">
      <alignment horizontal="right" vertical="center" wrapText="1"/>
    </xf>
    <xf numFmtId="167" fontId="49" fillId="15" borderId="13" xfId="0" applyNumberFormat="1" applyFont="1" applyFill="1" applyBorder="1" applyAlignment="1">
      <alignment horizontal="right" vertical="center" wrapText="1"/>
    </xf>
    <xf numFmtId="10" fontId="49" fillId="15" borderId="13" xfId="0" applyNumberFormat="1" applyFont="1" applyFill="1" applyBorder="1" applyAlignment="1">
      <alignment horizontal="right" vertical="center" wrapText="1"/>
    </xf>
    <xf numFmtId="10" fontId="49" fillId="15" borderId="21" xfId="0" applyNumberFormat="1" applyFont="1" applyFill="1" applyBorder="1" applyAlignment="1">
      <alignment horizontal="right" vertical="center" wrapText="1"/>
    </xf>
    <xf numFmtId="165" fontId="52" fillId="17" borderId="13" xfId="0" applyFont="1" applyFill="1" applyBorder="1" applyAlignment="1">
      <alignment horizontal="left" vertical="center" wrapText="1"/>
    </xf>
    <xf numFmtId="165" fontId="53" fillId="15" borderId="13" xfId="0" applyFont="1" applyFill="1" applyBorder="1" applyAlignment="1">
      <alignment horizontal="left" vertical="center" wrapText="1"/>
    </xf>
    <xf numFmtId="165" fontId="50" fillId="6" borderId="13" xfId="53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4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3" fillId="0" borderId="0" xfId="2" applyFont="1"/>
    <xf numFmtId="0" fontId="74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1" borderId="0" xfId="8" applyNumberFormat="1" applyFont="1" applyFill="1"/>
    <xf numFmtId="0" fontId="32" fillId="0" borderId="0" xfId="8" applyFont="1" applyAlignment="1">
      <alignment wrapText="1"/>
    </xf>
    <xf numFmtId="0" fontId="32" fillId="0" borderId="24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4" quotePrefix="1" applyAlignment="1">
      <alignment horizontal="left" vertical="center" indent="1"/>
    </xf>
    <xf numFmtId="165" fontId="52" fillId="4" borderId="13" xfId="54" quotePrefix="1" applyAlignment="1">
      <alignment horizontal="left" vertical="center" indent="2"/>
    </xf>
    <xf numFmtId="165" fontId="38" fillId="0" borderId="0" xfId="0" applyFont="1" applyAlignment="1">
      <alignment horizontal="left"/>
    </xf>
    <xf numFmtId="3" fontId="38" fillId="0" borderId="0" xfId="9" applyNumberFormat="1" applyFont="1" applyAlignment="1">
      <alignment horizontal="right" indent="1"/>
    </xf>
    <xf numFmtId="10" fontId="38" fillId="0" borderId="0" xfId="13" applyNumberFormat="1" applyFont="1" applyFill="1" applyBorder="1" applyAlignment="1">
      <alignment horizontal="right" indent="1"/>
    </xf>
    <xf numFmtId="168" fontId="51" fillId="4" borderId="13" xfId="55">
      <alignment horizontal="right" vertical="center"/>
    </xf>
    <xf numFmtId="168" fontId="49" fillId="5" borderId="13" xfId="57">
      <alignment horizontal="right" vertical="center"/>
    </xf>
    <xf numFmtId="10" fontId="49" fillId="5" borderId="13" xfId="58">
      <alignment horizontal="right" vertical="center"/>
    </xf>
    <xf numFmtId="179" fontId="21" fillId="4" borderId="13" xfId="40">
      <alignment horizontal="right" vertical="center"/>
    </xf>
    <xf numFmtId="165" fontId="68" fillId="13" borderId="13" xfId="44" quotePrefix="1">
      <alignment horizontal="left" vertical="center"/>
    </xf>
    <xf numFmtId="165" fontId="68" fillId="13" borderId="13" xfId="44">
      <alignment horizontal="left" vertical="center"/>
    </xf>
    <xf numFmtId="179" fontId="68" fillId="13" borderId="13" xfId="43">
      <alignment horizontal="right" vertical="center"/>
    </xf>
    <xf numFmtId="165" fontId="52" fillId="4" borderId="13" xfId="25" quotePrefix="1" applyAlignment="1">
      <alignment horizontal="left" vertical="center"/>
    </xf>
    <xf numFmtId="10" fontId="51" fillId="4" borderId="13" xfId="63">
      <alignment horizontal="right" vertical="center"/>
    </xf>
    <xf numFmtId="165" fontId="52" fillId="4" borderId="13" xfId="25" applyAlignment="1">
      <alignment horizontal="left" vertical="center"/>
    </xf>
    <xf numFmtId="171" fontId="0" fillId="0" borderId="0" xfId="13" applyNumberFormat="1" applyFont="1"/>
    <xf numFmtId="168" fontId="21" fillId="4" borderId="13" xfId="45">
      <alignment horizontal="right" vertical="center"/>
    </xf>
    <xf numFmtId="165" fontId="72" fillId="13" borderId="13" xfId="49" quotePrefix="1">
      <alignment horizontal="left" vertical="center"/>
    </xf>
    <xf numFmtId="168" fontId="72" fillId="13" borderId="13" xfId="51">
      <alignment horizontal="right" vertical="center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20" fillId="0" borderId="0" xfId="4" applyNumberFormat="1" applyFont="1" applyAlignment="1">
      <alignment horizontal="left" wrapText="1"/>
    </xf>
    <xf numFmtId="0" fontId="20" fillId="0" borderId="0" xfId="4" applyNumberFormat="1" applyFont="1" applyAlignment="1">
      <alignment horizontal="justify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0" fontId="38" fillId="0" borderId="0" xfId="6" applyFont="1" applyAlignment="1">
      <alignment horizontal="left" vertical="top" wrapText="1"/>
    </xf>
    <xf numFmtId="0" fontId="38" fillId="0" borderId="0" xfId="6" applyFont="1" applyAlignment="1">
      <alignment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69" fillId="4" borderId="20" xfId="42" quotePrefix="1" applyBorder="1" applyAlignment="1">
      <alignment horizontal="left" vertical="center"/>
    </xf>
    <xf numFmtId="165" fontId="0" fillId="0" borderId="21" xfId="0" applyBorder="1" applyAlignment="1">
      <alignment horizontal="left" vertical="center"/>
    </xf>
    <xf numFmtId="165" fontId="50" fillId="6" borderId="13" xfId="53" quotePrefix="1" applyAlignment="1">
      <alignment horizontal="center"/>
    </xf>
    <xf numFmtId="165" fontId="0" fillId="0" borderId="11" xfId="0" applyBorder="1" applyAlignment="1">
      <alignment horizontal="center"/>
    </xf>
    <xf numFmtId="165" fontId="50" fillId="6" borderId="15" xfId="53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9" fillId="4" borderId="19" xfId="42" quotePrefix="1" applyBorder="1" applyAlignment="1">
      <alignment horizontal="left" vertical="center"/>
    </xf>
    <xf numFmtId="165" fontId="0" fillId="0" borderId="20" xfId="0" applyBorder="1" applyAlignment="1">
      <alignment horizontal="left" vertical="center"/>
    </xf>
    <xf numFmtId="165" fontId="50" fillId="10" borderId="15" xfId="29" applyFill="1" applyBorder="1" applyAlignment="1">
      <alignment horizontal="center"/>
    </xf>
    <xf numFmtId="165" fontId="50" fillId="10" borderId="14" xfId="29" applyFill="1" applyBorder="1" applyAlignment="1">
      <alignment horizontal="center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  <xf numFmtId="165" fontId="50" fillId="16" borderId="16" xfId="0" applyFont="1" applyFill="1" applyBorder="1" applyAlignment="1">
      <alignment horizontal="center" wrapText="1"/>
    </xf>
    <xf numFmtId="165" fontId="0" fillId="0" borderId="23" xfId="0" applyBorder="1" applyAlignment="1">
      <alignment horizontal="center"/>
    </xf>
    <xf numFmtId="0" fontId="50" fillId="16" borderId="13" xfId="59" applyFont="1" applyFill="1" applyBorder="1" applyAlignment="1">
      <alignment horizontal="center" wrapText="1"/>
    </xf>
    <xf numFmtId="0" fontId="50" fillId="16" borderId="21" xfId="59" applyFont="1" applyFill="1" applyBorder="1" applyAlignment="1">
      <alignment horizontal="center" wrapText="1"/>
    </xf>
  </cellXfs>
  <cellStyles count="67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Millares" xfId="18" builtinId="3"/>
    <cellStyle name="MSTRStyle.Todos.c01345FC2B5437FE7CC6FC097290B19B5_d21bff2c-6d57-4b21-a9db-885c116d5232" xfId="64" xr:uid="{AF487255-1B73-4CEA-9C26-18068ACF8F56}"/>
    <cellStyle name="MSTRStyle.Todos.c1_f233c5b5-8efc-40cc-a089-d6ee1d6d5aff" xfId="28" xr:uid="{00000000-0005-0000-0000-000004000000}"/>
    <cellStyle name="MSTRStyle.Todos.c12_41e5c802-0036-4296-98c2-7fda3afe8126" xfId="45" xr:uid="{67A0AA3A-AC11-4695-8802-88404AA6C089}"/>
    <cellStyle name="MSTRStyle.Todos.c12_7a1e8989-ce78-4d49-8f33-804e75eaa9ac" xfId="40" xr:uid="{00000000-0005-0000-0000-000005000000}"/>
    <cellStyle name="MSTRStyle.Todos.c13_0b0314d6-c2e0-43d2-a5aa-9345e4338932" xfId="62" xr:uid="{E77B47E2-34CD-43A9-B992-E781A910FBB3}"/>
    <cellStyle name="MSTRStyle.Todos.c13_1c857d04-1888-46ca-a093-da254b91b892" xfId="44" xr:uid="{00000000-0005-0000-0000-000006000000}"/>
    <cellStyle name="MSTRStyle.Todos.c13_7e420611-275d-473b-8f31-0e521fd83d09" xfId="26" xr:uid="{00000000-0005-0000-0000-000007000000}"/>
    <cellStyle name="MSTRStyle.Todos.c14_bd018b41-2aac-4afa-b128-186e0d2a0ba8" xfId="43" xr:uid="{00000000-0005-0000-0000-000008000000}"/>
    <cellStyle name="MSTRStyle.Todos.c15_15fbff46-fe6a-4e3e-a0de-d99014ad5935" xfId="55" xr:uid="{CBC9C65B-4B9A-4409-A2B6-9DC46AD977FB}"/>
    <cellStyle name="MSTRStyle.Todos.c16_a3abbdba-39c5-4475-8de4-e6135500e251" xfId="23" xr:uid="{00000000-0005-0000-0000-00000A000000}"/>
    <cellStyle name="MSTRStyle.Todos.c17_4d0c6726-016a-458a-8b38-aa05b0e7297c" xfId="46" xr:uid="{D18DF0AE-27F8-4B95-8BD1-57C13B7B04DF}"/>
    <cellStyle name="MSTRStyle.Todos.c17_9a84d701-23f0-4645-bc21-6b9831c6df1c" xfId="63" xr:uid="{14423CFE-7906-4680-A545-0493BD2E2652}"/>
    <cellStyle name="MSTRStyle.Todos.c18_19c4098a-8743-4bc4-b466-65d82a5a7505" xfId="24" xr:uid="{00000000-0005-0000-0000-00000B000000}"/>
    <cellStyle name="MSTRStyle.Todos.c19_15009b83-d662-472c-ae48-4df3fea471dd" xfId="35" xr:uid="{00000000-0005-0000-0000-00000C000000}"/>
    <cellStyle name="MSTRStyle.Todos.c19_5273395b-330c-4453-bb5e-3d097a5f9a38" xfId="57" xr:uid="{5089B4E7-27A2-4D31-918A-A7C85961DB86}"/>
    <cellStyle name="MSTRStyle.Todos.c2_3a581374-dd4c-4b65-a07e-d5e7fd3fec7a" xfId="52" xr:uid="{0E9F78D5-4D9A-4151-B054-A0EEE46EFED7}"/>
    <cellStyle name="MSTRStyle.Todos.c2_3c6e317f-bd39-4422-933b-ac144830b67b" xfId="21" xr:uid="{00000000-0005-0000-0000-00000D000000}"/>
    <cellStyle name="MSTRStyle.Todos.c2_c104d2fa-5300-418c-a569-abbb41344e9d" xfId="41" xr:uid="{00000000-0005-0000-0000-00000E000000}"/>
    <cellStyle name="MSTRStyle.Todos.c2_e153042f-707e-470f-9ae6-b2261dc537dd" xfId="48" xr:uid="{0C089A2F-1D42-4871-B3A0-B3855D13E552}"/>
    <cellStyle name="MSTRStyle.Todos.c20_17d38e15-bcc2-49f6-adb0-74fa24f73c0d" xfId="19" xr:uid="{00000000-0005-0000-0000-00000F000000}"/>
    <cellStyle name="MSTRStyle.Todos.c21_8e710c8e-e33a-4c2d-8e81-b7657ce67fb9" xfId="33" xr:uid="{00000000-0005-0000-0000-000010000000}"/>
    <cellStyle name="MSTRStyle.Todos.c22_8ff8ac70-2ad1-4e8d-b36a-325273c52159" xfId="56" xr:uid="{FFD0639C-6CE7-4D97-BF9A-C36F9456FA99}"/>
    <cellStyle name="MSTRStyle.Todos.c22_928c9b5c-8086-45a3-84f9-2dc5b737a557" xfId="27" xr:uid="{00000000-0005-0000-0000-000011000000}"/>
    <cellStyle name="MSTRStyle.Todos.c23_54a66e00-ce3a-4eb4-88c1-b8c753f0ebd7" xfId="32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8" xr:uid="{94577577-EA40-4777-8DFF-4664E10FBDE0}"/>
    <cellStyle name="MSTRStyle.Todos.c25_afaf7586-66ac-412d-9de1-4c2909e1f8f2" xfId="31" xr:uid="{00000000-0005-0000-0000-000015000000}"/>
    <cellStyle name="MSTRStyle.Todos.c3_12fa68d3-c457-4d25-994e-10345e19d365" xfId="54" xr:uid="{AADFEBED-E0AA-44F6-928D-83E8D7C60954}"/>
    <cellStyle name="MSTRStyle.Todos.c3_643e75d5-5bb6-4a8f-a153-5b2cbad6ca42" xfId="25" xr:uid="{00000000-0005-0000-0000-000016000000}"/>
    <cellStyle name="MSTRStyle.Todos.c3_c7acf525-e5b5-4332-9962-8db109e784ea" xfId="42" xr:uid="{00000000-0005-0000-0000-000017000000}"/>
    <cellStyle name="MSTRStyle.Todos.c6_81bfd3a6-0f47-492d-bc49-79c4fbba0499" xfId="34" xr:uid="{00000000-0005-0000-0000-000018000000}"/>
    <cellStyle name="MSTRStyle.Todos.c664D86AC864EB7F1EB71E0963B03102A_d6ca69ad-1ff2-41b0-86b3-47dddf07b00e" xfId="65" xr:uid="{F255159D-A48B-44D7-9225-CCD3E9F88463}"/>
    <cellStyle name="MSTRStyle.Todos.c7_03c312d0-6154-48f1-b89c-a4374d2ac33b" xfId="50" xr:uid="{6BBFE342-F0F2-48F2-9896-0157F62CAB84}"/>
    <cellStyle name="MSTRStyle.Todos.c7_3e22e94e-2e1a-4be3-9466-931f06a0e26e" xfId="30" xr:uid="{00000000-0005-0000-0000-000019000000}"/>
    <cellStyle name="MSTRStyle.Todos.c7_4be24ddf-a144-4ef7-aea0-57f6cd34329f" xfId="39" xr:uid="{00000000-0005-0000-0000-00001A000000}"/>
    <cellStyle name="MSTRStyle.Todos.c9_1576a73a-c000-427e-9123-f88f4de52482" xfId="61" xr:uid="{FFA793B7-3F50-4199-9C4F-36F9CE1C1ACE}"/>
    <cellStyle name="MSTRStyle.Todos.c9_4640f619-39fa-4d3e-98e7-beb9e4e71513" xfId="53" xr:uid="{56729557-3780-46F1-A18D-DBCA35551066}"/>
    <cellStyle name="MSTRStyle.Todos.c9_5a51e594-f96b-4da2-8e95-9c20ffe12f9e" xfId="29" xr:uid="{00000000-0005-0000-0000-00001B000000}"/>
    <cellStyle name="MSTRStyle.Todos.cDD77117A8A407989421D709872706048_c40abd0a-78c5-4b85-96d0-e2bfe39c315b" xfId="66" xr:uid="{2AD10A2B-A4A2-44A4-A050-68779D459EBD}"/>
    <cellStyle name="MSTRStyle.Todos.cEF9EF78311EBE4B100000080EFC544CB_941934bb-17c9-4476-9644-f6ead735be79" xfId="49" xr:uid="{76DD4D36-5A03-4E73-B3A4-6DA9693F0638}"/>
    <cellStyle name="MSTRStyle.Todos.cEF9EFC7911EBE4B100000080EFC544CB_fada1520-e799-4241-8aee-b007ed03b5f8" xfId="51" xr:uid="{267C298B-0156-4CEE-9019-4AEB8EB4CEAB}"/>
    <cellStyle name="Normal" xfId="0" builtinId="0"/>
    <cellStyle name="Normal 10" xfId="47" xr:uid="{7058EDDB-2C98-440F-B7DB-70A68D35EAE7}"/>
    <cellStyle name="Normal 11" xfId="59" xr:uid="{58FEF1AE-EFAA-4806-BFE1-A7F55B564B3A}"/>
    <cellStyle name="Normal 12" xfId="60" xr:uid="{E8335E95-8B56-4206-8E80-4F2445F731AF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3" xfId="3" xr:uid="{00000000-0005-0000-0000-000020000000}"/>
    <cellStyle name="Normal 3 2" xfId="8" xr:uid="{00000000-0005-0000-0000-000021000000}"/>
    <cellStyle name="Normal 4" xfId="5" xr:uid="{00000000-0005-0000-0000-000022000000}"/>
    <cellStyle name="Normal 4 2" xfId="7" xr:uid="{00000000-0005-0000-0000-000023000000}"/>
    <cellStyle name="Normal 5" xfId="12" xr:uid="{00000000-0005-0000-0000-000024000000}"/>
    <cellStyle name="Normal 6" xfId="36" xr:uid="{00000000-0005-0000-0000-000025000000}"/>
    <cellStyle name="Normal 7" xfId="2" xr:uid="{00000000-0005-0000-0000-000026000000}"/>
    <cellStyle name="Normal 8" xfId="37" xr:uid="{00000000-0005-0000-0000-000027000000}"/>
    <cellStyle name="Normal 9" xfId="38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ED7D31"/>
      <color rgb="FF44B114"/>
      <color rgb="FF385723"/>
      <color rgb="FFDAACA8"/>
      <color rgb="FFAF8E00"/>
      <color rgb="FF993300"/>
      <color rgb="FFFFCC66"/>
      <color rgb="FFCFA2CA"/>
      <color rgb="FFCD997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700A-4484-860A-84A5297EFAFD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700A-4484-860A-84A5297EFAFD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2972302747870801"/>
                  <c:y val="-9.880098321043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836485428693552"/>
                  <c:y val="-4.967299675775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75594156028071"/>
                      <c:h val="0.1546930163141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41794595819407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0397810533022"/>
                      <c:h val="0.14946425814420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A-4484-860A-84A5297EFAFD}"/>
                </c:ext>
              </c:extLst>
            </c:dLbl>
            <c:dLbl>
              <c:idx val="4"/>
              <c:layout>
                <c:manualLayout>
                  <c:x val="0.17872908545032251"/>
                  <c:y val="6.3058823529411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490359609234588"/>
                  <c:y val="0.15573568009881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8.743839574010083E-2"/>
                  <c:y val="0.28266666666666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-0.16898627671541058"/>
                  <c:y val="0.16282372703412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4607411216455085"/>
                  <c:y val="7.4300472440944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00A-4484-860A-84A5297EFA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Dat_01!$A$34:$A$46</c:f>
              <c:strCache>
                <c:ptCount val="13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Fuel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Dat_01!$C$34:$C$46</c:f>
              <c:numCache>
                <c:formatCode>#,##0.0</c:formatCode>
                <c:ptCount val="13"/>
                <c:pt idx="0">
                  <c:v>5.5034962875582982</c:v>
                </c:pt>
                <c:pt idx="1">
                  <c:v>0.97282724806973131</c:v>
                </c:pt>
                <c:pt idx="2">
                  <c:v>18.992625391558072</c:v>
                </c:pt>
                <c:pt idx="3">
                  <c:v>0.43448166528758753</c:v>
                </c:pt>
                <c:pt idx="4">
                  <c:v>4.0366952790529842</c:v>
                </c:pt>
                <c:pt idx="5">
                  <c:v>6.1473953549860232E-3</c:v>
                </c:pt>
                <c:pt idx="6">
                  <c:v>0.29247721921604913</c:v>
                </c:pt>
                <c:pt idx="7">
                  <c:v>0.1017819222752733</c:v>
                </c:pt>
                <c:pt idx="8">
                  <c:v>24.869463051369276</c:v>
                </c:pt>
                <c:pt idx="9">
                  <c:v>13.203985093371257</c:v>
                </c:pt>
                <c:pt idx="10">
                  <c:v>28.934881353978771</c:v>
                </c:pt>
                <c:pt idx="11">
                  <c:v>1.7791281286597491</c:v>
                </c:pt>
                <c:pt idx="12">
                  <c:v>0.87200996424796084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4636.1565559999999</c:v>
                </c:pt>
                <c:pt idx="1">
                  <c:v>3631.6146010000002</c:v>
                </c:pt>
                <c:pt idx="2">
                  <c:v>4248.0893850000002</c:v>
                </c:pt>
                <c:pt idx="3">
                  <c:v>5226.0164349999995</c:v>
                </c:pt>
                <c:pt idx="4">
                  <c:v>4737.4506929999998</c:v>
                </c:pt>
                <c:pt idx="5">
                  <c:v>4877.9919600000003</c:v>
                </c:pt>
                <c:pt idx="6">
                  <c:v>2951.0691240000001</c:v>
                </c:pt>
                <c:pt idx="7">
                  <c:v>3062.4801870000001</c:v>
                </c:pt>
                <c:pt idx="8">
                  <c:v>4096.3802539999997</c:v>
                </c:pt>
                <c:pt idx="9">
                  <c:v>5059.0227649999997</c:v>
                </c:pt>
                <c:pt idx="10">
                  <c:v>5094.8395760000003</c:v>
                </c:pt>
                <c:pt idx="11">
                  <c:v>4538.2160970000004</c:v>
                </c:pt>
                <c:pt idx="12">
                  <c:v>3695.4009620000002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310.38593600000002</c:v>
                </c:pt>
                <c:pt idx="1">
                  <c:v>288.07616899999999</c:v>
                </c:pt>
                <c:pt idx="2">
                  <c:v>315.08651700000001</c:v>
                </c:pt>
                <c:pt idx="3">
                  <c:v>297.46981799999998</c:v>
                </c:pt>
                <c:pt idx="4">
                  <c:v>278.05515800000001</c:v>
                </c:pt>
                <c:pt idx="5">
                  <c:v>190.53958</c:v>
                </c:pt>
                <c:pt idx="6">
                  <c:v>169.82641100000001</c:v>
                </c:pt>
                <c:pt idx="7">
                  <c:v>143.526748</c:v>
                </c:pt>
                <c:pt idx="8">
                  <c:v>154.141783</c:v>
                </c:pt>
                <c:pt idx="9">
                  <c:v>105.938849</c:v>
                </c:pt>
                <c:pt idx="10">
                  <c:v>1.1E-4</c:v>
                </c:pt>
                <c:pt idx="11">
                  <c:v>7.238918</c:v>
                </c:pt>
                <c:pt idx="12">
                  <c:v>19.604610000000001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4"/>
          <c:order val="2"/>
          <c:tx>
            <c:strRef>
              <c:f>Dat_01!$A$149</c:f>
              <c:strCache>
                <c:ptCount val="1"/>
                <c:pt idx="0">
                  <c:v>Turbina de vapor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108.616974</c:v>
                </c:pt>
                <c:pt idx="10">
                  <c:v>164.26569699999999</c:v>
                </c:pt>
                <c:pt idx="11">
                  <c:v>185.05953700000001</c:v>
                </c:pt>
                <c:pt idx="12">
                  <c:v>208.33896799999999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DFF-AD53-7B07EBBCC20E}"/>
            </c:ext>
          </c:extLst>
        </c:ser>
        <c:ser>
          <c:idx val="1"/>
          <c:order val="3"/>
          <c:tx>
            <c:strRef>
              <c:f>Dat_01!$A$150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2264.896299</c:v>
                </c:pt>
                <c:pt idx="1">
                  <c:v>3505.494428</c:v>
                </c:pt>
                <c:pt idx="2">
                  <c:v>4516.264698</c:v>
                </c:pt>
                <c:pt idx="3">
                  <c:v>2796.3871949999998</c:v>
                </c:pt>
                <c:pt idx="4">
                  <c:v>2601.0313259999998</c:v>
                </c:pt>
                <c:pt idx="5">
                  <c:v>1974.6932220000001</c:v>
                </c:pt>
                <c:pt idx="6">
                  <c:v>2023.7233229999999</c:v>
                </c:pt>
                <c:pt idx="7">
                  <c:v>2692.3510759999999</c:v>
                </c:pt>
                <c:pt idx="8">
                  <c:v>3980.7121860000002</c:v>
                </c:pt>
                <c:pt idx="9">
                  <c:v>3578.6064449999999</c:v>
                </c:pt>
                <c:pt idx="10">
                  <c:v>3538.346309</c:v>
                </c:pt>
                <c:pt idx="11">
                  <c:v>3151.5799659999998</c:v>
                </c:pt>
                <c:pt idx="12">
                  <c:v>4520.0373680000002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Dat_01!$B$155:$N$155</c:f>
              <c:numCache>
                <c:formatCode>#,##0.0</c:formatCode>
                <c:ptCount val="13"/>
                <c:pt idx="0">
                  <c:v>1224.0637610000001</c:v>
                </c:pt>
                <c:pt idx="1">
                  <c:v>1543.21272</c:v>
                </c:pt>
                <c:pt idx="2">
                  <c:v>1506.8375820000001</c:v>
                </c:pt>
                <c:pt idx="3">
                  <c:v>1428.380842</c:v>
                </c:pt>
                <c:pt idx="4">
                  <c:v>1374.1310619999999</c:v>
                </c:pt>
                <c:pt idx="5">
                  <c:v>1152.9488690000001</c:v>
                </c:pt>
                <c:pt idx="6">
                  <c:v>1135.3294229999999</c:v>
                </c:pt>
                <c:pt idx="7">
                  <c:v>1158.4630870000001</c:v>
                </c:pt>
                <c:pt idx="8">
                  <c:v>1365.643943</c:v>
                </c:pt>
                <c:pt idx="9">
                  <c:v>1299.381529</c:v>
                </c:pt>
                <c:pt idx="10">
                  <c:v>1208.5679929999999</c:v>
                </c:pt>
                <c:pt idx="11">
                  <c:v>1248.618485</c:v>
                </c:pt>
                <c:pt idx="12">
                  <c:v>1356.977001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Dat_01!$B$156:$N$156</c:f>
              <c:numCache>
                <c:formatCode>#,##0.0</c:formatCode>
                <c:ptCount val="13"/>
                <c:pt idx="0">
                  <c:v>120.82929900000001</c:v>
                </c:pt>
                <c:pt idx="1">
                  <c:v>115.758396</c:v>
                </c:pt>
                <c:pt idx="2">
                  <c:v>111.3057175</c:v>
                </c:pt>
                <c:pt idx="3">
                  <c:v>91.833926500000004</c:v>
                </c:pt>
                <c:pt idx="4">
                  <c:v>88.809291999999999</c:v>
                </c:pt>
                <c:pt idx="5">
                  <c:v>76.525302999999994</c:v>
                </c:pt>
                <c:pt idx="6">
                  <c:v>55.897608499999997</c:v>
                </c:pt>
                <c:pt idx="7">
                  <c:v>41.967689</c:v>
                </c:pt>
                <c:pt idx="8">
                  <c:v>59.118400999999999</c:v>
                </c:pt>
                <c:pt idx="9">
                  <c:v>84.448240999999996</c:v>
                </c:pt>
                <c:pt idx="10">
                  <c:v>93.167946499999999</c:v>
                </c:pt>
                <c:pt idx="11">
                  <c:v>70.060862999999998</c:v>
                </c:pt>
                <c:pt idx="12">
                  <c:v>89.153631000000004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7745109974551132"/>
          <c:h val="5.9406124654586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Dat_01!$Y$182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Dat_01!$Y$184:$Y$214</c:f>
              <c:numCache>
                <c:formatCode>0_)</c:formatCode>
                <c:ptCount val="31"/>
                <c:pt idx="0">
                  <c:v>82.442988999999997</c:v>
                </c:pt>
                <c:pt idx="1">
                  <c:v>53.238572999999995</c:v>
                </c:pt>
                <c:pt idx="2">
                  <c:v>45.212398</c:v>
                </c:pt>
                <c:pt idx="3">
                  <c:v>121.49296200000001</c:v>
                </c:pt>
                <c:pt idx="4">
                  <c:v>197.231832</c:v>
                </c:pt>
                <c:pt idx="5">
                  <c:v>124.972129</c:v>
                </c:pt>
                <c:pt idx="6">
                  <c:v>40.095638000000001</c:v>
                </c:pt>
                <c:pt idx="7">
                  <c:v>93.381330000000005</c:v>
                </c:pt>
                <c:pt idx="8">
                  <c:v>233.86329199999997</c:v>
                </c:pt>
                <c:pt idx="9">
                  <c:v>211.16862499999999</c:v>
                </c:pt>
                <c:pt idx="10">
                  <c:v>116.03462399999999</c:v>
                </c:pt>
                <c:pt idx="11">
                  <c:v>117.39400199999999</c:v>
                </c:pt>
                <c:pt idx="12">
                  <c:v>49.402464000000002</c:v>
                </c:pt>
                <c:pt idx="13">
                  <c:v>23.182852999999998</c:v>
                </c:pt>
                <c:pt idx="14">
                  <c:v>35.434694</c:v>
                </c:pt>
                <c:pt idx="15">
                  <c:v>48.869900000000001</c:v>
                </c:pt>
                <c:pt idx="16">
                  <c:v>52.066099999999999</c:v>
                </c:pt>
                <c:pt idx="17">
                  <c:v>65.957599999999999</c:v>
                </c:pt>
                <c:pt idx="18">
                  <c:v>197.71639999999999</c:v>
                </c:pt>
                <c:pt idx="19">
                  <c:v>275.89229999999998</c:v>
                </c:pt>
                <c:pt idx="20">
                  <c:v>304.49779999999998</c:v>
                </c:pt>
                <c:pt idx="21">
                  <c:v>342.41219999999998</c:v>
                </c:pt>
                <c:pt idx="22">
                  <c:v>312.87390000000005</c:v>
                </c:pt>
                <c:pt idx="23">
                  <c:v>123.3712</c:v>
                </c:pt>
                <c:pt idx="24">
                  <c:v>116.9032</c:v>
                </c:pt>
                <c:pt idx="25">
                  <c:v>184.33120000000002</c:v>
                </c:pt>
                <c:pt idx="26">
                  <c:v>95.352500000000006</c:v>
                </c:pt>
                <c:pt idx="27">
                  <c:v>94.516800000000003</c:v>
                </c:pt>
                <c:pt idx="28">
                  <c:v>166.5873</c:v>
                </c:pt>
                <c:pt idx="29">
                  <c:v>174.64850000000001</c:v>
                </c:pt>
                <c:pt idx="30">
                  <c:v>252.67179999999999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Dat_01!$X$182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1"/>
                <c:pt idx="0">
                  <c:v>12.047359738418425</c:v>
                </c:pt>
                <c:pt idx="1">
                  <c:v>7.7833833747195893</c:v>
                </c:pt>
                <c:pt idx="2">
                  <c:v>6.5824648178608305</c:v>
                </c:pt>
                <c:pt idx="3">
                  <c:v>19.314213275936158</c:v>
                </c:pt>
                <c:pt idx="4">
                  <c:v>31.003424503467965</c:v>
                </c:pt>
                <c:pt idx="5">
                  <c:v>18.681271734669068</c:v>
                </c:pt>
                <c:pt idx="6">
                  <c:v>5.8783545458212956</c:v>
                </c:pt>
                <c:pt idx="7">
                  <c:v>13.559010982958085</c:v>
                </c:pt>
                <c:pt idx="8">
                  <c:v>31.724517126355543</c:v>
                </c:pt>
                <c:pt idx="9">
                  <c:v>29.97746650809832</c:v>
                </c:pt>
                <c:pt idx="10">
                  <c:v>18.890811148809259</c:v>
                </c:pt>
                <c:pt idx="11">
                  <c:v>19.615009637268045</c:v>
                </c:pt>
                <c:pt idx="12">
                  <c:v>7.8404405561479411</c:v>
                </c:pt>
                <c:pt idx="13">
                  <c:v>3.402506274136758</c:v>
                </c:pt>
                <c:pt idx="14">
                  <c:v>5.2528234596801973</c:v>
                </c:pt>
                <c:pt idx="15">
                  <c:v>7.1709349248429612</c:v>
                </c:pt>
                <c:pt idx="16">
                  <c:v>7.4541525259329307</c:v>
                </c:pt>
                <c:pt idx="17">
                  <c:v>10.357510426196599</c:v>
                </c:pt>
                <c:pt idx="18">
                  <c:v>33.027971051388398</c:v>
                </c:pt>
                <c:pt idx="19">
                  <c:v>39.431076156839154</c:v>
                </c:pt>
                <c:pt idx="20">
                  <c:v>42.550493617240107</c:v>
                </c:pt>
                <c:pt idx="21">
                  <c:v>46.379236712192281</c:v>
                </c:pt>
                <c:pt idx="22">
                  <c:v>42.440187441485577</c:v>
                </c:pt>
                <c:pt idx="23">
                  <c:v>19.268094410713939</c:v>
                </c:pt>
                <c:pt idx="24">
                  <c:v>19.720396387673151</c:v>
                </c:pt>
                <c:pt idx="25">
                  <c:v>30.543958290941365</c:v>
                </c:pt>
                <c:pt idx="26">
                  <c:v>14.979469161011483</c:v>
                </c:pt>
                <c:pt idx="27">
                  <c:v>14.568773892588494</c:v>
                </c:pt>
                <c:pt idx="28">
                  <c:v>24.230101112386059</c:v>
                </c:pt>
                <c:pt idx="29">
                  <c:v>25.818859593425973</c:v>
                </c:pt>
                <c:pt idx="30">
                  <c:v>39.152203630296242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48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6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4'!$C$2:$C$762</c:f>
              <c:numCache>
                <c:formatCode>#,##0</c:formatCode>
                <c:ptCount val="761"/>
                <c:pt idx="0">
                  <c:v>65.036508999999995</c:v>
                </c:pt>
                <c:pt idx="1">
                  <c:v>119.873908</c:v>
                </c:pt>
                <c:pt idx="2">
                  <c:v>119.526482</c:v>
                </c:pt>
                <c:pt idx="3">
                  <c:v>100.721293</c:v>
                </c:pt>
                <c:pt idx="4">
                  <c:v>48.011491999999997</c:v>
                </c:pt>
                <c:pt idx="5">
                  <c:v>62.862432999999996</c:v>
                </c:pt>
                <c:pt idx="6">
                  <c:v>73.717717000000007</c:v>
                </c:pt>
                <c:pt idx="7">
                  <c:v>58.464908000000001</c:v>
                </c:pt>
                <c:pt idx="8">
                  <c:v>53.210732</c:v>
                </c:pt>
                <c:pt idx="9">
                  <c:v>39.624146000000003</c:v>
                </c:pt>
                <c:pt idx="10">
                  <c:v>44.576447999999999</c:v>
                </c:pt>
                <c:pt idx="11">
                  <c:v>85.145594000000017</c:v>
                </c:pt>
                <c:pt idx="12">
                  <c:v>155.04919400000003</c:v>
                </c:pt>
                <c:pt idx="13">
                  <c:v>77.801785999999993</c:v>
                </c:pt>
                <c:pt idx="14">
                  <c:v>55.921984999999999</c:v>
                </c:pt>
                <c:pt idx="15">
                  <c:v>100.69317699999999</c:v>
                </c:pt>
                <c:pt idx="16">
                  <c:v>303.56875000000002</c:v>
                </c:pt>
                <c:pt idx="17">
                  <c:v>377.86370500000004</c:v>
                </c:pt>
                <c:pt idx="18">
                  <c:v>394.54359199999993</c:v>
                </c:pt>
                <c:pt idx="19">
                  <c:v>416.60651100000001</c:v>
                </c:pt>
                <c:pt idx="20">
                  <c:v>193.11387200000001</c:v>
                </c:pt>
                <c:pt idx="21">
                  <c:v>170.560667</c:v>
                </c:pt>
                <c:pt idx="22">
                  <c:v>148.388329</c:v>
                </c:pt>
                <c:pt idx="23">
                  <c:v>303.23055200000005</c:v>
                </c:pt>
                <c:pt idx="24">
                  <c:v>401.490028</c:v>
                </c:pt>
                <c:pt idx="25">
                  <c:v>411.52092900000002</c:v>
                </c:pt>
                <c:pt idx="26">
                  <c:v>357.31926899999996</c:v>
                </c:pt>
                <c:pt idx="27">
                  <c:v>286.65468699999997</c:v>
                </c:pt>
                <c:pt idx="28">
                  <c:v>240.731649</c:v>
                </c:pt>
                <c:pt idx="29">
                  <c:v>309.97619900000001</c:v>
                </c:pt>
                <c:pt idx="30">
                  <c:v>184.52124799999999</c:v>
                </c:pt>
                <c:pt idx="31">
                  <c:v>305.81844899999999</c:v>
                </c:pt>
                <c:pt idx="32">
                  <c:v>378.86872499999998</c:v>
                </c:pt>
                <c:pt idx="33">
                  <c:v>373.03598800000003</c:v>
                </c:pt>
                <c:pt idx="34">
                  <c:v>299.91223500000001</c:v>
                </c:pt>
                <c:pt idx="35">
                  <c:v>286.01113299999997</c:v>
                </c:pt>
                <c:pt idx="36">
                  <c:v>220.93818100000001</c:v>
                </c:pt>
                <c:pt idx="37">
                  <c:v>167.05639300000001</c:v>
                </c:pt>
                <c:pt idx="38">
                  <c:v>181.78700000000001</c:v>
                </c:pt>
                <c:pt idx="39">
                  <c:v>265.00637999999998</c:v>
                </c:pt>
                <c:pt idx="40">
                  <c:v>315.55326199999996</c:v>
                </c:pt>
                <c:pt idx="41">
                  <c:v>354.778547</c:v>
                </c:pt>
                <c:pt idx="42">
                  <c:v>269.60511700000001</c:v>
                </c:pt>
                <c:pt idx="43">
                  <c:v>237.94392799999997</c:v>
                </c:pt>
                <c:pt idx="44">
                  <c:v>195.99808100000001</c:v>
                </c:pt>
                <c:pt idx="45">
                  <c:v>103.760564</c:v>
                </c:pt>
                <c:pt idx="46">
                  <c:v>164.64532800000001</c:v>
                </c:pt>
                <c:pt idx="47">
                  <c:v>106.642061</c:v>
                </c:pt>
                <c:pt idx="48">
                  <c:v>92.486569000000003</c:v>
                </c:pt>
                <c:pt idx="49">
                  <c:v>33.756368000000002</c:v>
                </c:pt>
                <c:pt idx="50">
                  <c:v>127.631987</c:v>
                </c:pt>
                <c:pt idx="51">
                  <c:v>335.09370699999999</c:v>
                </c:pt>
                <c:pt idx="52">
                  <c:v>359.17849999999999</c:v>
                </c:pt>
                <c:pt idx="53">
                  <c:v>302.73943800000001</c:v>
                </c:pt>
                <c:pt idx="54">
                  <c:v>260.22515499999997</c:v>
                </c:pt>
                <c:pt idx="55">
                  <c:v>171.300014</c:v>
                </c:pt>
                <c:pt idx="56">
                  <c:v>30.775072999999999</c:v>
                </c:pt>
                <c:pt idx="57">
                  <c:v>201.966161</c:v>
                </c:pt>
                <c:pt idx="58">
                  <c:v>217.77380600000001</c:v>
                </c:pt>
                <c:pt idx="59">
                  <c:v>291.122863</c:v>
                </c:pt>
                <c:pt idx="60">
                  <c:v>286.47759200000002</c:v>
                </c:pt>
                <c:pt idx="61">
                  <c:v>272.70024800000004</c:v>
                </c:pt>
                <c:pt idx="62">
                  <c:v>208.146873</c:v>
                </c:pt>
                <c:pt idx="63">
                  <c:v>179.16148200000001</c:v>
                </c:pt>
                <c:pt idx="64">
                  <c:v>290.79758600000002</c:v>
                </c:pt>
                <c:pt idx="65">
                  <c:v>117.636807</c:v>
                </c:pt>
                <c:pt idx="66">
                  <c:v>86.278187000000003</c:v>
                </c:pt>
                <c:pt idx="67">
                  <c:v>218.13426799999999</c:v>
                </c:pt>
                <c:pt idx="68">
                  <c:v>337.88358999999997</c:v>
                </c:pt>
                <c:pt idx="69">
                  <c:v>315.39542499999999</c:v>
                </c:pt>
                <c:pt idx="70">
                  <c:v>243.64799100000002</c:v>
                </c:pt>
                <c:pt idx="71">
                  <c:v>251.44671599999998</c:v>
                </c:pt>
                <c:pt idx="72">
                  <c:v>310.79321899999997</c:v>
                </c:pt>
                <c:pt idx="73">
                  <c:v>360.35050200000001</c:v>
                </c:pt>
                <c:pt idx="74">
                  <c:v>294.73806399999995</c:v>
                </c:pt>
                <c:pt idx="75">
                  <c:v>242.31831599999998</c:v>
                </c:pt>
                <c:pt idx="76">
                  <c:v>117.850365</c:v>
                </c:pt>
                <c:pt idx="77">
                  <c:v>36.720750000000002</c:v>
                </c:pt>
                <c:pt idx="78">
                  <c:v>21.287457999999997</c:v>
                </c:pt>
                <c:pt idx="79">
                  <c:v>100.578644</c:v>
                </c:pt>
                <c:pt idx="80">
                  <c:v>343.335375</c:v>
                </c:pt>
                <c:pt idx="81">
                  <c:v>267.99624200000005</c:v>
                </c:pt>
                <c:pt idx="82">
                  <c:v>261.92012600000004</c:v>
                </c:pt>
                <c:pt idx="83">
                  <c:v>187.89280600000001</c:v>
                </c:pt>
                <c:pt idx="84">
                  <c:v>40.785699999999999</c:v>
                </c:pt>
                <c:pt idx="85">
                  <c:v>34.930998000000002</c:v>
                </c:pt>
                <c:pt idx="86">
                  <c:v>56.949647000000006</c:v>
                </c:pt>
                <c:pt idx="87">
                  <c:v>117.74673300000001</c:v>
                </c:pt>
                <c:pt idx="88">
                  <c:v>83.808848999999995</c:v>
                </c:pt>
                <c:pt idx="89">
                  <c:v>39.407254999999999</c:v>
                </c:pt>
                <c:pt idx="90">
                  <c:v>137.48146800000001</c:v>
                </c:pt>
                <c:pt idx="91">
                  <c:v>235.43440200000001</c:v>
                </c:pt>
                <c:pt idx="92">
                  <c:v>160.07481100000001</c:v>
                </c:pt>
                <c:pt idx="93">
                  <c:v>307.25113500000003</c:v>
                </c:pt>
                <c:pt idx="94">
                  <c:v>284.84383399999996</c:v>
                </c:pt>
                <c:pt idx="95">
                  <c:v>138.26594200000002</c:v>
                </c:pt>
                <c:pt idx="96">
                  <c:v>306.23014400000005</c:v>
                </c:pt>
                <c:pt idx="97">
                  <c:v>314.35115800000005</c:v>
                </c:pt>
                <c:pt idx="98">
                  <c:v>266.50268299999993</c:v>
                </c:pt>
                <c:pt idx="99">
                  <c:v>194.88375699999997</c:v>
                </c:pt>
                <c:pt idx="100">
                  <c:v>24.609955000000003</c:v>
                </c:pt>
                <c:pt idx="101">
                  <c:v>90.572484000000003</c:v>
                </c:pt>
                <c:pt idx="102">
                  <c:v>145.88266300000001</c:v>
                </c:pt>
                <c:pt idx="103">
                  <c:v>123.754503</c:v>
                </c:pt>
                <c:pt idx="104">
                  <c:v>155.99460099999999</c:v>
                </c:pt>
                <c:pt idx="105">
                  <c:v>262.74895299999997</c:v>
                </c:pt>
                <c:pt idx="106">
                  <c:v>262.54821800000002</c:v>
                </c:pt>
                <c:pt idx="107">
                  <c:v>314.56918899999999</c:v>
                </c:pt>
                <c:pt idx="108">
                  <c:v>415.95359200000001</c:v>
                </c:pt>
                <c:pt idx="109">
                  <c:v>316.25680999999997</c:v>
                </c:pt>
                <c:pt idx="110">
                  <c:v>284.46691100000004</c:v>
                </c:pt>
                <c:pt idx="111">
                  <c:v>128.54224099999999</c:v>
                </c:pt>
                <c:pt idx="112">
                  <c:v>122.77217300000001</c:v>
                </c:pt>
                <c:pt idx="113">
                  <c:v>208.51628600000001</c:v>
                </c:pt>
                <c:pt idx="114">
                  <c:v>127.14699300000001</c:v>
                </c:pt>
                <c:pt idx="115">
                  <c:v>82.287725000000009</c:v>
                </c:pt>
                <c:pt idx="116">
                  <c:v>80.772361999999987</c:v>
                </c:pt>
                <c:pt idx="117">
                  <c:v>44.223860999999999</c:v>
                </c:pt>
                <c:pt idx="118">
                  <c:v>85.899208000000002</c:v>
                </c:pt>
                <c:pt idx="119">
                  <c:v>162.763341</c:v>
                </c:pt>
                <c:pt idx="120">
                  <c:v>137.261663</c:v>
                </c:pt>
                <c:pt idx="121">
                  <c:v>64.807305999999997</c:v>
                </c:pt>
                <c:pt idx="122">
                  <c:v>67.026424000000006</c:v>
                </c:pt>
                <c:pt idx="123">
                  <c:v>159.82235800000001</c:v>
                </c:pt>
                <c:pt idx="124">
                  <c:v>204.003638</c:v>
                </c:pt>
                <c:pt idx="125">
                  <c:v>75.195433999999992</c:v>
                </c:pt>
                <c:pt idx="126">
                  <c:v>28.476825000000002</c:v>
                </c:pt>
                <c:pt idx="127">
                  <c:v>16.489471000000002</c:v>
                </c:pt>
                <c:pt idx="128">
                  <c:v>110.40474800000001</c:v>
                </c:pt>
                <c:pt idx="129">
                  <c:v>288.404696</c:v>
                </c:pt>
                <c:pt idx="130">
                  <c:v>330.63518599999998</c:v>
                </c:pt>
                <c:pt idx="131">
                  <c:v>323.49917900000003</c:v>
                </c:pt>
                <c:pt idx="132">
                  <c:v>396.14495699999998</c:v>
                </c:pt>
                <c:pt idx="133">
                  <c:v>309.79723999999999</c:v>
                </c:pt>
                <c:pt idx="134">
                  <c:v>327.75338399999998</c:v>
                </c:pt>
                <c:pt idx="135">
                  <c:v>168.62369799999999</c:v>
                </c:pt>
                <c:pt idx="136">
                  <c:v>158.582087</c:v>
                </c:pt>
                <c:pt idx="137">
                  <c:v>248.21895500000002</c:v>
                </c:pt>
                <c:pt idx="138">
                  <c:v>235.15105300000002</c:v>
                </c:pt>
                <c:pt idx="139">
                  <c:v>145.90896499999999</c:v>
                </c:pt>
                <c:pt idx="140">
                  <c:v>95.06930899999999</c:v>
                </c:pt>
                <c:pt idx="141">
                  <c:v>220.327552</c:v>
                </c:pt>
                <c:pt idx="142">
                  <c:v>147.90806099999998</c:v>
                </c:pt>
                <c:pt idx="143">
                  <c:v>141.81943600000002</c:v>
                </c:pt>
                <c:pt idx="144">
                  <c:v>376.42025799999999</c:v>
                </c:pt>
                <c:pt idx="145">
                  <c:v>391.862303</c:v>
                </c:pt>
                <c:pt idx="146">
                  <c:v>349.08516100000003</c:v>
                </c:pt>
                <c:pt idx="147">
                  <c:v>359.74380200000002</c:v>
                </c:pt>
                <c:pt idx="148">
                  <c:v>369.79782699999998</c:v>
                </c:pt>
                <c:pt idx="149">
                  <c:v>341.24197000000004</c:v>
                </c:pt>
                <c:pt idx="150">
                  <c:v>273.86204800000002</c:v>
                </c:pt>
                <c:pt idx="151">
                  <c:v>282.68962400000004</c:v>
                </c:pt>
                <c:pt idx="152">
                  <c:v>302.79244400000005</c:v>
                </c:pt>
                <c:pt idx="153">
                  <c:v>308.57966399999998</c:v>
                </c:pt>
                <c:pt idx="154">
                  <c:v>274.19204099999996</c:v>
                </c:pt>
                <c:pt idx="155">
                  <c:v>304.715936</c:v>
                </c:pt>
                <c:pt idx="156">
                  <c:v>142.68886299999997</c:v>
                </c:pt>
                <c:pt idx="157">
                  <c:v>74.129460000000009</c:v>
                </c:pt>
                <c:pt idx="158">
                  <c:v>289.21666899999997</c:v>
                </c:pt>
                <c:pt idx="159">
                  <c:v>300.36727100000002</c:v>
                </c:pt>
                <c:pt idx="160">
                  <c:v>291.49103100000002</c:v>
                </c:pt>
                <c:pt idx="161">
                  <c:v>247.51816299999999</c:v>
                </c:pt>
                <c:pt idx="162">
                  <c:v>232.96147099999999</c:v>
                </c:pt>
                <c:pt idx="163">
                  <c:v>92.800828999999993</c:v>
                </c:pt>
                <c:pt idx="164">
                  <c:v>77.45814</c:v>
                </c:pt>
                <c:pt idx="165">
                  <c:v>156.409908</c:v>
                </c:pt>
                <c:pt idx="166">
                  <c:v>124.23169799999999</c:v>
                </c:pt>
                <c:pt idx="167">
                  <c:v>94.42524499999999</c:v>
                </c:pt>
                <c:pt idx="168">
                  <c:v>83.422263000000001</c:v>
                </c:pt>
                <c:pt idx="169">
                  <c:v>35.761544999999998</c:v>
                </c:pt>
                <c:pt idx="170">
                  <c:v>42.875498999999998</c:v>
                </c:pt>
                <c:pt idx="171">
                  <c:v>129.89415199999999</c:v>
                </c:pt>
                <c:pt idx="172">
                  <c:v>188.33634900000001</c:v>
                </c:pt>
                <c:pt idx="173">
                  <c:v>134.00907100000003</c:v>
                </c:pt>
                <c:pt idx="174">
                  <c:v>252.920299</c:v>
                </c:pt>
                <c:pt idx="175">
                  <c:v>192.43456699999999</c:v>
                </c:pt>
                <c:pt idx="176">
                  <c:v>196.87216000000001</c:v>
                </c:pt>
                <c:pt idx="177">
                  <c:v>260.28339999999997</c:v>
                </c:pt>
                <c:pt idx="178">
                  <c:v>332.93795499999999</c:v>
                </c:pt>
                <c:pt idx="179">
                  <c:v>293.16768099999996</c:v>
                </c:pt>
                <c:pt idx="180">
                  <c:v>208.22990799999999</c:v>
                </c:pt>
                <c:pt idx="181">
                  <c:v>185.79709800000001</c:v>
                </c:pt>
                <c:pt idx="182">
                  <c:v>226.96737400000001</c:v>
                </c:pt>
                <c:pt idx="183">
                  <c:v>223.32941500000001</c:v>
                </c:pt>
                <c:pt idx="184">
                  <c:v>203.433886</c:v>
                </c:pt>
                <c:pt idx="185">
                  <c:v>182.48627199999999</c:v>
                </c:pt>
                <c:pt idx="186">
                  <c:v>136.49796799999999</c:v>
                </c:pt>
                <c:pt idx="187">
                  <c:v>190.38049799999999</c:v>
                </c:pt>
                <c:pt idx="188">
                  <c:v>184.798304</c:v>
                </c:pt>
                <c:pt idx="189">
                  <c:v>88.301966000000007</c:v>
                </c:pt>
                <c:pt idx="190">
                  <c:v>197.19230999999999</c:v>
                </c:pt>
                <c:pt idx="191">
                  <c:v>155.13695899999999</c:v>
                </c:pt>
                <c:pt idx="192">
                  <c:v>144.34957</c:v>
                </c:pt>
                <c:pt idx="193">
                  <c:v>134.635357</c:v>
                </c:pt>
                <c:pt idx="194">
                  <c:v>57.205264</c:v>
                </c:pt>
                <c:pt idx="195">
                  <c:v>42.257612999999999</c:v>
                </c:pt>
                <c:pt idx="196">
                  <c:v>46.413694999999997</c:v>
                </c:pt>
                <c:pt idx="197">
                  <c:v>141.240396</c:v>
                </c:pt>
                <c:pt idx="198">
                  <c:v>197.10136000000003</c:v>
                </c:pt>
                <c:pt idx="199">
                  <c:v>210.68524599999998</c:v>
                </c:pt>
                <c:pt idx="200">
                  <c:v>222.16881000000001</c:v>
                </c:pt>
                <c:pt idx="201">
                  <c:v>131.74317500000001</c:v>
                </c:pt>
                <c:pt idx="202">
                  <c:v>186.09048200000001</c:v>
                </c:pt>
                <c:pt idx="203">
                  <c:v>185.73502099999999</c:v>
                </c:pt>
                <c:pt idx="204">
                  <c:v>253.281972</c:v>
                </c:pt>
                <c:pt idx="205">
                  <c:v>233.504029</c:v>
                </c:pt>
                <c:pt idx="206">
                  <c:v>198.339823</c:v>
                </c:pt>
                <c:pt idx="207">
                  <c:v>97.932551000000004</c:v>
                </c:pt>
                <c:pt idx="208">
                  <c:v>103.308204</c:v>
                </c:pt>
                <c:pt idx="209">
                  <c:v>208.21277900000001</c:v>
                </c:pt>
                <c:pt idx="210">
                  <c:v>49.425173000000001</c:v>
                </c:pt>
                <c:pt idx="211">
                  <c:v>79.722092999999987</c:v>
                </c:pt>
                <c:pt idx="212">
                  <c:v>175.17279000000002</c:v>
                </c:pt>
                <c:pt idx="213">
                  <c:v>233.35741300000001</c:v>
                </c:pt>
                <c:pt idx="214">
                  <c:v>229.22431800000001</c:v>
                </c:pt>
                <c:pt idx="215">
                  <c:v>172.13193200000001</c:v>
                </c:pt>
                <c:pt idx="216">
                  <c:v>191.382001</c:v>
                </c:pt>
                <c:pt idx="217">
                  <c:v>161.45757500000002</c:v>
                </c:pt>
                <c:pt idx="218">
                  <c:v>134.828249</c:v>
                </c:pt>
                <c:pt idx="219">
                  <c:v>175.97327899999999</c:v>
                </c:pt>
                <c:pt idx="220">
                  <c:v>179.67409799999999</c:v>
                </c:pt>
                <c:pt idx="221">
                  <c:v>94.349829999999997</c:v>
                </c:pt>
                <c:pt idx="222">
                  <c:v>104.52058700000001</c:v>
                </c:pt>
                <c:pt idx="223">
                  <c:v>111.98720299999999</c:v>
                </c:pt>
                <c:pt idx="224">
                  <c:v>42.815072000000001</c:v>
                </c:pt>
                <c:pt idx="225">
                  <c:v>149.357788</c:v>
                </c:pt>
                <c:pt idx="226">
                  <c:v>219.279246</c:v>
                </c:pt>
                <c:pt idx="227">
                  <c:v>161.88280700000001</c:v>
                </c:pt>
                <c:pt idx="228">
                  <c:v>151.256146</c:v>
                </c:pt>
                <c:pt idx="229">
                  <c:v>92.694320000000005</c:v>
                </c:pt>
                <c:pt idx="230">
                  <c:v>66.203377000000003</c:v>
                </c:pt>
                <c:pt idx="231">
                  <c:v>59.654917000000005</c:v>
                </c:pt>
                <c:pt idx="232">
                  <c:v>86.411618000000004</c:v>
                </c:pt>
                <c:pt idx="233">
                  <c:v>107.22406099999999</c:v>
                </c:pt>
                <c:pt idx="234">
                  <c:v>106.34951099999999</c:v>
                </c:pt>
                <c:pt idx="235">
                  <c:v>103.80237099999999</c:v>
                </c:pt>
                <c:pt idx="236">
                  <c:v>87.500405999999998</c:v>
                </c:pt>
                <c:pt idx="237">
                  <c:v>90.076833999999991</c:v>
                </c:pt>
                <c:pt idx="238">
                  <c:v>73.916628000000003</c:v>
                </c:pt>
                <c:pt idx="239">
                  <c:v>128.985792</c:v>
                </c:pt>
                <c:pt idx="240">
                  <c:v>95.618361000000007</c:v>
                </c:pt>
                <c:pt idx="241">
                  <c:v>95.682964000000013</c:v>
                </c:pt>
                <c:pt idx="242">
                  <c:v>180.70064500000001</c:v>
                </c:pt>
                <c:pt idx="243">
                  <c:v>264.78673800000001</c:v>
                </c:pt>
                <c:pt idx="244">
                  <c:v>259.83351999999996</c:v>
                </c:pt>
                <c:pt idx="245">
                  <c:v>224.0539</c:v>
                </c:pt>
                <c:pt idx="246">
                  <c:v>186.4083</c:v>
                </c:pt>
                <c:pt idx="247">
                  <c:v>66.230172999999994</c:v>
                </c:pt>
                <c:pt idx="248">
                  <c:v>69.742851999999999</c:v>
                </c:pt>
                <c:pt idx="249">
                  <c:v>157.81811300000001</c:v>
                </c:pt>
                <c:pt idx="250">
                  <c:v>202.68652</c:v>
                </c:pt>
                <c:pt idx="251">
                  <c:v>166.63429199999999</c:v>
                </c:pt>
                <c:pt idx="252">
                  <c:v>241.083168</c:v>
                </c:pt>
                <c:pt idx="253">
                  <c:v>220.85818700000002</c:v>
                </c:pt>
                <c:pt idx="254">
                  <c:v>177.21823799999999</c:v>
                </c:pt>
                <c:pt idx="255">
                  <c:v>178.976552</c:v>
                </c:pt>
                <c:pt idx="256">
                  <c:v>100.22699300000001</c:v>
                </c:pt>
                <c:pt idx="257">
                  <c:v>152.37786499999999</c:v>
                </c:pt>
                <c:pt idx="258">
                  <c:v>130.59935200000001</c:v>
                </c:pt>
                <c:pt idx="259">
                  <c:v>93.94324499999999</c:v>
                </c:pt>
                <c:pt idx="260">
                  <c:v>140.66970200000003</c:v>
                </c:pt>
                <c:pt idx="261">
                  <c:v>132.59820000000002</c:v>
                </c:pt>
                <c:pt idx="262">
                  <c:v>93.237751999999986</c:v>
                </c:pt>
                <c:pt idx="263">
                  <c:v>138.92069900000001</c:v>
                </c:pt>
                <c:pt idx="264">
                  <c:v>73.637070000000008</c:v>
                </c:pt>
                <c:pt idx="265">
                  <c:v>103.73947600000001</c:v>
                </c:pt>
                <c:pt idx="266">
                  <c:v>148.17534900000001</c:v>
                </c:pt>
                <c:pt idx="267">
                  <c:v>124.193652</c:v>
                </c:pt>
                <c:pt idx="268">
                  <c:v>93.912762000000001</c:v>
                </c:pt>
                <c:pt idx="269">
                  <c:v>118.845916</c:v>
                </c:pt>
                <c:pt idx="270">
                  <c:v>130.9426</c:v>
                </c:pt>
                <c:pt idx="271">
                  <c:v>185.431545</c:v>
                </c:pt>
                <c:pt idx="272">
                  <c:v>156.818172</c:v>
                </c:pt>
                <c:pt idx="273">
                  <c:v>56.954242000000008</c:v>
                </c:pt>
                <c:pt idx="274">
                  <c:v>183.07220500000003</c:v>
                </c:pt>
                <c:pt idx="275">
                  <c:v>180.22424699999999</c:v>
                </c:pt>
                <c:pt idx="276">
                  <c:v>139.905495</c:v>
                </c:pt>
                <c:pt idx="277">
                  <c:v>140.02259599999999</c:v>
                </c:pt>
                <c:pt idx="278">
                  <c:v>150.14626499999997</c:v>
                </c:pt>
                <c:pt idx="279">
                  <c:v>153.765837</c:v>
                </c:pt>
                <c:pt idx="280">
                  <c:v>92.287915999999996</c:v>
                </c:pt>
                <c:pt idx="281">
                  <c:v>129.90347700000001</c:v>
                </c:pt>
                <c:pt idx="282">
                  <c:v>135.30928999999998</c:v>
                </c:pt>
                <c:pt idx="283">
                  <c:v>68.314876999999996</c:v>
                </c:pt>
                <c:pt idx="284">
                  <c:v>124.845597</c:v>
                </c:pt>
                <c:pt idx="285">
                  <c:v>190.27972799999998</c:v>
                </c:pt>
                <c:pt idx="286">
                  <c:v>132.69847000000001</c:v>
                </c:pt>
                <c:pt idx="287">
                  <c:v>101.11832100000001</c:v>
                </c:pt>
                <c:pt idx="288">
                  <c:v>190.482573</c:v>
                </c:pt>
                <c:pt idx="289">
                  <c:v>98.862234999999998</c:v>
                </c:pt>
                <c:pt idx="290">
                  <c:v>104.94921000000001</c:v>
                </c:pt>
                <c:pt idx="291">
                  <c:v>72.424884999999989</c:v>
                </c:pt>
                <c:pt idx="292">
                  <c:v>59.236810000000006</c:v>
                </c:pt>
                <c:pt idx="293">
                  <c:v>154.67245600000001</c:v>
                </c:pt>
                <c:pt idx="294">
                  <c:v>191.23055400000001</c:v>
                </c:pt>
                <c:pt idx="295">
                  <c:v>164.59027899999998</c:v>
                </c:pt>
                <c:pt idx="296">
                  <c:v>127.680735</c:v>
                </c:pt>
                <c:pt idx="297">
                  <c:v>131.10322099999999</c:v>
                </c:pt>
                <c:pt idx="298">
                  <c:v>145.74753200000001</c:v>
                </c:pt>
                <c:pt idx="299">
                  <c:v>104.143731</c:v>
                </c:pt>
                <c:pt idx="300">
                  <c:v>108.45381</c:v>
                </c:pt>
                <c:pt idx="301">
                  <c:v>159.02018300000003</c:v>
                </c:pt>
                <c:pt idx="302">
                  <c:v>127.01384200000001</c:v>
                </c:pt>
                <c:pt idx="303">
                  <c:v>161.54082399999999</c:v>
                </c:pt>
                <c:pt idx="304">
                  <c:v>75.948722000000004</c:v>
                </c:pt>
                <c:pt idx="305">
                  <c:v>110.714079</c:v>
                </c:pt>
                <c:pt idx="306">
                  <c:v>194.56742799999998</c:v>
                </c:pt>
                <c:pt idx="307">
                  <c:v>129.686756</c:v>
                </c:pt>
                <c:pt idx="308">
                  <c:v>87.72823600000001</c:v>
                </c:pt>
                <c:pt idx="309">
                  <c:v>71.729529999999997</c:v>
                </c:pt>
                <c:pt idx="310">
                  <c:v>102.846844</c:v>
                </c:pt>
                <c:pt idx="311">
                  <c:v>146.872434</c:v>
                </c:pt>
                <c:pt idx="312">
                  <c:v>117.85944200000002</c:v>
                </c:pt>
                <c:pt idx="313">
                  <c:v>104.752955</c:v>
                </c:pt>
                <c:pt idx="314">
                  <c:v>131.54880799999998</c:v>
                </c:pt>
                <c:pt idx="315">
                  <c:v>137.39475300000001</c:v>
                </c:pt>
                <c:pt idx="316">
                  <c:v>91.825952999999998</c:v>
                </c:pt>
                <c:pt idx="317">
                  <c:v>103.752116</c:v>
                </c:pt>
                <c:pt idx="318">
                  <c:v>156.817002</c:v>
                </c:pt>
                <c:pt idx="319">
                  <c:v>159.07435800000002</c:v>
                </c:pt>
                <c:pt idx="320">
                  <c:v>112.051107</c:v>
                </c:pt>
                <c:pt idx="321">
                  <c:v>106.82991200000001</c:v>
                </c:pt>
                <c:pt idx="322">
                  <c:v>144.614554</c:v>
                </c:pt>
                <c:pt idx="323">
                  <c:v>137.98127200000002</c:v>
                </c:pt>
                <c:pt idx="324">
                  <c:v>124.72519100000001</c:v>
                </c:pt>
                <c:pt idx="325">
                  <c:v>173.32077200000001</c:v>
                </c:pt>
                <c:pt idx="326">
                  <c:v>55.629601000000001</c:v>
                </c:pt>
                <c:pt idx="327">
                  <c:v>76.594407000000004</c:v>
                </c:pt>
                <c:pt idx="328">
                  <c:v>162.84900199999998</c:v>
                </c:pt>
                <c:pt idx="329">
                  <c:v>193.33785999999998</c:v>
                </c:pt>
                <c:pt idx="330">
                  <c:v>124.623966</c:v>
                </c:pt>
                <c:pt idx="331">
                  <c:v>50.358134</c:v>
                </c:pt>
                <c:pt idx="332">
                  <c:v>100.16805599999999</c:v>
                </c:pt>
                <c:pt idx="333">
                  <c:v>143.79440700000001</c:v>
                </c:pt>
                <c:pt idx="334">
                  <c:v>137.00482099999999</c:v>
                </c:pt>
                <c:pt idx="335">
                  <c:v>117.602396</c:v>
                </c:pt>
                <c:pt idx="336">
                  <c:v>38.287339000000003</c:v>
                </c:pt>
                <c:pt idx="337">
                  <c:v>84.727943999999994</c:v>
                </c:pt>
                <c:pt idx="338">
                  <c:v>145.349459</c:v>
                </c:pt>
                <c:pt idx="339">
                  <c:v>186.47451100000001</c:v>
                </c:pt>
                <c:pt idx="340">
                  <c:v>110.478555</c:v>
                </c:pt>
                <c:pt idx="341">
                  <c:v>140.67824400000001</c:v>
                </c:pt>
                <c:pt idx="342">
                  <c:v>85.718754999999987</c:v>
                </c:pt>
                <c:pt idx="343">
                  <c:v>96.344214999999991</c:v>
                </c:pt>
                <c:pt idx="344">
                  <c:v>138.56027799999998</c:v>
                </c:pt>
                <c:pt idx="345">
                  <c:v>157.10657199999997</c:v>
                </c:pt>
                <c:pt idx="346">
                  <c:v>169.09022099999999</c:v>
                </c:pt>
                <c:pt idx="347">
                  <c:v>184.00566500000002</c:v>
                </c:pt>
                <c:pt idx="348">
                  <c:v>246.69072200000002</c:v>
                </c:pt>
                <c:pt idx="349">
                  <c:v>162.56204499999998</c:v>
                </c:pt>
                <c:pt idx="350">
                  <c:v>180.21814700000002</c:v>
                </c:pt>
                <c:pt idx="351">
                  <c:v>258.33612900000003</c:v>
                </c:pt>
                <c:pt idx="352">
                  <c:v>267.09059000000002</c:v>
                </c:pt>
                <c:pt idx="353">
                  <c:v>170.14048499999998</c:v>
                </c:pt>
                <c:pt idx="354">
                  <c:v>98.345635999999999</c:v>
                </c:pt>
                <c:pt idx="355">
                  <c:v>83.848354999999998</c:v>
                </c:pt>
                <c:pt idx="356">
                  <c:v>102.84054699999999</c:v>
                </c:pt>
                <c:pt idx="357">
                  <c:v>48.319129000000004</c:v>
                </c:pt>
                <c:pt idx="358">
                  <c:v>82.914781999999988</c:v>
                </c:pt>
                <c:pt idx="359">
                  <c:v>116.58649399999999</c:v>
                </c:pt>
                <c:pt idx="360">
                  <c:v>263.25730600000003</c:v>
                </c:pt>
                <c:pt idx="361">
                  <c:v>350.39831500000003</c:v>
                </c:pt>
                <c:pt idx="362">
                  <c:v>250.77285800000001</c:v>
                </c:pt>
                <c:pt idx="363">
                  <c:v>123.24835899999999</c:v>
                </c:pt>
                <c:pt idx="364">
                  <c:v>133.95177999999999</c:v>
                </c:pt>
                <c:pt idx="365">
                  <c:v>71.803145000000001</c:v>
                </c:pt>
                <c:pt idx="366">
                  <c:v>129.50985700000001</c:v>
                </c:pt>
                <c:pt idx="367">
                  <c:v>227.77397999999999</c:v>
                </c:pt>
                <c:pt idx="368">
                  <c:v>229.613159</c:v>
                </c:pt>
                <c:pt idx="369">
                  <c:v>130.88414500000002</c:v>
                </c:pt>
                <c:pt idx="370">
                  <c:v>146.67079500000003</c:v>
                </c:pt>
                <c:pt idx="371">
                  <c:v>217.89979</c:v>
                </c:pt>
                <c:pt idx="372">
                  <c:v>287.25597900000002</c:v>
                </c:pt>
                <c:pt idx="373">
                  <c:v>330.85287</c:v>
                </c:pt>
                <c:pt idx="374">
                  <c:v>332.582021</c:v>
                </c:pt>
                <c:pt idx="375">
                  <c:v>157.51709700000001</c:v>
                </c:pt>
                <c:pt idx="376">
                  <c:v>128.90489499999998</c:v>
                </c:pt>
                <c:pt idx="377">
                  <c:v>164.88877499999998</c:v>
                </c:pt>
                <c:pt idx="378">
                  <c:v>72.970892000000006</c:v>
                </c:pt>
                <c:pt idx="379">
                  <c:v>81.081192000000001</c:v>
                </c:pt>
                <c:pt idx="380">
                  <c:v>199.95210699999998</c:v>
                </c:pt>
                <c:pt idx="381">
                  <c:v>233.343683</c:v>
                </c:pt>
                <c:pt idx="382">
                  <c:v>244.79140399999997</c:v>
                </c:pt>
                <c:pt idx="383">
                  <c:v>246.79632100000001</c:v>
                </c:pt>
                <c:pt idx="384">
                  <c:v>171.44575400000002</c:v>
                </c:pt>
                <c:pt idx="385">
                  <c:v>117.052217</c:v>
                </c:pt>
                <c:pt idx="386">
                  <c:v>83.630014000000017</c:v>
                </c:pt>
                <c:pt idx="387">
                  <c:v>162.92548300000001</c:v>
                </c:pt>
                <c:pt idx="388">
                  <c:v>120.51246</c:v>
                </c:pt>
                <c:pt idx="389">
                  <c:v>175.53221400000001</c:v>
                </c:pt>
                <c:pt idx="390">
                  <c:v>151.48751899999999</c:v>
                </c:pt>
                <c:pt idx="391">
                  <c:v>141.75994200000002</c:v>
                </c:pt>
                <c:pt idx="392">
                  <c:v>95.336416</c:v>
                </c:pt>
                <c:pt idx="393">
                  <c:v>199.78502499999999</c:v>
                </c:pt>
                <c:pt idx="394">
                  <c:v>263.66565200000002</c:v>
                </c:pt>
                <c:pt idx="395">
                  <c:v>245.58669800000001</c:v>
                </c:pt>
                <c:pt idx="396">
                  <c:v>126.31444</c:v>
                </c:pt>
                <c:pt idx="397">
                  <c:v>76.931747000000001</c:v>
                </c:pt>
                <c:pt idx="398">
                  <c:v>55.120820000000002</c:v>
                </c:pt>
                <c:pt idx="399">
                  <c:v>125.204784</c:v>
                </c:pt>
                <c:pt idx="400">
                  <c:v>112.71133400000001</c:v>
                </c:pt>
                <c:pt idx="401">
                  <c:v>36.601855</c:v>
                </c:pt>
                <c:pt idx="402">
                  <c:v>51.481109000000004</c:v>
                </c:pt>
                <c:pt idx="403">
                  <c:v>81.333202</c:v>
                </c:pt>
                <c:pt idx="404">
                  <c:v>89.719461999999993</c:v>
                </c:pt>
                <c:pt idx="405">
                  <c:v>133.74336899999997</c:v>
                </c:pt>
                <c:pt idx="406">
                  <c:v>164.31446700000001</c:v>
                </c:pt>
                <c:pt idx="407">
                  <c:v>245.01193399999997</c:v>
                </c:pt>
                <c:pt idx="408">
                  <c:v>298.69580899999994</c:v>
                </c:pt>
                <c:pt idx="409">
                  <c:v>251.43123199999999</c:v>
                </c:pt>
                <c:pt idx="410">
                  <c:v>187.32002799999998</c:v>
                </c:pt>
                <c:pt idx="411">
                  <c:v>139.87811899999997</c:v>
                </c:pt>
                <c:pt idx="412">
                  <c:v>109.89834399999999</c:v>
                </c:pt>
                <c:pt idx="413">
                  <c:v>56.989307999999994</c:v>
                </c:pt>
                <c:pt idx="414">
                  <c:v>39.763338000000005</c:v>
                </c:pt>
                <c:pt idx="415">
                  <c:v>144.488213</c:v>
                </c:pt>
                <c:pt idx="416">
                  <c:v>338.74631499999998</c:v>
                </c:pt>
                <c:pt idx="417">
                  <c:v>441.09243100000003</c:v>
                </c:pt>
                <c:pt idx="418">
                  <c:v>259.83363499999996</c:v>
                </c:pt>
                <c:pt idx="419">
                  <c:v>239.93852200000001</c:v>
                </c:pt>
                <c:pt idx="420">
                  <c:v>327.40975099999997</c:v>
                </c:pt>
                <c:pt idx="421">
                  <c:v>295.82170000000002</c:v>
                </c:pt>
                <c:pt idx="422">
                  <c:v>99.086891000000008</c:v>
                </c:pt>
                <c:pt idx="423">
                  <c:v>77.781571</c:v>
                </c:pt>
                <c:pt idx="424">
                  <c:v>91.143726999999998</c:v>
                </c:pt>
                <c:pt idx="425">
                  <c:v>145.74843299999998</c:v>
                </c:pt>
                <c:pt idx="426">
                  <c:v>103.236913</c:v>
                </c:pt>
                <c:pt idx="427">
                  <c:v>85.14557099999999</c:v>
                </c:pt>
                <c:pt idx="428">
                  <c:v>70.599469999999997</c:v>
                </c:pt>
                <c:pt idx="429">
                  <c:v>129.40656200000001</c:v>
                </c:pt>
                <c:pt idx="430">
                  <c:v>240.59485999999998</c:v>
                </c:pt>
                <c:pt idx="431">
                  <c:v>192.42606899999998</c:v>
                </c:pt>
                <c:pt idx="432">
                  <c:v>237.226057</c:v>
                </c:pt>
                <c:pt idx="433">
                  <c:v>330.15532200000001</c:v>
                </c:pt>
                <c:pt idx="434">
                  <c:v>359.24616800000001</c:v>
                </c:pt>
                <c:pt idx="435">
                  <c:v>355.82025699999997</c:v>
                </c:pt>
                <c:pt idx="436">
                  <c:v>169.756168</c:v>
                </c:pt>
                <c:pt idx="437">
                  <c:v>44.381824000000002</c:v>
                </c:pt>
                <c:pt idx="438">
                  <c:v>63.364561000000002</c:v>
                </c:pt>
                <c:pt idx="439">
                  <c:v>29.612646000000002</c:v>
                </c:pt>
                <c:pt idx="440">
                  <c:v>109.12266000000001</c:v>
                </c:pt>
                <c:pt idx="441">
                  <c:v>220.339617</c:v>
                </c:pt>
                <c:pt idx="442">
                  <c:v>150.424226</c:v>
                </c:pt>
                <c:pt idx="443">
                  <c:v>159.424904</c:v>
                </c:pt>
                <c:pt idx="444">
                  <c:v>211.78661700000001</c:v>
                </c:pt>
                <c:pt idx="445">
                  <c:v>360.69541199999998</c:v>
                </c:pt>
                <c:pt idx="446">
                  <c:v>238.76478500000002</c:v>
                </c:pt>
                <c:pt idx="447">
                  <c:v>172.575818</c:v>
                </c:pt>
                <c:pt idx="448">
                  <c:v>266.56708399999997</c:v>
                </c:pt>
                <c:pt idx="449">
                  <c:v>346.45263599999998</c:v>
                </c:pt>
                <c:pt idx="450">
                  <c:v>281.35492199999999</c:v>
                </c:pt>
                <c:pt idx="451">
                  <c:v>109.379043</c:v>
                </c:pt>
                <c:pt idx="452">
                  <c:v>57.152721</c:v>
                </c:pt>
                <c:pt idx="453">
                  <c:v>94.683819</c:v>
                </c:pt>
                <c:pt idx="454">
                  <c:v>52.418404000000002</c:v>
                </c:pt>
                <c:pt idx="455">
                  <c:v>29.813920999999997</c:v>
                </c:pt>
                <c:pt idx="456">
                  <c:v>32.461750000000002</c:v>
                </c:pt>
                <c:pt idx="457">
                  <c:v>28.700936000000002</c:v>
                </c:pt>
                <c:pt idx="458">
                  <c:v>96.052729000000014</c:v>
                </c:pt>
                <c:pt idx="459">
                  <c:v>163.711106</c:v>
                </c:pt>
                <c:pt idx="460">
                  <c:v>298.12851599999999</c:v>
                </c:pt>
                <c:pt idx="461">
                  <c:v>247.46587300000002</c:v>
                </c:pt>
                <c:pt idx="462">
                  <c:v>326.950039</c:v>
                </c:pt>
                <c:pt idx="463">
                  <c:v>292.72099200000002</c:v>
                </c:pt>
                <c:pt idx="464">
                  <c:v>325.78869200000003</c:v>
                </c:pt>
                <c:pt idx="465">
                  <c:v>348.31037099999998</c:v>
                </c:pt>
                <c:pt idx="466">
                  <c:v>367.51350300000001</c:v>
                </c:pt>
                <c:pt idx="467">
                  <c:v>304.74519300000003</c:v>
                </c:pt>
                <c:pt idx="468">
                  <c:v>326.88237300000003</c:v>
                </c:pt>
                <c:pt idx="469">
                  <c:v>284.63760100000002</c:v>
                </c:pt>
                <c:pt idx="470">
                  <c:v>220.757533</c:v>
                </c:pt>
                <c:pt idx="471">
                  <c:v>113.3263</c:v>
                </c:pt>
                <c:pt idx="472">
                  <c:v>165.77932100000001</c:v>
                </c:pt>
                <c:pt idx="473">
                  <c:v>196.324063</c:v>
                </c:pt>
                <c:pt idx="474">
                  <c:v>111.412497</c:v>
                </c:pt>
                <c:pt idx="475">
                  <c:v>47.349745000000006</c:v>
                </c:pt>
                <c:pt idx="476">
                  <c:v>97.682328999999996</c:v>
                </c:pt>
                <c:pt idx="477">
                  <c:v>112.44127400000001</c:v>
                </c:pt>
                <c:pt idx="478">
                  <c:v>199.057221</c:v>
                </c:pt>
                <c:pt idx="479">
                  <c:v>262.80624699999998</c:v>
                </c:pt>
                <c:pt idx="480">
                  <c:v>152.31426099999999</c:v>
                </c:pt>
                <c:pt idx="481">
                  <c:v>231.89339999999999</c:v>
                </c:pt>
                <c:pt idx="482">
                  <c:v>298.60549800000001</c:v>
                </c:pt>
                <c:pt idx="483">
                  <c:v>307.86237599999998</c:v>
                </c:pt>
                <c:pt idx="484">
                  <c:v>394.80470199999996</c:v>
                </c:pt>
                <c:pt idx="485">
                  <c:v>365.59122000000002</c:v>
                </c:pt>
                <c:pt idx="486">
                  <c:v>335.67250899999993</c:v>
                </c:pt>
                <c:pt idx="487">
                  <c:v>311.81872499999997</c:v>
                </c:pt>
                <c:pt idx="488">
                  <c:v>202.58639499999998</c:v>
                </c:pt>
                <c:pt idx="489">
                  <c:v>163.62578200000002</c:v>
                </c:pt>
                <c:pt idx="490">
                  <c:v>103.745982</c:v>
                </c:pt>
                <c:pt idx="491">
                  <c:v>99.068889999999996</c:v>
                </c:pt>
                <c:pt idx="492">
                  <c:v>54.212391000000004</c:v>
                </c:pt>
                <c:pt idx="493">
                  <c:v>118.51092600000001</c:v>
                </c:pt>
                <c:pt idx="494">
                  <c:v>46.501018999999999</c:v>
                </c:pt>
                <c:pt idx="495">
                  <c:v>200.859071</c:v>
                </c:pt>
                <c:pt idx="496">
                  <c:v>164.77992999999998</c:v>
                </c:pt>
                <c:pt idx="497">
                  <c:v>105.03203599999999</c:v>
                </c:pt>
                <c:pt idx="498">
                  <c:v>91.195220000000006</c:v>
                </c:pt>
                <c:pt idx="499">
                  <c:v>153.81701800000002</c:v>
                </c:pt>
                <c:pt idx="500">
                  <c:v>196.067801</c:v>
                </c:pt>
                <c:pt idx="501">
                  <c:v>153.36795699999999</c:v>
                </c:pt>
                <c:pt idx="502">
                  <c:v>105.50163099999999</c:v>
                </c:pt>
                <c:pt idx="503">
                  <c:v>112.99675999999999</c:v>
                </c:pt>
                <c:pt idx="504">
                  <c:v>58.919339999999998</c:v>
                </c:pt>
                <c:pt idx="505">
                  <c:v>54.980036999999996</c:v>
                </c:pt>
                <c:pt idx="506">
                  <c:v>178.13030699999999</c:v>
                </c:pt>
                <c:pt idx="507">
                  <c:v>67.213655000000003</c:v>
                </c:pt>
                <c:pt idx="508">
                  <c:v>109.60838800000001</c:v>
                </c:pt>
                <c:pt idx="509">
                  <c:v>290.54686400000003</c:v>
                </c:pt>
                <c:pt idx="510">
                  <c:v>130.81705299999999</c:v>
                </c:pt>
                <c:pt idx="511">
                  <c:v>110.004572</c:v>
                </c:pt>
                <c:pt idx="512">
                  <c:v>189.55883599999999</c:v>
                </c:pt>
                <c:pt idx="513">
                  <c:v>271.50344100000001</c:v>
                </c:pt>
                <c:pt idx="514">
                  <c:v>114.38403300000002</c:v>
                </c:pt>
                <c:pt idx="515">
                  <c:v>32.274008000000002</c:v>
                </c:pt>
                <c:pt idx="516">
                  <c:v>167.02587899999997</c:v>
                </c:pt>
                <c:pt idx="517">
                  <c:v>313.113654</c:v>
                </c:pt>
                <c:pt idx="518">
                  <c:v>277.32445200000001</c:v>
                </c:pt>
                <c:pt idx="519">
                  <c:v>244.36342800000003</c:v>
                </c:pt>
                <c:pt idx="520">
                  <c:v>243.70677499999999</c:v>
                </c:pt>
                <c:pt idx="521">
                  <c:v>258.88388200000003</c:v>
                </c:pt>
                <c:pt idx="522">
                  <c:v>246.04940400000001</c:v>
                </c:pt>
                <c:pt idx="523">
                  <c:v>287.27360700000003</c:v>
                </c:pt>
                <c:pt idx="524">
                  <c:v>346.97692999999998</c:v>
                </c:pt>
                <c:pt idx="525">
                  <c:v>173.339676</c:v>
                </c:pt>
                <c:pt idx="526">
                  <c:v>136.982891</c:v>
                </c:pt>
                <c:pt idx="527">
                  <c:v>181.49984499999999</c:v>
                </c:pt>
                <c:pt idx="528">
                  <c:v>198.76046500000001</c:v>
                </c:pt>
                <c:pt idx="529">
                  <c:v>181.16058100000001</c:v>
                </c:pt>
                <c:pt idx="530">
                  <c:v>213.685439</c:v>
                </c:pt>
                <c:pt idx="531">
                  <c:v>142.95814899999999</c:v>
                </c:pt>
                <c:pt idx="532">
                  <c:v>96.001475999999997</c:v>
                </c:pt>
                <c:pt idx="533">
                  <c:v>141.406701</c:v>
                </c:pt>
                <c:pt idx="534">
                  <c:v>236.30331199999998</c:v>
                </c:pt>
                <c:pt idx="535">
                  <c:v>270.76331900000002</c:v>
                </c:pt>
                <c:pt idx="536">
                  <c:v>372.38735200000002</c:v>
                </c:pt>
                <c:pt idx="537">
                  <c:v>348.09792399999998</c:v>
                </c:pt>
                <c:pt idx="538">
                  <c:v>244.37254999999999</c:v>
                </c:pt>
                <c:pt idx="539">
                  <c:v>165.08041399999999</c:v>
                </c:pt>
                <c:pt idx="540">
                  <c:v>162.02467000000001</c:v>
                </c:pt>
                <c:pt idx="541">
                  <c:v>168.76038299999999</c:v>
                </c:pt>
                <c:pt idx="542">
                  <c:v>172.88286499999998</c:v>
                </c:pt>
                <c:pt idx="543">
                  <c:v>158.74360199999998</c:v>
                </c:pt>
                <c:pt idx="544">
                  <c:v>187.672775</c:v>
                </c:pt>
                <c:pt idx="545">
                  <c:v>234.45375199999998</c:v>
                </c:pt>
                <c:pt idx="546">
                  <c:v>171.06194099999999</c:v>
                </c:pt>
                <c:pt idx="547">
                  <c:v>113.48658399999999</c:v>
                </c:pt>
                <c:pt idx="548">
                  <c:v>55.305022999999998</c:v>
                </c:pt>
                <c:pt idx="549">
                  <c:v>159.30938700000002</c:v>
                </c:pt>
                <c:pt idx="550">
                  <c:v>240.27338599999999</c:v>
                </c:pt>
                <c:pt idx="551">
                  <c:v>250.217277</c:v>
                </c:pt>
                <c:pt idx="552">
                  <c:v>142.10995800000001</c:v>
                </c:pt>
                <c:pt idx="553">
                  <c:v>92.200361000000001</c:v>
                </c:pt>
                <c:pt idx="554">
                  <c:v>65.283080999999996</c:v>
                </c:pt>
                <c:pt idx="555">
                  <c:v>67.715493000000009</c:v>
                </c:pt>
                <c:pt idx="556">
                  <c:v>90.514348999999996</c:v>
                </c:pt>
                <c:pt idx="557">
                  <c:v>182.00163499999999</c:v>
                </c:pt>
                <c:pt idx="558">
                  <c:v>208.06907199999998</c:v>
                </c:pt>
                <c:pt idx="559">
                  <c:v>92.361042999999995</c:v>
                </c:pt>
                <c:pt idx="560">
                  <c:v>46.474194000000004</c:v>
                </c:pt>
                <c:pt idx="561">
                  <c:v>168.549228</c:v>
                </c:pt>
                <c:pt idx="562">
                  <c:v>232.48323499999998</c:v>
                </c:pt>
                <c:pt idx="563">
                  <c:v>263.40821600000004</c:v>
                </c:pt>
                <c:pt idx="564">
                  <c:v>204.63455300000001</c:v>
                </c:pt>
                <c:pt idx="565">
                  <c:v>178.321282</c:v>
                </c:pt>
                <c:pt idx="566">
                  <c:v>227.57283200000001</c:v>
                </c:pt>
                <c:pt idx="567">
                  <c:v>131.448273</c:v>
                </c:pt>
                <c:pt idx="568">
                  <c:v>72.051129999999986</c:v>
                </c:pt>
                <c:pt idx="569">
                  <c:v>102.756902</c:v>
                </c:pt>
                <c:pt idx="570">
                  <c:v>110.202663</c:v>
                </c:pt>
                <c:pt idx="571">
                  <c:v>114.649427</c:v>
                </c:pt>
                <c:pt idx="572">
                  <c:v>77.655495999999999</c:v>
                </c:pt>
                <c:pt idx="573">
                  <c:v>184.31117699999999</c:v>
                </c:pt>
                <c:pt idx="574">
                  <c:v>131.219179</c:v>
                </c:pt>
                <c:pt idx="575">
                  <c:v>58.299390000000002</c:v>
                </c:pt>
                <c:pt idx="576">
                  <c:v>89.623407</c:v>
                </c:pt>
                <c:pt idx="577">
                  <c:v>223.98727199999999</c:v>
                </c:pt>
                <c:pt idx="578">
                  <c:v>130.88345900000002</c:v>
                </c:pt>
                <c:pt idx="579">
                  <c:v>181.660078</c:v>
                </c:pt>
                <c:pt idx="580">
                  <c:v>89.445875999999984</c:v>
                </c:pt>
                <c:pt idx="581">
                  <c:v>112.966257</c:v>
                </c:pt>
                <c:pt idx="582">
                  <c:v>219.790741</c:v>
                </c:pt>
                <c:pt idx="583">
                  <c:v>176.80138399999998</c:v>
                </c:pt>
                <c:pt idx="584">
                  <c:v>103.300662</c:v>
                </c:pt>
                <c:pt idx="585">
                  <c:v>73.210046000000006</c:v>
                </c:pt>
                <c:pt idx="586">
                  <c:v>65.982574</c:v>
                </c:pt>
                <c:pt idx="587">
                  <c:v>101.78966699999999</c:v>
                </c:pt>
                <c:pt idx="588">
                  <c:v>84.697861000000003</c:v>
                </c:pt>
                <c:pt idx="589">
                  <c:v>77.858558000000002</c:v>
                </c:pt>
                <c:pt idx="590">
                  <c:v>45.845228999999996</c:v>
                </c:pt>
                <c:pt idx="591">
                  <c:v>50.479971000000006</c:v>
                </c:pt>
                <c:pt idx="592">
                  <c:v>132.81496000000001</c:v>
                </c:pt>
                <c:pt idx="593">
                  <c:v>157.876869</c:v>
                </c:pt>
                <c:pt idx="594">
                  <c:v>60.090343999999995</c:v>
                </c:pt>
                <c:pt idx="595">
                  <c:v>88.441888000000006</c:v>
                </c:pt>
                <c:pt idx="596">
                  <c:v>139.39144300000001</c:v>
                </c:pt>
                <c:pt idx="597">
                  <c:v>137.78934099999998</c:v>
                </c:pt>
                <c:pt idx="598">
                  <c:v>101.306844</c:v>
                </c:pt>
                <c:pt idx="599">
                  <c:v>195.19902299999998</c:v>
                </c:pt>
                <c:pt idx="600">
                  <c:v>198.20928300000003</c:v>
                </c:pt>
                <c:pt idx="601">
                  <c:v>108.396787</c:v>
                </c:pt>
                <c:pt idx="602">
                  <c:v>60.330680000000001</c:v>
                </c:pt>
                <c:pt idx="603">
                  <c:v>108.761596</c:v>
                </c:pt>
                <c:pt idx="604">
                  <c:v>90.241628000000006</c:v>
                </c:pt>
                <c:pt idx="605">
                  <c:v>73.798220999999998</c:v>
                </c:pt>
                <c:pt idx="606">
                  <c:v>73.778673999999995</c:v>
                </c:pt>
                <c:pt idx="607">
                  <c:v>80.868812000000005</c:v>
                </c:pt>
                <c:pt idx="608">
                  <c:v>68.699438000000015</c:v>
                </c:pt>
                <c:pt idx="609">
                  <c:v>111.35742500000001</c:v>
                </c:pt>
                <c:pt idx="610">
                  <c:v>181.94606100000001</c:v>
                </c:pt>
                <c:pt idx="611">
                  <c:v>105.658908</c:v>
                </c:pt>
                <c:pt idx="612">
                  <c:v>90.578382000000005</c:v>
                </c:pt>
                <c:pt idx="613">
                  <c:v>92.04586900000001</c:v>
                </c:pt>
                <c:pt idx="614">
                  <c:v>72.958808000000005</c:v>
                </c:pt>
                <c:pt idx="615">
                  <c:v>73.210296999999997</c:v>
                </c:pt>
                <c:pt idx="616">
                  <c:v>90.687922999999998</c:v>
                </c:pt>
                <c:pt idx="617">
                  <c:v>98.775077999999993</c:v>
                </c:pt>
                <c:pt idx="618">
                  <c:v>105.692728</c:v>
                </c:pt>
                <c:pt idx="619">
                  <c:v>158.85436800000002</c:v>
                </c:pt>
                <c:pt idx="620">
                  <c:v>91.151920000000004</c:v>
                </c:pt>
                <c:pt idx="621">
                  <c:v>100.58464500000001</c:v>
                </c:pt>
                <c:pt idx="622">
                  <c:v>74.388030000000001</c:v>
                </c:pt>
                <c:pt idx="623">
                  <c:v>158.77911500000002</c:v>
                </c:pt>
                <c:pt idx="624">
                  <c:v>144.42024699999999</c:v>
                </c:pt>
                <c:pt idx="625">
                  <c:v>95.742632999999984</c:v>
                </c:pt>
                <c:pt idx="626">
                  <c:v>67.285437999999999</c:v>
                </c:pt>
                <c:pt idx="627">
                  <c:v>90.308557000000008</c:v>
                </c:pt>
                <c:pt idx="628">
                  <c:v>79.751546000000005</c:v>
                </c:pt>
                <c:pt idx="629">
                  <c:v>81.65248600000001</c:v>
                </c:pt>
                <c:pt idx="630">
                  <c:v>93.969624999999994</c:v>
                </c:pt>
                <c:pt idx="631">
                  <c:v>114.80814500000001</c:v>
                </c:pt>
                <c:pt idx="632">
                  <c:v>145.68446300000002</c:v>
                </c:pt>
                <c:pt idx="633">
                  <c:v>133.44204999999999</c:v>
                </c:pt>
                <c:pt idx="634">
                  <c:v>107.10214900000001</c:v>
                </c:pt>
                <c:pt idx="635">
                  <c:v>74.385886999999997</c:v>
                </c:pt>
                <c:pt idx="636">
                  <c:v>82.544207999999998</c:v>
                </c:pt>
                <c:pt idx="637">
                  <c:v>83.201902000000004</c:v>
                </c:pt>
                <c:pt idx="638">
                  <c:v>88.419715000000011</c:v>
                </c:pt>
                <c:pt idx="639">
                  <c:v>84.277218000000005</c:v>
                </c:pt>
                <c:pt idx="640">
                  <c:v>160.66548600000002</c:v>
                </c:pt>
                <c:pt idx="641">
                  <c:v>213.60602899999998</c:v>
                </c:pt>
                <c:pt idx="642">
                  <c:v>155.686508</c:v>
                </c:pt>
                <c:pt idx="643">
                  <c:v>149.22946999999999</c:v>
                </c:pt>
                <c:pt idx="644">
                  <c:v>115.26097</c:v>
                </c:pt>
                <c:pt idx="645">
                  <c:v>187.42015599999999</c:v>
                </c:pt>
                <c:pt idx="646">
                  <c:v>225.07011599999998</c:v>
                </c:pt>
                <c:pt idx="647">
                  <c:v>117.66345999999999</c:v>
                </c:pt>
                <c:pt idx="648">
                  <c:v>60.650477999999993</c:v>
                </c:pt>
                <c:pt idx="649">
                  <c:v>99.958921999999987</c:v>
                </c:pt>
                <c:pt idx="650">
                  <c:v>71.312774999999988</c:v>
                </c:pt>
                <c:pt idx="651">
                  <c:v>41.125961000000004</c:v>
                </c:pt>
                <c:pt idx="652">
                  <c:v>89.165200999999996</c:v>
                </c:pt>
                <c:pt idx="653">
                  <c:v>115.473939</c:v>
                </c:pt>
                <c:pt idx="654">
                  <c:v>77.006179000000003</c:v>
                </c:pt>
                <c:pt idx="655">
                  <c:v>76.113729000000006</c:v>
                </c:pt>
                <c:pt idx="656">
                  <c:v>140.17631299999999</c:v>
                </c:pt>
                <c:pt idx="657">
                  <c:v>169.82710699999998</c:v>
                </c:pt>
                <c:pt idx="658">
                  <c:v>180.38483000000002</c:v>
                </c:pt>
                <c:pt idx="659">
                  <c:v>117.03448299999999</c:v>
                </c:pt>
                <c:pt idx="660">
                  <c:v>81.647548</c:v>
                </c:pt>
                <c:pt idx="661">
                  <c:v>151.14407600000001</c:v>
                </c:pt>
                <c:pt idx="662">
                  <c:v>254.08799099999999</c:v>
                </c:pt>
                <c:pt idx="663">
                  <c:v>220.41790599999999</c:v>
                </c:pt>
                <c:pt idx="664">
                  <c:v>179.06431999999998</c:v>
                </c:pt>
                <c:pt idx="665">
                  <c:v>142.819051</c:v>
                </c:pt>
                <c:pt idx="666">
                  <c:v>222.88105000000002</c:v>
                </c:pt>
                <c:pt idx="667">
                  <c:v>246.21511799999999</c:v>
                </c:pt>
                <c:pt idx="668">
                  <c:v>213.93552499999998</c:v>
                </c:pt>
                <c:pt idx="669">
                  <c:v>191.04505500000002</c:v>
                </c:pt>
                <c:pt idx="670">
                  <c:v>195.59287399999999</c:v>
                </c:pt>
                <c:pt idx="671">
                  <c:v>207.15976900000001</c:v>
                </c:pt>
                <c:pt idx="672">
                  <c:v>166.880965</c:v>
                </c:pt>
                <c:pt idx="673">
                  <c:v>97.611058999999997</c:v>
                </c:pt>
                <c:pt idx="674">
                  <c:v>177.737967</c:v>
                </c:pt>
                <c:pt idx="675">
                  <c:v>108.57818899999999</c:v>
                </c:pt>
                <c:pt idx="676">
                  <c:v>59.921418000000003</c:v>
                </c:pt>
                <c:pt idx="677">
                  <c:v>94.350186000000008</c:v>
                </c:pt>
                <c:pt idx="678">
                  <c:v>101.04774299999998</c:v>
                </c:pt>
                <c:pt idx="679">
                  <c:v>103.06724399999999</c:v>
                </c:pt>
                <c:pt idx="680">
                  <c:v>77.336628000000005</c:v>
                </c:pt>
                <c:pt idx="681">
                  <c:v>98.493037999999999</c:v>
                </c:pt>
                <c:pt idx="682">
                  <c:v>91.627511999999996</c:v>
                </c:pt>
                <c:pt idx="683">
                  <c:v>103.42869900000001</c:v>
                </c:pt>
                <c:pt idx="684">
                  <c:v>91.743358999999998</c:v>
                </c:pt>
                <c:pt idx="685">
                  <c:v>48.016739000000001</c:v>
                </c:pt>
                <c:pt idx="686">
                  <c:v>51.217410999999998</c:v>
                </c:pt>
                <c:pt idx="687">
                  <c:v>108.576768</c:v>
                </c:pt>
                <c:pt idx="688">
                  <c:v>148.56472600000001</c:v>
                </c:pt>
                <c:pt idx="689">
                  <c:v>174.74941000000001</c:v>
                </c:pt>
                <c:pt idx="690">
                  <c:v>160.13917600000002</c:v>
                </c:pt>
                <c:pt idx="691">
                  <c:v>159.98717499999998</c:v>
                </c:pt>
                <c:pt idx="692">
                  <c:v>70.953585000000004</c:v>
                </c:pt>
                <c:pt idx="693">
                  <c:v>46.668775000000004</c:v>
                </c:pt>
                <c:pt idx="694">
                  <c:v>86.060666999999995</c:v>
                </c:pt>
                <c:pt idx="695">
                  <c:v>81.252551000000011</c:v>
                </c:pt>
                <c:pt idx="696">
                  <c:v>98.872264999999999</c:v>
                </c:pt>
                <c:pt idx="697">
                  <c:v>189.384592</c:v>
                </c:pt>
                <c:pt idx="698">
                  <c:v>185.63184000000004</c:v>
                </c:pt>
                <c:pt idx="699">
                  <c:v>114.484016</c:v>
                </c:pt>
                <c:pt idx="700">
                  <c:v>151.94530499999999</c:v>
                </c:pt>
                <c:pt idx="701">
                  <c:v>192.015782</c:v>
                </c:pt>
                <c:pt idx="702">
                  <c:v>134.17487499999999</c:v>
                </c:pt>
                <c:pt idx="703">
                  <c:v>128.768134</c:v>
                </c:pt>
                <c:pt idx="704">
                  <c:v>117.30842200000001</c:v>
                </c:pt>
                <c:pt idx="705">
                  <c:v>170.33042399999999</c:v>
                </c:pt>
                <c:pt idx="706">
                  <c:v>215.68384800000004</c:v>
                </c:pt>
                <c:pt idx="707">
                  <c:v>157.16207800000001</c:v>
                </c:pt>
                <c:pt idx="708">
                  <c:v>137.139814</c:v>
                </c:pt>
                <c:pt idx="709">
                  <c:v>139.59612300000003</c:v>
                </c:pt>
                <c:pt idx="710">
                  <c:v>204.713032</c:v>
                </c:pt>
                <c:pt idx="711">
                  <c:v>145.13267500000001</c:v>
                </c:pt>
                <c:pt idx="712">
                  <c:v>74.49884200000001</c:v>
                </c:pt>
                <c:pt idx="713">
                  <c:v>78.050779000000006</c:v>
                </c:pt>
                <c:pt idx="714">
                  <c:v>79.459641000000005</c:v>
                </c:pt>
                <c:pt idx="715">
                  <c:v>93.845758999999987</c:v>
                </c:pt>
                <c:pt idx="716">
                  <c:v>97.585195000000013</c:v>
                </c:pt>
                <c:pt idx="717">
                  <c:v>48.397202</c:v>
                </c:pt>
                <c:pt idx="718">
                  <c:v>82.887904000000006</c:v>
                </c:pt>
                <c:pt idx="719">
                  <c:v>160.287069</c:v>
                </c:pt>
                <c:pt idx="720">
                  <c:v>150.55165700000001</c:v>
                </c:pt>
                <c:pt idx="721">
                  <c:v>166.42653300000001</c:v>
                </c:pt>
                <c:pt idx="722">
                  <c:v>166.68781700000002</c:v>
                </c:pt>
                <c:pt idx="723">
                  <c:v>185.60465099999999</c:v>
                </c:pt>
                <c:pt idx="724">
                  <c:v>171.889351</c:v>
                </c:pt>
                <c:pt idx="725">
                  <c:v>106.272949</c:v>
                </c:pt>
                <c:pt idx="726">
                  <c:v>40.777605999999999</c:v>
                </c:pt>
                <c:pt idx="727">
                  <c:v>81.288621000000006</c:v>
                </c:pt>
                <c:pt idx="728">
                  <c:v>165.36640399999999</c:v>
                </c:pt>
                <c:pt idx="729">
                  <c:v>189.04684700000001</c:v>
                </c:pt>
                <c:pt idx="730">
                  <c:v>94.274450000000002</c:v>
                </c:pt>
                <c:pt idx="731">
                  <c:v>84.649697000000003</c:v>
                </c:pt>
                <c:pt idx="732">
                  <c:v>53.629100999999999</c:v>
                </c:pt>
                <c:pt idx="733">
                  <c:v>45.242268000000003</c:v>
                </c:pt>
                <c:pt idx="734">
                  <c:v>124.304507</c:v>
                </c:pt>
                <c:pt idx="735">
                  <c:v>210.966872</c:v>
                </c:pt>
                <c:pt idx="736">
                  <c:v>126.73768799999999</c:v>
                </c:pt>
                <c:pt idx="737">
                  <c:v>40.538199999999996</c:v>
                </c:pt>
                <c:pt idx="738">
                  <c:v>93.560396000000011</c:v>
                </c:pt>
                <c:pt idx="739">
                  <c:v>235.16798799999998</c:v>
                </c:pt>
                <c:pt idx="740">
                  <c:v>212.96832500000002</c:v>
                </c:pt>
                <c:pt idx="741">
                  <c:v>116.03569899999999</c:v>
                </c:pt>
                <c:pt idx="742">
                  <c:v>117.39425199999999</c:v>
                </c:pt>
                <c:pt idx="743">
                  <c:v>49.402464000000002</c:v>
                </c:pt>
                <c:pt idx="744">
                  <c:v>23.182852999999998</c:v>
                </c:pt>
                <c:pt idx="745">
                  <c:v>35.434694</c:v>
                </c:pt>
                <c:pt idx="746">
                  <c:v>48.869900000000001</c:v>
                </c:pt>
                <c:pt idx="747">
                  <c:v>52.066099999999999</c:v>
                </c:pt>
                <c:pt idx="748">
                  <c:v>65.957599999999999</c:v>
                </c:pt>
                <c:pt idx="749">
                  <c:v>200.98719199999999</c:v>
                </c:pt>
                <c:pt idx="750">
                  <c:v>280.06186599999995</c:v>
                </c:pt>
                <c:pt idx="751">
                  <c:v>310.824208</c:v>
                </c:pt>
                <c:pt idx="752">
                  <c:v>344.10526699999997</c:v>
                </c:pt>
                <c:pt idx="753">
                  <c:v>316.08736100000004</c:v>
                </c:pt>
                <c:pt idx="754">
                  <c:v>123.39002499999999</c:v>
                </c:pt>
                <c:pt idx="755">
                  <c:v>117.10697499999999</c:v>
                </c:pt>
                <c:pt idx="756">
                  <c:v>200.18220500000001</c:v>
                </c:pt>
                <c:pt idx="757">
                  <c:v>111.653558</c:v>
                </c:pt>
                <c:pt idx="758">
                  <c:v>95.499019000000004</c:v>
                </c:pt>
                <c:pt idx="759">
                  <c:v>166.5873</c:v>
                </c:pt>
                <c:pt idx="760">
                  <c:v>175.28103099999998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4'!$D$2:$D$762</c:f>
              <c:numCache>
                <c:formatCode>#,##0.0</c:formatCode>
                <c:ptCount val="761"/>
                <c:pt idx="0">
                  <c:v>153.65643704499149</c:v>
                </c:pt>
                <c:pt idx="1">
                  <c:v>153.65643704499149</c:v>
                </c:pt>
                <c:pt idx="2">
                  <c:v>153.65643704499149</c:v>
                </c:pt>
                <c:pt idx="3">
                  <c:v>153.65643704499149</c:v>
                </c:pt>
                <c:pt idx="4">
                  <c:v>153.65643704499149</c:v>
                </c:pt>
                <c:pt idx="5">
                  <c:v>153.65643704499149</c:v>
                </c:pt>
                <c:pt idx="6">
                  <c:v>153.65643704499149</c:v>
                </c:pt>
                <c:pt idx="7">
                  <c:v>153.65643704499149</c:v>
                </c:pt>
                <c:pt idx="8">
                  <c:v>153.65643704499149</c:v>
                </c:pt>
                <c:pt idx="9">
                  <c:v>153.65643704499149</c:v>
                </c:pt>
                <c:pt idx="10">
                  <c:v>153.65643704499149</c:v>
                </c:pt>
                <c:pt idx="11">
                  <c:v>153.65643704499149</c:v>
                </c:pt>
                <c:pt idx="12">
                  <c:v>153.65643704499149</c:v>
                </c:pt>
                <c:pt idx="13">
                  <c:v>153.65643704499149</c:v>
                </c:pt>
                <c:pt idx="14">
                  <c:v>153.65643704499149</c:v>
                </c:pt>
                <c:pt idx="15">
                  <c:v>153.65643704499149</c:v>
                </c:pt>
                <c:pt idx="16">
                  <c:v>153.65643704499149</c:v>
                </c:pt>
                <c:pt idx="17">
                  <c:v>153.65643704499149</c:v>
                </c:pt>
                <c:pt idx="18">
                  <c:v>153.65643704499149</c:v>
                </c:pt>
                <c:pt idx="19">
                  <c:v>153.65643704499149</c:v>
                </c:pt>
                <c:pt idx="20">
                  <c:v>153.65643704499149</c:v>
                </c:pt>
                <c:pt idx="21">
                  <c:v>153.65643704499149</c:v>
                </c:pt>
                <c:pt idx="22">
                  <c:v>153.65643704499149</c:v>
                </c:pt>
                <c:pt idx="23">
                  <c:v>153.65643704499149</c:v>
                </c:pt>
                <c:pt idx="24">
                  <c:v>153.65643704499149</c:v>
                </c:pt>
                <c:pt idx="25">
                  <c:v>153.65643704499149</c:v>
                </c:pt>
                <c:pt idx="26">
                  <c:v>153.65643704499149</c:v>
                </c:pt>
                <c:pt idx="27">
                  <c:v>153.65643704499149</c:v>
                </c:pt>
                <c:pt idx="28">
                  <c:v>153.65643704499149</c:v>
                </c:pt>
                <c:pt idx="29">
                  <c:v>153.65643704499149</c:v>
                </c:pt>
                <c:pt idx="30">
                  <c:v>153.65643704499149</c:v>
                </c:pt>
                <c:pt idx="31">
                  <c:v>207.56972273551534</c:v>
                </c:pt>
                <c:pt idx="32">
                  <c:v>207.56972273551534</c:v>
                </c:pt>
                <c:pt idx="33">
                  <c:v>207.56972273551534</c:v>
                </c:pt>
                <c:pt idx="34">
                  <c:v>207.56972273551534</c:v>
                </c:pt>
                <c:pt idx="35">
                  <c:v>207.56972273551534</c:v>
                </c:pt>
                <c:pt idx="36">
                  <c:v>207.56972273551534</c:v>
                </c:pt>
                <c:pt idx="37">
                  <c:v>207.56972273551534</c:v>
                </c:pt>
                <c:pt idx="38">
                  <c:v>207.56972273551534</c:v>
                </c:pt>
                <c:pt idx="39">
                  <c:v>207.56972273551534</c:v>
                </c:pt>
                <c:pt idx="40">
                  <c:v>207.56972273551534</c:v>
                </c:pt>
                <c:pt idx="41">
                  <c:v>207.56972273551534</c:v>
                </c:pt>
                <c:pt idx="42">
                  <c:v>207.56972273551534</c:v>
                </c:pt>
                <c:pt idx="43">
                  <c:v>207.56972273551534</c:v>
                </c:pt>
                <c:pt idx="44">
                  <c:v>207.56972273551534</c:v>
                </c:pt>
                <c:pt idx="45">
                  <c:v>207.56972273551534</c:v>
                </c:pt>
                <c:pt idx="46">
                  <c:v>207.56972273551534</c:v>
                </c:pt>
                <c:pt idx="47">
                  <c:v>207.56972273551534</c:v>
                </c:pt>
                <c:pt idx="48">
                  <c:v>207.56972273551534</c:v>
                </c:pt>
                <c:pt idx="49">
                  <c:v>207.56972273551534</c:v>
                </c:pt>
                <c:pt idx="50">
                  <c:v>207.56972273551534</c:v>
                </c:pt>
                <c:pt idx="51">
                  <c:v>207.56972273551534</c:v>
                </c:pt>
                <c:pt idx="52">
                  <c:v>207.56972273551534</c:v>
                </c:pt>
                <c:pt idx="53">
                  <c:v>207.56972273551534</c:v>
                </c:pt>
                <c:pt idx="54">
                  <c:v>207.56972273551534</c:v>
                </c:pt>
                <c:pt idx="55">
                  <c:v>207.56972273551534</c:v>
                </c:pt>
                <c:pt idx="56">
                  <c:v>207.56972273551534</c:v>
                </c:pt>
                <c:pt idx="57">
                  <c:v>207.56972273551534</c:v>
                </c:pt>
                <c:pt idx="58">
                  <c:v>207.56972273551534</c:v>
                </c:pt>
                <c:pt idx="59">
                  <c:v>207.56972273551534</c:v>
                </c:pt>
                <c:pt idx="60">
                  <c:v>207.56972273551534</c:v>
                </c:pt>
                <c:pt idx="61">
                  <c:v>195.62485934287386</c:v>
                </c:pt>
                <c:pt idx="62">
                  <c:v>195.62485934287386</c:v>
                </c:pt>
                <c:pt idx="63">
                  <c:v>195.62485934287386</c:v>
                </c:pt>
                <c:pt idx="64">
                  <c:v>195.62485934287386</c:v>
                </c:pt>
                <c:pt idx="65">
                  <c:v>195.62485934287386</c:v>
                </c:pt>
                <c:pt idx="66">
                  <c:v>195.62485934287386</c:v>
                </c:pt>
                <c:pt idx="67">
                  <c:v>195.62485934287386</c:v>
                </c:pt>
                <c:pt idx="68">
                  <c:v>195.62485934287386</c:v>
                </c:pt>
                <c:pt idx="69">
                  <c:v>195.62485934287386</c:v>
                </c:pt>
                <c:pt idx="70">
                  <c:v>195.62485934287386</c:v>
                </c:pt>
                <c:pt idx="71">
                  <c:v>195.62485934287386</c:v>
                </c:pt>
                <c:pt idx="72">
                  <c:v>195.62485934287386</c:v>
                </c:pt>
                <c:pt idx="73">
                  <c:v>195.62485934287386</c:v>
                </c:pt>
                <c:pt idx="74">
                  <c:v>195.62485934287386</c:v>
                </c:pt>
                <c:pt idx="75">
                  <c:v>195.62485934287386</c:v>
                </c:pt>
                <c:pt idx="76">
                  <c:v>195.62485934287386</c:v>
                </c:pt>
                <c:pt idx="77">
                  <c:v>195.62485934287386</c:v>
                </c:pt>
                <c:pt idx="78">
                  <c:v>195.62485934287386</c:v>
                </c:pt>
                <c:pt idx="79">
                  <c:v>195.62485934287386</c:v>
                </c:pt>
                <c:pt idx="80">
                  <c:v>195.62485934287386</c:v>
                </c:pt>
                <c:pt idx="81">
                  <c:v>195.62485934287386</c:v>
                </c:pt>
                <c:pt idx="82">
                  <c:v>195.62485934287386</c:v>
                </c:pt>
                <c:pt idx="83">
                  <c:v>195.62485934287386</c:v>
                </c:pt>
                <c:pt idx="84">
                  <c:v>195.62485934287386</c:v>
                </c:pt>
                <c:pt idx="85">
                  <c:v>195.62485934287386</c:v>
                </c:pt>
                <c:pt idx="86">
                  <c:v>195.62485934287386</c:v>
                </c:pt>
                <c:pt idx="87">
                  <c:v>195.62485934287386</c:v>
                </c:pt>
                <c:pt idx="88">
                  <c:v>195.62485934287386</c:v>
                </c:pt>
                <c:pt idx="89">
                  <c:v>195.62485934287386</c:v>
                </c:pt>
                <c:pt idx="90">
                  <c:v>195.62485934287386</c:v>
                </c:pt>
                <c:pt idx="91">
                  <c:v>195.62485934287386</c:v>
                </c:pt>
                <c:pt idx="92">
                  <c:v>226.69698541636285</c:v>
                </c:pt>
                <c:pt idx="93">
                  <c:v>226.69698541636285</c:v>
                </c:pt>
                <c:pt idx="94">
                  <c:v>226.69698541636285</c:v>
                </c:pt>
                <c:pt idx="95">
                  <c:v>226.69698541636285</c:v>
                </c:pt>
                <c:pt idx="96">
                  <c:v>226.69698541636285</c:v>
                </c:pt>
                <c:pt idx="97">
                  <c:v>226.69698541636285</c:v>
                </c:pt>
                <c:pt idx="98">
                  <c:v>226.69698541636285</c:v>
                </c:pt>
                <c:pt idx="99">
                  <c:v>226.69698541636285</c:v>
                </c:pt>
                <c:pt idx="100">
                  <c:v>226.69698541636285</c:v>
                </c:pt>
                <c:pt idx="101">
                  <c:v>226.69698541636285</c:v>
                </c:pt>
                <c:pt idx="102">
                  <c:v>226.69698541636285</c:v>
                </c:pt>
                <c:pt idx="103">
                  <c:v>226.69698541636285</c:v>
                </c:pt>
                <c:pt idx="104">
                  <c:v>226.69698541636285</c:v>
                </c:pt>
                <c:pt idx="105">
                  <c:v>226.69698541636285</c:v>
                </c:pt>
                <c:pt idx="106">
                  <c:v>226.69698541636285</c:v>
                </c:pt>
                <c:pt idx="107">
                  <c:v>226.69698541636285</c:v>
                </c:pt>
                <c:pt idx="108">
                  <c:v>226.69698541636285</c:v>
                </c:pt>
                <c:pt idx="109">
                  <c:v>226.69698541636285</c:v>
                </c:pt>
                <c:pt idx="110">
                  <c:v>226.69698541636285</c:v>
                </c:pt>
                <c:pt idx="111">
                  <c:v>226.69698541636285</c:v>
                </c:pt>
                <c:pt idx="112">
                  <c:v>226.69698541636285</c:v>
                </c:pt>
                <c:pt idx="113">
                  <c:v>226.69698541636285</c:v>
                </c:pt>
                <c:pt idx="114">
                  <c:v>226.69698541636285</c:v>
                </c:pt>
                <c:pt idx="115">
                  <c:v>226.69698541636285</c:v>
                </c:pt>
                <c:pt idx="116">
                  <c:v>226.69698541636285</c:v>
                </c:pt>
                <c:pt idx="117">
                  <c:v>226.69698541636285</c:v>
                </c:pt>
                <c:pt idx="118">
                  <c:v>226.69698541636285</c:v>
                </c:pt>
                <c:pt idx="119">
                  <c:v>226.69698541636285</c:v>
                </c:pt>
                <c:pt idx="120">
                  <c:v>226.69698541636285</c:v>
                </c:pt>
                <c:pt idx="121">
                  <c:v>226.69698541636285</c:v>
                </c:pt>
                <c:pt idx="122">
                  <c:v>226.69698541636285</c:v>
                </c:pt>
                <c:pt idx="123">
                  <c:v>216.84283256745775</c:v>
                </c:pt>
                <c:pt idx="124">
                  <c:v>216.84283256745775</c:v>
                </c:pt>
                <c:pt idx="125">
                  <c:v>216.84283256745775</c:v>
                </c:pt>
                <c:pt idx="126">
                  <c:v>216.84283256745775</c:v>
                </c:pt>
                <c:pt idx="127">
                  <c:v>216.84283256745775</c:v>
                </c:pt>
                <c:pt idx="128">
                  <c:v>216.84283256745775</c:v>
                </c:pt>
                <c:pt idx="129">
                  <c:v>216.84283256745775</c:v>
                </c:pt>
                <c:pt idx="130">
                  <c:v>216.84283256745775</c:v>
                </c:pt>
                <c:pt idx="131">
                  <c:v>216.84283256745775</c:v>
                </c:pt>
                <c:pt idx="132">
                  <c:v>216.84283256745775</c:v>
                </c:pt>
                <c:pt idx="133">
                  <c:v>216.84283256745775</c:v>
                </c:pt>
                <c:pt idx="134">
                  <c:v>216.84283256745775</c:v>
                </c:pt>
                <c:pt idx="135">
                  <c:v>216.84283256745775</c:v>
                </c:pt>
                <c:pt idx="136">
                  <c:v>216.84283256745775</c:v>
                </c:pt>
                <c:pt idx="137">
                  <c:v>216.84283256745775</c:v>
                </c:pt>
                <c:pt idx="138">
                  <c:v>216.84283256745775</c:v>
                </c:pt>
                <c:pt idx="139">
                  <c:v>216.84283256745775</c:v>
                </c:pt>
                <c:pt idx="140">
                  <c:v>216.84283256745775</c:v>
                </c:pt>
                <c:pt idx="141">
                  <c:v>216.84283256745775</c:v>
                </c:pt>
                <c:pt idx="142">
                  <c:v>216.84283256745775</c:v>
                </c:pt>
                <c:pt idx="143">
                  <c:v>216.84283256745775</c:v>
                </c:pt>
                <c:pt idx="144">
                  <c:v>216.84283256745775</c:v>
                </c:pt>
                <c:pt idx="145">
                  <c:v>216.84283256745775</c:v>
                </c:pt>
                <c:pt idx="146">
                  <c:v>216.84283256745775</c:v>
                </c:pt>
                <c:pt idx="147">
                  <c:v>216.84283256745775</c:v>
                </c:pt>
                <c:pt idx="148">
                  <c:v>216.84283256745775</c:v>
                </c:pt>
                <c:pt idx="149">
                  <c:v>216.84283256745775</c:v>
                </c:pt>
                <c:pt idx="150">
                  <c:v>216.84283256745775</c:v>
                </c:pt>
                <c:pt idx="151">
                  <c:v>216.84283256745775</c:v>
                </c:pt>
                <c:pt idx="152">
                  <c:v>222.84447144022923</c:v>
                </c:pt>
                <c:pt idx="153">
                  <c:v>222.84447144022923</c:v>
                </c:pt>
                <c:pt idx="154">
                  <c:v>222.84447144022923</c:v>
                </c:pt>
                <c:pt idx="155">
                  <c:v>222.84447144022923</c:v>
                </c:pt>
                <c:pt idx="156">
                  <c:v>222.84447144022923</c:v>
                </c:pt>
                <c:pt idx="157">
                  <c:v>222.84447144022923</c:v>
                </c:pt>
                <c:pt idx="158">
                  <c:v>222.84447144022923</c:v>
                </c:pt>
                <c:pt idx="159">
                  <c:v>222.84447144022923</c:v>
                </c:pt>
                <c:pt idx="160">
                  <c:v>222.84447144022923</c:v>
                </c:pt>
                <c:pt idx="161">
                  <c:v>222.84447144022923</c:v>
                </c:pt>
                <c:pt idx="162">
                  <c:v>222.84447144022923</c:v>
                </c:pt>
                <c:pt idx="163">
                  <c:v>222.84447144022923</c:v>
                </c:pt>
                <c:pt idx="164">
                  <c:v>222.84447144022923</c:v>
                </c:pt>
                <c:pt idx="165">
                  <c:v>222.84447144022923</c:v>
                </c:pt>
                <c:pt idx="166">
                  <c:v>222.84447144022923</c:v>
                </c:pt>
                <c:pt idx="167">
                  <c:v>222.84447144022923</c:v>
                </c:pt>
                <c:pt idx="168">
                  <c:v>222.84447144022923</c:v>
                </c:pt>
                <c:pt idx="169">
                  <c:v>222.84447144022923</c:v>
                </c:pt>
                <c:pt idx="170">
                  <c:v>222.84447144022923</c:v>
                </c:pt>
                <c:pt idx="171">
                  <c:v>222.84447144022923</c:v>
                </c:pt>
                <c:pt idx="172">
                  <c:v>222.84447144022923</c:v>
                </c:pt>
                <c:pt idx="173">
                  <c:v>222.84447144022923</c:v>
                </c:pt>
                <c:pt idx="174">
                  <c:v>222.84447144022923</c:v>
                </c:pt>
                <c:pt idx="175">
                  <c:v>222.84447144022923</c:v>
                </c:pt>
                <c:pt idx="176">
                  <c:v>222.84447144022923</c:v>
                </c:pt>
                <c:pt idx="177">
                  <c:v>222.84447144022923</c:v>
                </c:pt>
                <c:pt idx="178">
                  <c:v>222.84447144022923</c:v>
                </c:pt>
                <c:pt idx="179">
                  <c:v>222.84447144022923</c:v>
                </c:pt>
                <c:pt idx="180">
                  <c:v>222.84447144022923</c:v>
                </c:pt>
                <c:pt idx="181">
                  <c:v>222.84447144022923</c:v>
                </c:pt>
                <c:pt idx="182">
                  <c:v>222.84447144022923</c:v>
                </c:pt>
                <c:pt idx="183">
                  <c:v>177.18158829648888</c:v>
                </c:pt>
                <c:pt idx="184">
                  <c:v>177.18158829648888</c:v>
                </c:pt>
                <c:pt idx="185">
                  <c:v>177.18158829648888</c:v>
                </c:pt>
                <c:pt idx="186">
                  <c:v>177.18158829648888</c:v>
                </c:pt>
                <c:pt idx="187">
                  <c:v>177.18158829648888</c:v>
                </c:pt>
                <c:pt idx="188">
                  <c:v>177.18158829648888</c:v>
                </c:pt>
                <c:pt idx="189">
                  <c:v>177.18158829648888</c:v>
                </c:pt>
                <c:pt idx="190">
                  <c:v>177.18158829648888</c:v>
                </c:pt>
                <c:pt idx="191">
                  <c:v>177.18158829648888</c:v>
                </c:pt>
                <c:pt idx="192">
                  <c:v>177.18158829648888</c:v>
                </c:pt>
                <c:pt idx="193">
                  <c:v>177.18158829648888</c:v>
                </c:pt>
                <c:pt idx="194">
                  <c:v>177.18158829648888</c:v>
                </c:pt>
                <c:pt idx="195">
                  <c:v>177.18158829648888</c:v>
                </c:pt>
                <c:pt idx="196">
                  <c:v>177.18158829648888</c:v>
                </c:pt>
                <c:pt idx="197">
                  <c:v>177.18158829648888</c:v>
                </c:pt>
                <c:pt idx="198">
                  <c:v>177.18158829648888</c:v>
                </c:pt>
                <c:pt idx="199">
                  <c:v>177.18158829648888</c:v>
                </c:pt>
                <c:pt idx="200">
                  <c:v>177.18158829648888</c:v>
                </c:pt>
                <c:pt idx="201">
                  <c:v>177.18158829648888</c:v>
                </c:pt>
                <c:pt idx="202">
                  <c:v>177.18158829648888</c:v>
                </c:pt>
                <c:pt idx="203">
                  <c:v>177.18158829648888</c:v>
                </c:pt>
                <c:pt idx="204">
                  <c:v>177.18158829648888</c:v>
                </c:pt>
                <c:pt idx="205">
                  <c:v>177.18158829648888</c:v>
                </c:pt>
                <c:pt idx="206">
                  <c:v>177.18158829648888</c:v>
                </c:pt>
                <c:pt idx="207">
                  <c:v>177.18158829648888</c:v>
                </c:pt>
                <c:pt idx="208">
                  <c:v>177.18158829648888</c:v>
                </c:pt>
                <c:pt idx="209">
                  <c:v>177.18158829648888</c:v>
                </c:pt>
                <c:pt idx="210">
                  <c:v>177.18158829648888</c:v>
                </c:pt>
                <c:pt idx="211">
                  <c:v>177.18158829648888</c:v>
                </c:pt>
                <c:pt idx="212">
                  <c:v>177.18158829648888</c:v>
                </c:pt>
                <c:pt idx="213">
                  <c:v>166.6203257805451</c:v>
                </c:pt>
                <c:pt idx="214">
                  <c:v>166.6203257805451</c:v>
                </c:pt>
                <c:pt idx="215">
                  <c:v>166.6203257805451</c:v>
                </c:pt>
                <c:pt idx="216">
                  <c:v>166.6203257805451</c:v>
                </c:pt>
                <c:pt idx="217">
                  <c:v>166.6203257805451</c:v>
                </c:pt>
                <c:pt idx="218">
                  <c:v>166.6203257805451</c:v>
                </c:pt>
                <c:pt idx="219">
                  <c:v>166.6203257805451</c:v>
                </c:pt>
                <c:pt idx="220">
                  <c:v>166.6203257805451</c:v>
                </c:pt>
                <c:pt idx="221">
                  <c:v>166.6203257805451</c:v>
                </c:pt>
                <c:pt idx="222">
                  <c:v>166.6203257805451</c:v>
                </c:pt>
                <c:pt idx="223">
                  <c:v>166.6203257805451</c:v>
                </c:pt>
                <c:pt idx="224">
                  <c:v>166.6203257805451</c:v>
                </c:pt>
                <c:pt idx="225">
                  <c:v>166.6203257805451</c:v>
                </c:pt>
                <c:pt idx="226">
                  <c:v>166.6203257805451</c:v>
                </c:pt>
                <c:pt idx="227">
                  <c:v>166.6203257805451</c:v>
                </c:pt>
                <c:pt idx="228">
                  <c:v>166.6203257805451</c:v>
                </c:pt>
                <c:pt idx="229">
                  <c:v>166.6203257805451</c:v>
                </c:pt>
                <c:pt idx="230">
                  <c:v>166.6203257805451</c:v>
                </c:pt>
                <c:pt idx="231">
                  <c:v>166.6203257805451</c:v>
                </c:pt>
                <c:pt idx="232">
                  <c:v>166.6203257805451</c:v>
                </c:pt>
                <c:pt idx="233">
                  <c:v>166.6203257805451</c:v>
                </c:pt>
                <c:pt idx="234">
                  <c:v>166.6203257805451</c:v>
                </c:pt>
                <c:pt idx="235">
                  <c:v>166.6203257805451</c:v>
                </c:pt>
                <c:pt idx="236">
                  <c:v>166.6203257805451</c:v>
                </c:pt>
                <c:pt idx="237">
                  <c:v>166.6203257805451</c:v>
                </c:pt>
                <c:pt idx="238">
                  <c:v>166.6203257805451</c:v>
                </c:pt>
                <c:pt idx="239">
                  <c:v>166.6203257805451</c:v>
                </c:pt>
                <c:pt idx="240">
                  <c:v>166.6203257805451</c:v>
                </c:pt>
                <c:pt idx="241">
                  <c:v>166.6203257805451</c:v>
                </c:pt>
                <c:pt idx="242">
                  <c:v>166.6203257805451</c:v>
                </c:pt>
                <c:pt idx="243">
                  <c:v>166.6203257805451</c:v>
                </c:pt>
                <c:pt idx="244">
                  <c:v>128.84164464824599</c:v>
                </c:pt>
                <c:pt idx="245">
                  <c:v>128.84164464824599</c:v>
                </c:pt>
                <c:pt idx="246">
                  <c:v>128.84164464824599</c:v>
                </c:pt>
                <c:pt idx="247">
                  <c:v>128.84164464824599</c:v>
                </c:pt>
                <c:pt idx="248">
                  <c:v>128.84164464824599</c:v>
                </c:pt>
                <c:pt idx="249">
                  <c:v>128.84164464824599</c:v>
                </c:pt>
                <c:pt idx="250">
                  <c:v>128.84164464824599</c:v>
                </c:pt>
                <c:pt idx="251">
                  <c:v>128.84164464824599</c:v>
                </c:pt>
                <c:pt idx="252">
                  <c:v>128.84164464824599</c:v>
                </c:pt>
                <c:pt idx="253">
                  <c:v>128.84164464824599</c:v>
                </c:pt>
                <c:pt idx="254">
                  <c:v>128.84164464824599</c:v>
                </c:pt>
                <c:pt idx="255">
                  <c:v>128.84164464824599</c:v>
                </c:pt>
                <c:pt idx="256">
                  <c:v>128.84164464824599</c:v>
                </c:pt>
                <c:pt idx="257">
                  <c:v>128.84164464824599</c:v>
                </c:pt>
                <c:pt idx="258">
                  <c:v>128.84164464824599</c:v>
                </c:pt>
                <c:pt idx="259">
                  <c:v>128.84164464824599</c:v>
                </c:pt>
                <c:pt idx="260">
                  <c:v>128.84164464824599</c:v>
                </c:pt>
                <c:pt idx="261">
                  <c:v>128.84164464824599</c:v>
                </c:pt>
                <c:pt idx="262">
                  <c:v>128.84164464824599</c:v>
                </c:pt>
                <c:pt idx="263">
                  <c:v>128.84164464824599</c:v>
                </c:pt>
                <c:pt idx="264">
                  <c:v>128.84164464824599</c:v>
                </c:pt>
                <c:pt idx="265">
                  <c:v>128.84164464824599</c:v>
                </c:pt>
                <c:pt idx="266">
                  <c:v>128.84164464824599</c:v>
                </c:pt>
                <c:pt idx="267">
                  <c:v>128.84164464824599</c:v>
                </c:pt>
                <c:pt idx="268">
                  <c:v>128.84164464824599</c:v>
                </c:pt>
                <c:pt idx="269">
                  <c:v>128.84164464824599</c:v>
                </c:pt>
                <c:pt idx="270">
                  <c:v>128.84164464824599</c:v>
                </c:pt>
                <c:pt idx="271">
                  <c:v>128.84164464824599</c:v>
                </c:pt>
                <c:pt idx="272">
                  <c:v>128.84164464824599</c:v>
                </c:pt>
                <c:pt idx="273">
                  <c:v>128.84164464824599</c:v>
                </c:pt>
                <c:pt idx="274">
                  <c:v>138.50778519321111</c:v>
                </c:pt>
                <c:pt idx="275">
                  <c:v>138.50778519321111</c:v>
                </c:pt>
                <c:pt idx="276">
                  <c:v>138.50778519321111</c:v>
                </c:pt>
                <c:pt idx="277">
                  <c:v>138.50778519321111</c:v>
                </c:pt>
                <c:pt idx="278">
                  <c:v>138.50778519321111</c:v>
                </c:pt>
                <c:pt idx="279">
                  <c:v>138.50778519321111</c:v>
                </c:pt>
                <c:pt idx="280">
                  <c:v>138.50778519321111</c:v>
                </c:pt>
                <c:pt idx="281">
                  <c:v>138.50778519321111</c:v>
                </c:pt>
                <c:pt idx="282">
                  <c:v>138.50778519321111</c:v>
                </c:pt>
                <c:pt idx="283">
                  <c:v>138.50778519321111</c:v>
                </c:pt>
                <c:pt idx="284">
                  <c:v>138.50778519321111</c:v>
                </c:pt>
                <c:pt idx="285">
                  <c:v>138.50778519321111</c:v>
                </c:pt>
                <c:pt idx="286">
                  <c:v>138.50778519321111</c:v>
                </c:pt>
                <c:pt idx="287">
                  <c:v>138.50778519321111</c:v>
                </c:pt>
                <c:pt idx="288">
                  <c:v>138.50778519321111</c:v>
                </c:pt>
                <c:pt idx="289">
                  <c:v>138.50778519321111</c:v>
                </c:pt>
                <c:pt idx="290">
                  <c:v>138.50778519321111</c:v>
                </c:pt>
                <c:pt idx="291">
                  <c:v>138.50778519321111</c:v>
                </c:pt>
                <c:pt idx="292">
                  <c:v>138.50778519321111</c:v>
                </c:pt>
                <c:pt idx="293">
                  <c:v>138.50778519321111</c:v>
                </c:pt>
                <c:pt idx="294">
                  <c:v>138.50778519321111</c:v>
                </c:pt>
                <c:pt idx="295">
                  <c:v>138.50778519321111</c:v>
                </c:pt>
                <c:pt idx="296">
                  <c:v>138.50778519321111</c:v>
                </c:pt>
                <c:pt idx="297">
                  <c:v>138.50778519321111</c:v>
                </c:pt>
                <c:pt idx="298">
                  <c:v>138.50778519321111</c:v>
                </c:pt>
                <c:pt idx="299">
                  <c:v>138.50778519321111</c:v>
                </c:pt>
                <c:pt idx="300">
                  <c:v>138.50778519321111</c:v>
                </c:pt>
                <c:pt idx="301">
                  <c:v>138.50778519321111</c:v>
                </c:pt>
                <c:pt idx="302">
                  <c:v>138.50778519321111</c:v>
                </c:pt>
                <c:pt idx="303">
                  <c:v>138.50778519321111</c:v>
                </c:pt>
                <c:pt idx="304">
                  <c:v>138.50778519321111</c:v>
                </c:pt>
                <c:pt idx="305">
                  <c:v>132.93077628527917</c:v>
                </c:pt>
                <c:pt idx="306">
                  <c:v>132.93077628527917</c:v>
                </c:pt>
                <c:pt idx="307">
                  <c:v>132.93077628527917</c:v>
                </c:pt>
                <c:pt idx="308">
                  <c:v>132.93077628527917</c:v>
                </c:pt>
                <c:pt idx="309">
                  <c:v>132.93077628527917</c:v>
                </c:pt>
                <c:pt idx="310">
                  <c:v>132.93077628527917</c:v>
                </c:pt>
                <c:pt idx="311">
                  <c:v>132.93077628527917</c:v>
                </c:pt>
                <c:pt idx="312">
                  <c:v>132.93077628527917</c:v>
                </c:pt>
                <c:pt idx="313">
                  <c:v>132.93077628527917</c:v>
                </c:pt>
                <c:pt idx="314">
                  <c:v>132.93077628527917</c:v>
                </c:pt>
                <c:pt idx="315">
                  <c:v>132.93077628527917</c:v>
                </c:pt>
                <c:pt idx="316">
                  <c:v>132.93077628527917</c:v>
                </c:pt>
                <c:pt idx="317">
                  <c:v>132.93077628527917</c:v>
                </c:pt>
                <c:pt idx="318">
                  <c:v>132.93077628527917</c:v>
                </c:pt>
                <c:pt idx="319">
                  <c:v>132.93077628527917</c:v>
                </c:pt>
                <c:pt idx="320">
                  <c:v>132.93077628527917</c:v>
                </c:pt>
                <c:pt idx="321">
                  <c:v>132.93077628527917</c:v>
                </c:pt>
                <c:pt idx="322">
                  <c:v>132.93077628527917</c:v>
                </c:pt>
                <c:pt idx="323">
                  <c:v>132.93077628527917</c:v>
                </c:pt>
                <c:pt idx="324">
                  <c:v>132.93077628527917</c:v>
                </c:pt>
                <c:pt idx="325">
                  <c:v>132.93077628527917</c:v>
                </c:pt>
                <c:pt idx="326">
                  <c:v>132.93077628527917</c:v>
                </c:pt>
                <c:pt idx="327">
                  <c:v>132.93077628527917</c:v>
                </c:pt>
                <c:pt idx="328">
                  <c:v>132.93077628527917</c:v>
                </c:pt>
                <c:pt idx="329">
                  <c:v>132.93077628527917</c:v>
                </c:pt>
                <c:pt idx="330">
                  <c:v>132.93077628527917</c:v>
                </c:pt>
                <c:pt idx="331">
                  <c:v>132.93077628527917</c:v>
                </c:pt>
                <c:pt idx="332">
                  <c:v>132.93077628527917</c:v>
                </c:pt>
                <c:pt idx="333">
                  <c:v>132.93077628527917</c:v>
                </c:pt>
                <c:pt idx="334">
                  <c:v>132.93077628527917</c:v>
                </c:pt>
                <c:pt idx="335">
                  <c:v>132.93077628527917</c:v>
                </c:pt>
                <c:pt idx="336">
                  <c:v>125.60755433708039</c:v>
                </c:pt>
                <c:pt idx="337">
                  <c:v>125.60755433708039</c:v>
                </c:pt>
                <c:pt idx="338">
                  <c:v>125.60755433708039</c:v>
                </c:pt>
                <c:pt idx="339">
                  <c:v>125.60755433708039</c:v>
                </c:pt>
                <c:pt idx="340">
                  <c:v>125.60755433708039</c:v>
                </c:pt>
                <c:pt idx="341">
                  <c:v>125.60755433708039</c:v>
                </c:pt>
                <c:pt idx="342">
                  <c:v>125.60755433708039</c:v>
                </c:pt>
                <c:pt idx="343">
                  <c:v>125.60755433708039</c:v>
                </c:pt>
                <c:pt idx="344">
                  <c:v>125.60755433708039</c:v>
                </c:pt>
                <c:pt idx="345">
                  <c:v>125.60755433708039</c:v>
                </c:pt>
                <c:pt idx="346">
                  <c:v>125.60755433708039</c:v>
                </c:pt>
                <c:pt idx="347">
                  <c:v>125.60755433708039</c:v>
                </c:pt>
                <c:pt idx="348">
                  <c:v>125.60755433708039</c:v>
                </c:pt>
                <c:pt idx="349">
                  <c:v>125.60755433708039</c:v>
                </c:pt>
                <c:pt idx="350">
                  <c:v>125.60755433708039</c:v>
                </c:pt>
                <c:pt idx="351">
                  <c:v>125.60755433708039</c:v>
                </c:pt>
                <c:pt idx="352">
                  <c:v>125.60755433708039</c:v>
                </c:pt>
                <c:pt idx="353">
                  <c:v>125.60755433708039</c:v>
                </c:pt>
                <c:pt idx="354">
                  <c:v>125.60755433708039</c:v>
                </c:pt>
                <c:pt idx="355">
                  <c:v>125.60755433708039</c:v>
                </c:pt>
                <c:pt idx="356">
                  <c:v>125.60755433708039</c:v>
                </c:pt>
                <c:pt idx="357">
                  <c:v>125.60755433708039</c:v>
                </c:pt>
                <c:pt idx="358">
                  <c:v>125.60755433708039</c:v>
                </c:pt>
                <c:pt idx="359">
                  <c:v>125.60755433708039</c:v>
                </c:pt>
                <c:pt idx="360">
                  <c:v>125.60755433708039</c:v>
                </c:pt>
                <c:pt idx="361">
                  <c:v>125.60755433708039</c:v>
                </c:pt>
                <c:pt idx="362">
                  <c:v>125.60755433708039</c:v>
                </c:pt>
                <c:pt idx="363">
                  <c:v>125.60755433708039</c:v>
                </c:pt>
                <c:pt idx="364">
                  <c:v>125.60755433708039</c:v>
                </c:pt>
                <c:pt idx="365">
                  <c:v>125.60755433708039</c:v>
                </c:pt>
                <c:pt idx="366">
                  <c:v>158.58862447451119</c:v>
                </c:pt>
                <c:pt idx="367">
                  <c:v>158.58862447451119</c:v>
                </c:pt>
                <c:pt idx="368">
                  <c:v>158.58862447451119</c:v>
                </c:pt>
                <c:pt idx="369">
                  <c:v>158.58862447451119</c:v>
                </c:pt>
                <c:pt idx="370">
                  <c:v>158.58862447451119</c:v>
                </c:pt>
                <c:pt idx="371">
                  <c:v>158.58862447451119</c:v>
                </c:pt>
                <c:pt idx="372">
                  <c:v>158.58862447451119</c:v>
                </c:pt>
                <c:pt idx="373">
                  <c:v>158.58862447451119</c:v>
                </c:pt>
                <c:pt idx="374">
                  <c:v>158.58862447451119</c:v>
                </c:pt>
                <c:pt idx="375">
                  <c:v>158.58862447451119</c:v>
                </c:pt>
                <c:pt idx="376">
                  <c:v>158.58862447451119</c:v>
                </c:pt>
                <c:pt idx="377">
                  <c:v>158.58862447451119</c:v>
                </c:pt>
                <c:pt idx="378">
                  <c:v>158.58862447451119</c:v>
                </c:pt>
                <c:pt idx="379">
                  <c:v>158.58862447451119</c:v>
                </c:pt>
                <c:pt idx="380">
                  <c:v>158.58862447451119</c:v>
                </c:pt>
                <c:pt idx="381">
                  <c:v>158.58862447451119</c:v>
                </c:pt>
                <c:pt idx="382">
                  <c:v>158.58862447451119</c:v>
                </c:pt>
                <c:pt idx="383">
                  <c:v>158.58862447451119</c:v>
                </c:pt>
                <c:pt idx="384">
                  <c:v>158.58862447451119</c:v>
                </c:pt>
                <c:pt idx="385">
                  <c:v>158.58862447451119</c:v>
                </c:pt>
                <c:pt idx="386">
                  <c:v>158.58862447451119</c:v>
                </c:pt>
                <c:pt idx="387">
                  <c:v>158.58862447451119</c:v>
                </c:pt>
                <c:pt idx="388">
                  <c:v>158.58862447451119</c:v>
                </c:pt>
                <c:pt idx="389">
                  <c:v>158.58862447451119</c:v>
                </c:pt>
                <c:pt idx="390">
                  <c:v>158.58862447451119</c:v>
                </c:pt>
                <c:pt idx="391">
                  <c:v>158.58862447451119</c:v>
                </c:pt>
                <c:pt idx="392">
                  <c:v>158.58862447451119</c:v>
                </c:pt>
                <c:pt idx="393">
                  <c:v>158.58862447451119</c:v>
                </c:pt>
                <c:pt idx="394">
                  <c:v>158.58862447451119</c:v>
                </c:pt>
                <c:pt idx="395">
                  <c:v>158.58862447451119</c:v>
                </c:pt>
                <c:pt idx="396">
                  <c:v>158.58862447451119</c:v>
                </c:pt>
                <c:pt idx="397">
                  <c:v>206.58836225654034</c:v>
                </c:pt>
                <c:pt idx="398">
                  <c:v>206.58836225654034</c:v>
                </c:pt>
                <c:pt idx="399">
                  <c:v>206.58836225654034</c:v>
                </c:pt>
                <c:pt idx="400">
                  <c:v>206.58836225654034</c:v>
                </c:pt>
                <c:pt idx="401">
                  <c:v>206.58836225654034</c:v>
                </c:pt>
                <c:pt idx="402">
                  <c:v>206.58836225654034</c:v>
                </c:pt>
                <c:pt idx="403">
                  <c:v>206.58836225654034</c:v>
                </c:pt>
                <c:pt idx="404">
                  <c:v>206.58836225654034</c:v>
                </c:pt>
                <c:pt idx="405">
                  <c:v>206.58836225654034</c:v>
                </c:pt>
                <c:pt idx="406">
                  <c:v>206.58836225654034</c:v>
                </c:pt>
                <c:pt idx="407">
                  <c:v>206.58836225654034</c:v>
                </c:pt>
                <c:pt idx="408">
                  <c:v>206.58836225654034</c:v>
                </c:pt>
                <c:pt idx="409">
                  <c:v>206.58836225654034</c:v>
                </c:pt>
                <c:pt idx="410">
                  <c:v>206.58836225654034</c:v>
                </c:pt>
                <c:pt idx="411">
                  <c:v>206.58836225654034</c:v>
                </c:pt>
                <c:pt idx="412">
                  <c:v>206.58836225654034</c:v>
                </c:pt>
                <c:pt idx="413">
                  <c:v>206.58836225654034</c:v>
                </c:pt>
                <c:pt idx="414">
                  <c:v>206.58836225654034</c:v>
                </c:pt>
                <c:pt idx="415">
                  <c:v>206.58836225654034</c:v>
                </c:pt>
                <c:pt idx="416">
                  <c:v>206.58836225654034</c:v>
                </c:pt>
                <c:pt idx="417">
                  <c:v>206.58836225654034</c:v>
                </c:pt>
                <c:pt idx="418">
                  <c:v>206.58836225654034</c:v>
                </c:pt>
                <c:pt idx="419">
                  <c:v>206.58836225654034</c:v>
                </c:pt>
                <c:pt idx="420">
                  <c:v>206.58836225654034</c:v>
                </c:pt>
                <c:pt idx="421">
                  <c:v>206.58836225654034</c:v>
                </c:pt>
                <c:pt idx="422">
                  <c:v>206.58836225654034</c:v>
                </c:pt>
                <c:pt idx="423">
                  <c:v>206.58836225654034</c:v>
                </c:pt>
                <c:pt idx="424">
                  <c:v>206.58836225654034</c:v>
                </c:pt>
                <c:pt idx="425">
                  <c:v>206.58836225654034</c:v>
                </c:pt>
                <c:pt idx="426">
                  <c:v>206.58836225654034</c:v>
                </c:pt>
                <c:pt idx="427">
                  <c:v>197.24299123529053</c:v>
                </c:pt>
                <c:pt idx="428">
                  <c:v>197.24299123529053</c:v>
                </c:pt>
                <c:pt idx="429">
                  <c:v>197.24299123529053</c:v>
                </c:pt>
                <c:pt idx="430">
                  <c:v>197.24299123529053</c:v>
                </c:pt>
                <c:pt idx="431">
                  <c:v>197.24299123529053</c:v>
                </c:pt>
                <c:pt idx="432">
                  <c:v>197.24299123529053</c:v>
                </c:pt>
                <c:pt idx="433">
                  <c:v>197.24299123529053</c:v>
                </c:pt>
                <c:pt idx="434">
                  <c:v>197.24299123529053</c:v>
                </c:pt>
                <c:pt idx="435">
                  <c:v>197.24299123529053</c:v>
                </c:pt>
                <c:pt idx="436">
                  <c:v>197.24299123529053</c:v>
                </c:pt>
                <c:pt idx="437">
                  <c:v>197.24299123529053</c:v>
                </c:pt>
                <c:pt idx="438">
                  <c:v>197.24299123529053</c:v>
                </c:pt>
                <c:pt idx="439">
                  <c:v>197.24299123529053</c:v>
                </c:pt>
                <c:pt idx="440">
                  <c:v>197.24299123529053</c:v>
                </c:pt>
                <c:pt idx="441">
                  <c:v>197.24299123529053</c:v>
                </c:pt>
                <c:pt idx="442">
                  <c:v>197.24299123529053</c:v>
                </c:pt>
                <c:pt idx="443">
                  <c:v>197.24299123529053</c:v>
                </c:pt>
                <c:pt idx="444">
                  <c:v>197.24299123529053</c:v>
                </c:pt>
                <c:pt idx="445">
                  <c:v>197.24299123529053</c:v>
                </c:pt>
                <c:pt idx="446">
                  <c:v>197.24299123529053</c:v>
                </c:pt>
                <c:pt idx="447">
                  <c:v>197.24299123529053</c:v>
                </c:pt>
                <c:pt idx="448">
                  <c:v>197.24299123529053</c:v>
                </c:pt>
                <c:pt idx="449">
                  <c:v>197.24299123529053</c:v>
                </c:pt>
                <c:pt idx="450">
                  <c:v>197.24299123529053</c:v>
                </c:pt>
                <c:pt idx="451">
                  <c:v>197.24299123529053</c:v>
                </c:pt>
                <c:pt idx="452">
                  <c:v>197.24299123529053</c:v>
                </c:pt>
                <c:pt idx="453">
                  <c:v>197.24299123529053</c:v>
                </c:pt>
                <c:pt idx="454">
                  <c:v>197.24299123529053</c:v>
                </c:pt>
                <c:pt idx="455">
                  <c:v>197.24299123529053</c:v>
                </c:pt>
                <c:pt idx="456">
                  <c:v>197.24299123529053</c:v>
                </c:pt>
                <c:pt idx="457">
                  <c:v>197.24299123529053</c:v>
                </c:pt>
                <c:pt idx="458">
                  <c:v>226.08003354035151</c:v>
                </c:pt>
                <c:pt idx="459">
                  <c:v>226.08003354035151</c:v>
                </c:pt>
                <c:pt idx="460">
                  <c:v>226.08003354035151</c:v>
                </c:pt>
                <c:pt idx="461">
                  <c:v>226.08003354035151</c:v>
                </c:pt>
                <c:pt idx="462">
                  <c:v>226.08003354035151</c:v>
                </c:pt>
                <c:pt idx="463">
                  <c:v>226.08003354035151</c:v>
                </c:pt>
                <c:pt idx="464">
                  <c:v>226.08003354035151</c:v>
                </c:pt>
                <c:pt idx="465">
                  <c:v>226.08003354035151</c:v>
                </c:pt>
                <c:pt idx="466">
                  <c:v>226.08003354035151</c:v>
                </c:pt>
                <c:pt idx="467">
                  <c:v>226.08003354035151</c:v>
                </c:pt>
                <c:pt idx="468">
                  <c:v>226.08003354035151</c:v>
                </c:pt>
                <c:pt idx="469">
                  <c:v>226.08003354035151</c:v>
                </c:pt>
                <c:pt idx="470">
                  <c:v>226.08003354035151</c:v>
                </c:pt>
                <c:pt idx="471">
                  <c:v>226.08003354035151</c:v>
                </c:pt>
                <c:pt idx="472">
                  <c:v>226.08003354035151</c:v>
                </c:pt>
                <c:pt idx="473">
                  <c:v>226.08003354035151</c:v>
                </c:pt>
                <c:pt idx="474">
                  <c:v>226.08003354035151</c:v>
                </c:pt>
                <c:pt idx="475">
                  <c:v>226.08003354035151</c:v>
                </c:pt>
                <c:pt idx="476">
                  <c:v>226.08003354035151</c:v>
                </c:pt>
                <c:pt idx="477">
                  <c:v>226.08003354035151</c:v>
                </c:pt>
                <c:pt idx="478">
                  <c:v>226.08003354035151</c:v>
                </c:pt>
                <c:pt idx="479">
                  <c:v>226.08003354035151</c:v>
                </c:pt>
                <c:pt idx="480">
                  <c:v>226.08003354035151</c:v>
                </c:pt>
                <c:pt idx="481">
                  <c:v>226.08003354035151</c:v>
                </c:pt>
                <c:pt idx="482">
                  <c:v>226.08003354035151</c:v>
                </c:pt>
                <c:pt idx="483">
                  <c:v>226.08003354035151</c:v>
                </c:pt>
                <c:pt idx="484">
                  <c:v>226.08003354035151</c:v>
                </c:pt>
                <c:pt idx="485">
                  <c:v>226.08003354035151</c:v>
                </c:pt>
                <c:pt idx="486">
                  <c:v>226.08003354035151</c:v>
                </c:pt>
                <c:pt idx="487">
                  <c:v>226.08003354035151</c:v>
                </c:pt>
                <c:pt idx="488">
                  <c:v>226.08003354035151</c:v>
                </c:pt>
                <c:pt idx="489">
                  <c:v>229.76238345951293</c:v>
                </c:pt>
                <c:pt idx="490">
                  <c:v>229.76238345951293</c:v>
                </c:pt>
                <c:pt idx="491">
                  <c:v>229.76238345951293</c:v>
                </c:pt>
                <c:pt idx="492">
                  <c:v>229.76238345951293</c:v>
                </c:pt>
                <c:pt idx="493">
                  <c:v>229.76238345951293</c:v>
                </c:pt>
                <c:pt idx="494">
                  <c:v>229.76238345951293</c:v>
                </c:pt>
                <c:pt idx="495">
                  <c:v>229.76238345951293</c:v>
                </c:pt>
                <c:pt idx="496">
                  <c:v>229.76238345951293</c:v>
                </c:pt>
                <c:pt idx="497">
                  <c:v>229.76238345951293</c:v>
                </c:pt>
                <c:pt idx="498">
                  <c:v>229.76238345951293</c:v>
                </c:pt>
                <c:pt idx="499">
                  <c:v>229.76238345951293</c:v>
                </c:pt>
                <c:pt idx="500">
                  <c:v>229.76238345951293</c:v>
                </c:pt>
                <c:pt idx="501">
                  <c:v>229.76238345951293</c:v>
                </c:pt>
                <c:pt idx="502">
                  <c:v>229.76238345951293</c:v>
                </c:pt>
                <c:pt idx="503">
                  <c:v>229.76238345951293</c:v>
                </c:pt>
                <c:pt idx="504">
                  <c:v>229.76238345951293</c:v>
                </c:pt>
                <c:pt idx="505">
                  <c:v>229.76238345951293</c:v>
                </c:pt>
                <c:pt idx="506">
                  <c:v>229.76238345951293</c:v>
                </c:pt>
                <c:pt idx="507">
                  <c:v>229.76238345951293</c:v>
                </c:pt>
                <c:pt idx="508">
                  <c:v>229.76238345951293</c:v>
                </c:pt>
                <c:pt idx="509">
                  <c:v>229.76238345951293</c:v>
                </c:pt>
                <c:pt idx="510">
                  <c:v>229.76238345951293</c:v>
                </c:pt>
                <c:pt idx="511">
                  <c:v>229.76238345951293</c:v>
                </c:pt>
                <c:pt idx="512">
                  <c:v>229.76238345951293</c:v>
                </c:pt>
                <c:pt idx="513">
                  <c:v>229.76238345951293</c:v>
                </c:pt>
                <c:pt idx="514">
                  <c:v>229.76238345951293</c:v>
                </c:pt>
                <c:pt idx="515">
                  <c:v>229.76238345951293</c:v>
                </c:pt>
                <c:pt idx="516">
                  <c:v>229.76238345951293</c:v>
                </c:pt>
                <c:pt idx="517">
                  <c:v>229.90491048357865</c:v>
                </c:pt>
                <c:pt idx="518">
                  <c:v>229.90491048357865</c:v>
                </c:pt>
                <c:pt idx="519">
                  <c:v>229.90491048357865</c:v>
                </c:pt>
                <c:pt idx="520">
                  <c:v>229.90491048357865</c:v>
                </c:pt>
                <c:pt idx="521">
                  <c:v>229.90491048357865</c:v>
                </c:pt>
                <c:pt idx="522">
                  <c:v>229.90491048357865</c:v>
                </c:pt>
                <c:pt idx="523">
                  <c:v>229.90491048357865</c:v>
                </c:pt>
                <c:pt idx="524">
                  <c:v>229.90491048357865</c:v>
                </c:pt>
                <c:pt idx="525">
                  <c:v>229.90491048357865</c:v>
                </c:pt>
                <c:pt idx="526">
                  <c:v>229.90491048357865</c:v>
                </c:pt>
                <c:pt idx="527">
                  <c:v>229.90491048357865</c:v>
                </c:pt>
                <c:pt idx="528">
                  <c:v>229.90491048357865</c:v>
                </c:pt>
                <c:pt idx="529">
                  <c:v>229.90491048357865</c:v>
                </c:pt>
                <c:pt idx="530">
                  <c:v>229.90491048357865</c:v>
                </c:pt>
                <c:pt idx="531">
                  <c:v>229.90491048357865</c:v>
                </c:pt>
                <c:pt idx="532">
                  <c:v>229.90491048357865</c:v>
                </c:pt>
                <c:pt idx="533">
                  <c:v>229.90491048357865</c:v>
                </c:pt>
                <c:pt idx="534">
                  <c:v>229.90491048357865</c:v>
                </c:pt>
                <c:pt idx="535">
                  <c:v>229.90491048357865</c:v>
                </c:pt>
                <c:pt idx="536">
                  <c:v>229.90491048357865</c:v>
                </c:pt>
                <c:pt idx="537">
                  <c:v>229.90491048357865</c:v>
                </c:pt>
                <c:pt idx="538">
                  <c:v>229.90491048357865</c:v>
                </c:pt>
                <c:pt idx="539">
                  <c:v>229.90491048357865</c:v>
                </c:pt>
                <c:pt idx="540">
                  <c:v>229.90491048357865</c:v>
                </c:pt>
                <c:pt idx="541">
                  <c:v>229.90491048357865</c:v>
                </c:pt>
                <c:pt idx="542">
                  <c:v>229.90491048357865</c:v>
                </c:pt>
                <c:pt idx="543">
                  <c:v>229.90491048357865</c:v>
                </c:pt>
                <c:pt idx="544">
                  <c:v>229.90491048357865</c:v>
                </c:pt>
                <c:pt idx="545">
                  <c:v>229.90491048357865</c:v>
                </c:pt>
                <c:pt idx="546">
                  <c:v>229.90491048357865</c:v>
                </c:pt>
                <c:pt idx="547">
                  <c:v>229.90491048357865</c:v>
                </c:pt>
                <c:pt idx="548">
                  <c:v>182.61758427317855</c:v>
                </c:pt>
                <c:pt idx="549">
                  <c:v>182.61758427317855</c:v>
                </c:pt>
                <c:pt idx="550">
                  <c:v>182.61758427317855</c:v>
                </c:pt>
                <c:pt idx="551">
                  <c:v>182.61758427317855</c:v>
                </c:pt>
                <c:pt idx="552">
                  <c:v>182.61758427317855</c:v>
                </c:pt>
                <c:pt idx="553">
                  <c:v>182.61758427317855</c:v>
                </c:pt>
                <c:pt idx="554">
                  <c:v>182.61758427317855</c:v>
                </c:pt>
                <c:pt idx="555">
                  <c:v>182.61758427317855</c:v>
                </c:pt>
                <c:pt idx="556">
                  <c:v>182.61758427317855</c:v>
                </c:pt>
                <c:pt idx="557">
                  <c:v>182.61758427317855</c:v>
                </c:pt>
                <c:pt idx="558">
                  <c:v>182.61758427317855</c:v>
                </c:pt>
                <c:pt idx="559">
                  <c:v>182.61758427317855</c:v>
                </c:pt>
                <c:pt idx="560">
                  <c:v>182.61758427317855</c:v>
                </c:pt>
                <c:pt idx="561">
                  <c:v>182.61758427317855</c:v>
                </c:pt>
                <c:pt idx="562">
                  <c:v>182.61758427317855</c:v>
                </c:pt>
                <c:pt idx="563">
                  <c:v>182.61758427317855</c:v>
                </c:pt>
                <c:pt idx="564">
                  <c:v>182.61758427317855</c:v>
                </c:pt>
                <c:pt idx="565">
                  <c:v>182.61758427317855</c:v>
                </c:pt>
                <c:pt idx="566">
                  <c:v>182.61758427317855</c:v>
                </c:pt>
                <c:pt idx="567">
                  <c:v>182.61758427317855</c:v>
                </c:pt>
                <c:pt idx="568">
                  <c:v>182.61758427317855</c:v>
                </c:pt>
                <c:pt idx="569">
                  <c:v>182.61758427317855</c:v>
                </c:pt>
                <c:pt idx="570">
                  <c:v>182.61758427317855</c:v>
                </c:pt>
                <c:pt idx="571">
                  <c:v>182.61758427317855</c:v>
                </c:pt>
                <c:pt idx="572">
                  <c:v>182.61758427317855</c:v>
                </c:pt>
                <c:pt idx="573">
                  <c:v>182.61758427317855</c:v>
                </c:pt>
                <c:pt idx="574">
                  <c:v>182.61758427317855</c:v>
                </c:pt>
                <c:pt idx="575">
                  <c:v>182.61758427317855</c:v>
                </c:pt>
                <c:pt idx="576">
                  <c:v>182.61758427317855</c:v>
                </c:pt>
                <c:pt idx="577">
                  <c:v>182.61758427317855</c:v>
                </c:pt>
                <c:pt idx="578">
                  <c:v>169.07138542548611</c:v>
                </c:pt>
                <c:pt idx="579">
                  <c:v>169.07138542548611</c:v>
                </c:pt>
                <c:pt idx="580">
                  <c:v>169.07138542548611</c:v>
                </c:pt>
                <c:pt idx="581">
                  <c:v>169.07138542548611</c:v>
                </c:pt>
                <c:pt idx="582">
                  <c:v>169.07138542548611</c:v>
                </c:pt>
                <c:pt idx="583">
                  <c:v>169.07138542548611</c:v>
                </c:pt>
                <c:pt idx="584">
                  <c:v>169.07138542548611</c:v>
                </c:pt>
                <c:pt idx="585">
                  <c:v>169.07138542548611</c:v>
                </c:pt>
                <c:pt idx="586">
                  <c:v>169.07138542548611</c:v>
                </c:pt>
                <c:pt idx="587">
                  <c:v>169.07138542548611</c:v>
                </c:pt>
                <c:pt idx="588">
                  <c:v>169.07138542548611</c:v>
                </c:pt>
                <c:pt idx="589">
                  <c:v>169.07138542548611</c:v>
                </c:pt>
                <c:pt idx="590">
                  <c:v>169.07138542548611</c:v>
                </c:pt>
                <c:pt idx="591">
                  <c:v>169.07138542548611</c:v>
                </c:pt>
                <c:pt idx="592">
                  <c:v>169.07138542548611</c:v>
                </c:pt>
                <c:pt idx="593">
                  <c:v>169.07138542548611</c:v>
                </c:pt>
                <c:pt idx="594">
                  <c:v>169.07138542548611</c:v>
                </c:pt>
                <c:pt idx="595">
                  <c:v>169.07138542548611</c:v>
                </c:pt>
                <c:pt idx="596">
                  <c:v>169.07138542548611</c:v>
                </c:pt>
                <c:pt idx="597">
                  <c:v>169.07138542548611</c:v>
                </c:pt>
                <c:pt idx="598">
                  <c:v>169.07138542548611</c:v>
                </c:pt>
                <c:pt idx="599">
                  <c:v>169.07138542548611</c:v>
                </c:pt>
                <c:pt idx="600">
                  <c:v>169.07138542548611</c:v>
                </c:pt>
                <c:pt idx="601">
                  <c:v>169.07138542548611</c:v>
                </c:pt>
                <c:pt idx="602">
                  <c:v>169.07138542548611</c:v>
                </c:pt>
                <c:pt idx="603">
                  <c:v>169.07138542548611</c:v>
                </c:pt>
                <c:pt idx="604">
                  <c:v>169.07138542548611</c:v>
                </c:pt>
                <c:pt idx="605">
                  <c:v>169.07138542548611</c:v>
                </c:pt>
                <c:pt idx="606">
                  <c:v>169.07138542548611</c:v>
                </c:pt>
                <c:pt idx="607">
                  <c:v>169.07138542548611</c:v>
                </c:pt>
                <c:pt idx="608">
                  <c:v>169.07138542548611</c:v>
                </c:pt>
                <c:pt idx="609">
                  <c:v>134.04287218924014</c:v>
                </c:pt>
                <c:pt idx="610">
                  <c:v>134.04287218924014</c:v>
                </c:pt>
                <c:pt idx="611">
                  <c:v>134.04287218924014</c:v>
                </c:pt>
                <c:pt idx="612">
                  <c:v>134.04287218924014</c:v>
                </c:pt>
                <c:pt idx="613">
                  <c:v>134.04287218924014</c:v>
                </c:pt>
                <c:pt idx="614">
                  <c:v>134.04287218924014</c:v>
                </c:pt>
                <c:pt idx="615">
                  <c:v>134.04287218924014</c:v>
                </c:pt>
                <c:pt idx="616">
                  <c:v>134.04287218924014</c:v>
                </c:pt>
                <c:pt idx="617">
                  <c:v>134.04287218924014</c:v>
                </c:pt>
                <c:pt idx="618">
                  <c:v>134.04287218924014</c:v>
                </c:pt>
                <c:pt idx="619">
                  <c:v>134.04287218924014</c:v>
                </c:pt>
                <c:pt idx="620">
                  <c:v>134.04287218924014</c:v>
                </c:pt>
                <c:pt idx="621">
                  <c:v>134.04287218924014</c:v>
                </c:pt>
                <c:pt idx="622">
                  <c:v>134.04287218924014</c:v>
                </c:pt>
                <c:pt idx="623">
                  <c:v>134.04287218924014</c:v>
                </c:pt>
                <c:pt idx="624">
                  <c:v>134.04287218924014</c:v>
                </c:pt>
                <c:pt idx="625">
                  <c:v>134.04287218924014</c:v>
                </c:pt>
                <c:pt idx="626">
                  <c:v>134.04287218924014</c:v>
                </c:pt>
                <c:pt idx="627">
                  <c:v>134.04287218924014</c:v>
                </c:pt>
                <c:pt idx="628">
                  <c:v>134.04287218924014</c:v>
                </c:pt>
                <c:pt idx="629">
                  <c:v>134.04287218924014</c:v>
                </c:pt>
                <c:pt idx="630">
                  <c:v>134.04287218924014</c:v>
                </c:pt>
                <c:pt idx="631">
                  <c:v>134.04287218924014</c:v>
                </c:pt>
                <c:pt idx="632">
                  <c:v>134.04287218924014</c:v>
                </c:pt>
                <c:pt idx="633">
                  <c:v>134.04287218924014</c:v>
                </c:pt>
                <c:pt idx="634">
                  <c:v>134.04287218924014</c:v>
                </c:pt>
                <c:pt idx="635">
                  <c:v>134.04287218924014</c:v>
                </c:pt>
                <c:pt idx="636">
                  <c:v>134.04287218924014</c:v>
                </c:pt>
                <c:pt idx="637">
                  <c:v>134.04287218924014</c:v>
                </c:pt>
                <c:pt idx="638">
                  <c:v>134.04287218924014</c:v>
                </c:pt>
                <c:pt idx="639">
                  <c:v>141.92800784696908</c:v>
                </c:pt>
                <c:pt idx="640">
                  <c:v>141.92800784696908</c:v>
                </c:pt>
                <c:pt idx="641">
                  <c:v>141.92800784696908</c:v>
                </c:pt>
                <c:pt idx="642">
                  <c:v>141.92800784696908</c:v>
                </c:pt>
                <c:pt idx="643">
                  <c:v>141.92800784696908</c:v>
                </c:pt>
                <c:pt idx="644">
                  <c:v>141.92800784696908</c:v>
                </c:pt>
                <c:pt idx="645">
                  <c:v>141.92800784696908</c:v>
                </c:pt>
                <c:pt idx="646">
                  <c:v>141.92800784696908</c:v>
                </c:pt>
                <c:pt idx="647">
                  <c:v>141.92800784696908</c:v>
                </c:pt>
                <c:pt idx="648">
                  <c:v>141.92800784696908</c:v>
                </c:pt>
                <c:pt idx="649">
                  <c:v>141.92800784696908</c:v>
                </c:pt>
                <c:pt idx="650">
                  <c:v>141.92800784696908</c:v>
                </c:pt>
                <c:pt idx="651">
                  <c:v>141.92800784696908</c:v>
                </c:pt>
                <c:pt idx="652">
                  <c:v>141.92800784696908</c:v>
                </c:pt>
                <c:pt idx="653">
                  <c:v>141.92800784696908</c:v>
                </c:pt>
                <c:pt idx="654">
                  <c:v>141.92800784696908</c:v>
                </c:pt>
                <c:pt idx="655">
                  <c:v>141.92800784696908</c:v>
                </c:pt>
                <c:pt idx="656">
                  <c:v>141.92800784696908</c:v>
                </c:pt>
                <c:pt idx="657">
                  <c:v>141.92800784696908</c:v>
                </c:pt>
                <c:pt idx="658">
                  <c:v>141.92800784696908</c:v>
                </c:pt>
                <c:pt idx="659">
                  <c:v>141.92800784696908</c:v>
                </c:pt>
                <c:pt idx="660">
                  <c:v>141.92800784696908</c:v>
                </c:pt>
                <c:pt idx="661">
                  <c:v>141.92800784696908</c:v>
                </c:pt>
                <c:pt idx="662">
                  <c:v>141.92800784696908</c:v>
                </c:pt>
                <c:pt idx="663">
                  <c:v>141.92800784696908</c:v>
                </c:pt>
                <c:pt idx="664">
                  <c:v>141.92800784696908</c:v>
                </c:pt>
                <c:pt idx="665">
                  <c:v>141.92800784696908</c:v>
                </c:pt>
                <c:pt idx="666">
                  <c:v>141.92800784696908</c:v>
                </c:pt>
                <c:pt idx="667">
                  <c:v>141.92800784696908</c:v>
                </c:pt>
                <c:pt idx="668">
                  <c:v>141.92800784696908</c:v>
                </c:pt>
                <c:pt idx="669">
                  <c:v>141.92800784696908</c:v>
                </c:pt>
                <c:pt idx="670">
                  <c:v>138.43000252044646</c:v>
                </c:pt>
                <c:pt idx="671">
                  <c:v>138.43000252044646</c:v>
                </c:pt>
                <c:pt idx="672">
                  <c:v>138.43000252044646</c:v>
                </c:pt>
                <c:pt idx="673">
                  <c:v>138.43000252044646</c:v>
                </c:pt>
                <c:pt idx="674">
                  <c:v>138.43000252044646</c:v>
                </c:pt>
                <c:pt idx="675">
                  <c:v>138.43000252044646</c:v>
                </c:pt>
                <c:pt idx="676">
                  <c:v>138.43000252044646</c:v>
                </c:pt>
                <c:pt idx="677">
                  <c:v>138.43000252044646</c:v>
                </c:pt>
                <c:pt idx="678">
                  <c:v>138.43000252044646</c:v>
                </c:pt>
                <c:pt idx="679">
                  <c:v>138.43000252044646</c:v>
                </c:pt>
                <c:pt idx="680">
                  <c:v>138.43000252044646</c:v>
                </c:pt>
                <c:pt idx="681">
                  <c:v>138.43000252044646</c:v>
                </c:pt>
                <c:pt idx="682">
                  <c:v>138.43000252044646</c:v>
                </c:pt>
                <c:pt idx="683">
                  <c:v>138.43000252044646</c:v>
                </c:pt>
                <c:pt idx="684">
                  <c:v>138.43000252044646</c:v>
                </c:pt>
                <c:pt idx="685">
                  <c:v>138.43000252044646</c:v>
                </c:pt>
                <c:pt idx="686">
                  <c:v>138.43000252044646</c:v>
                </c:pt>
                <c:pt idx="687">
                  <c:v>138.43000252044646</c:v>
                </c:pt>
                <c:pt idx="688">
                  <c:v>138.43000252044646</c:v>
                </c:pt>
                <c:pt idx="689">
                  <c:v>138.43000252044646</c:v>
                </c:pt>
                <c:pt idx="690">
                  <c:v>138.43000252044646</c:v>
                </c:pt>
                <c:pt idx="691">
                  <c:v>138.43000252044646</c:v>
                </c:pt>
                <c:pt idx="692">
                  <c:v>138.43000252044646</c:v>
                </c:pt>
                <c:pt idx="693">
                  <c:v>138.43000252044646</c:v>
                </c:pt>
                <c:pt idx="694">
                  <c:v>138.43000252044646</c:v>
                </c:pt>
                <c:pt idx="695">
                  <c:v>138.43000252044646</c:v>
                </c:pt>
                <c:pt idx="696">
                  <c:v>138.43000252044646</c:v>
                </c:pt>
                <c:pt idx="697">
                  <c:v>138.43000252044646</c:v>
                </c:pt>
                <c:pt idx="698">
                  <c:v>138.43000252044646</c:v>
                </c:pt>
                <c:pt idx="699">
                  <c:v>138.43000252044646</c:v>
                </c:pt>
                <c:pt idx="700">
                  <c:v>138.43000252044646</c:v>
                </c:pt>
                <c:pt idx="701">
                  <c:v>136.60125137702863</c:v>
                </c:pt>
                <c:pt idx="702">
                  <c:v>136.60125137702863</c:v>
                </c:pt>
                <c:pt idx="703">
                  <c:v>136.60125137702863</c:v>
                </c:pt>
                <c:pt idx="704">
                  <c:v>136.60125137702863</c:v>
                </c:pt>
                <c:pt idx="705">
                  <c:v>136.60125137702863</c:v>
                </c:pt>
                <c:pt idx="706">
                  <c:v>136.60125137702863</c:v>
                </c:pt>
                <c:pt idx="707">
                  <c:v>136.60125137702863</c:v>
                </c:pt>
                <c:pt idx="708">
                  <c:v>136.60125137702863</c:v>
                </c:pt>
                <c:pt idx="709">
                  <c:v>136.60125137702863</c:v>
                </c:pt>
                <c:pt idx="710">
                  <c:v>136.60125137702863</c:v>
                </c:pt>
                <c:pt idx="711">
                  <c:v>136.60125137702863</c:v>
                </c:pt>
                <c:pt idx="712">
                  <c:v>136.60125137702863</c:v>
                </c:pt>
                <c:pt idx="713">
                  <c:v>136.60125137702863</c:v>
                </c:pt>
                <c:pt idx="714">
                  <c:v>136.60125137702863</c:v>
                </c:pt>
                <c:pt idx="715">
                  <c:v>136.60125137702863</c:v>
                </c:pt>
                <c:pt idx="716">
                  <c:v>136.60125137702863</c:v>
                </c:pt>
                <c:pt idx="717">
                  <c:v>136.60125137702863</c:v>
                </c:pt>
                <c:pt idx="718">
                  <c:v>136.60125137702863</c:v>
                </c:pt>
                <c:pt idx="719">
                  <c:v>136.60125137702863</c:v>
                </c:pt>
                <c:pt idx="720">
                  <c:v>136.60125137702863</c:v>
                </c:pt>
                <c:pt idx="721">
                  <c:v>136.60125137702863</c:v>
                </c:pt>
                <c:pt idx="722">
                  <c:v>136.60125137702863</c:v>
                </c:pt>
                <c:pt idx="723">
                  <c:v>136.60125137702863</c:v>
                </c:pt>
                <c:pt idx="724">
                  <c:v>136.60125137702863</c:v>
                </c:pt>
                <c:pt idx="725">
                  <c:v>136.60125137702863</c:v>
                </c:pt>
                <c:pt idx="726">
                  <c:v>136.60125137702863</c:v>
                </c:pt>
                <c:pt idx="727">
                  <c:v>136.60125137702863</c:v>
                </c:pt>
                <c:pt idx="728">
                  <c:v>136.60125137702863</c:v>
                </c:pt>
                <c:pt idx="729">
                  <c:v>136.60125137702863</c:v>
                </c:pt>
                <c:pt idx="730">
                  <c:v>136.60125137702863</c:v>
                </c:pt>
                <c:pt idx="731">
                  <c:v>168.7527184226733</c:v>
                </c:pt>
                <c:pt idx="732">
                  <c:v>168.7527184226733</c:v>
                </c:pt>
                <c:pt idx="733">
                  <c:v>168.7527184226733</c:v>
                </c:pt>
                <c:pt idx="734">
                  <c:v>168.7527184226733</c:v>
                </c:pt>
                <c:pt idx="735">
                  <c:v>168.7527184226733</c:v>
                </c:pt>
                <c:pt idx="736">
                  <c:v>168.7527184226733</c:v>
                </c:pt>
                <c:pt idx="737">
                  <c:v>168.7527184226733</c:v>
                </c:pt>
                <c:pt idx="738">
                  <c:v>168.7527184226733</c:v>
                </c:pt>
                <c:pt idx="739">
                  <c:v>168.7527184226733</c:v>
                </c:pt>
                <c:pt idx="740">
                  <c:v>168.7527184226733</c:v>
                </c:pt>
                <c:pt idx="741">
                  <c:v>168.7527184226733</c:v>
                </c:pt>
                <c:pt idx="742">
                  <c:v>168.7527184226733</c:v>
                </c:pt>
                <c:pt idx="743">
                  <c:v>168.7527184226733</c:v>
                </c:pt>
                <c:pt idx="744">
                  <c:v>168.7527184226733</c:v>
                </c:pt>
                <c:pt idx="745">
                  <c:v>168.7527184226733</c:v>
                </c:pt>
                <c:pt idx="746">
                  <c:v>168.7527184226733</c:v>
                </c:pt>
                <c:pt idx="747">
                  <c:v>168.7527184226733</c:v>
                </c:pt>
                <c:pt idx="748">
                  <c:v>168.7527184226733</c:v>
                </c:pt>
                <c:pt idx="749">
                  <c:v>168.7527184226733</c:v>
                </c:pt>
                <c:pt idx="750">
                  <c:v>168.7527184226733</c:v>
                </c:pt>
                <c:pt idx="751">
                  <c:v>168.7527184226733</c:v>
                </c:pt>
                <c:pt idx="752">
                  <c:v>168.7527184226733</c:v>
                </c:pt>
                <c:pt idx="753">
                  <c:v>168.7527184226733</c:v>
                </c:pt>
                <c:pt idx="754">
                  <c:v>168.7527184226733</c:v>
                </c:pt>
                <c:pt idx="755">
                  <c:v>168.7527184226733</c:v>
                </c:pt>
                <c:pt idx="756">
                  <c:v>168.7527184226733</c:v>
                </c:pt>
                <c:pt idx="757">
                  <c:v>168.7527184226733</c:v>
                </c:pt>
                <c:pt idx="758">
                  <c:v>168.7527184226733</c:v>
                </c:pt>
                <c:pt idx="759">
                  <c:v>168.7527184226733</c:v>
                </c:pt>
                <c:pt idx="760">
                  <c:v>168.7527184226733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4'!$E$2:$E$762</c:f>
              <c:numCache>
                <c:formatCode>#,##0</c:formatCode>
                <c:ptCount val="761"/>
                <c:pt idx="0">
                  <c:v>65.036508999999995</c:v>
                </c:pt>
                <c:pt idx="1">
                  <c:v>119.873908</c:v>
                </c:pt>
                <c:pt idx="2">
                  <c:v>119.526482</c:v>
                </c:pt>
                <c:pt idx="3">
                  <c:v>100.721293</c:v>
                </c:pt>
                <c:pt idx="4">
                  <c:v>48.011491999999997</c:v>
                </c:pt>
                <c:pt idx="5">
                  <c:v>62.862432999999996</c:v>
                </c:pt>
                <c:pt idx="6">
                  <c:v>73.717717000000007</c:v>
                </c:pt>
                <c:pt idx="7">
                  <c:v>58.464908000000001</c:v>
                </c:pt>
                <c:pt idx="8">
                  <c:v>53.210732</c:v>
                </c:pt>
                <c:pt idx="9">
                  <c:v>39.624146000000003</c:v>
                </c:pt>
                <c:pt idx="10">
                  <c:v>44.576447999999999</c:v>
                </c:pt>
                <c:pt idx="11">
                  <c:v>85.145594000000017</c:v>
                </c:pt>
                <c:pt idx="12">
                  <c:v>153.65643704499149</c:v>
                </c:pt>
                <c:pt idx="13">
                  <c:v>77.801785999999993</c:v>
                </c:pt>
                <c:pt idx="14">
                  <c:v>55.921984999999999</c:v>
                </c:pt>
                <c:pt idx="15">
                  <c:v>100.69317699999999</c:v>
                </c:pt>
                <c:pt idx="16">
                  <c:v>153.65643704499149</c:v>
                </c:pt>
                <c:pt idx="17">
                  <c:v>153.65643704499149</c:v>
                </c:pt>
                <c:pt idx="18">
                  <c:v>153.65643704499149</c:v>
                </c:pt>
                <c:pt idx="19">
                  <c:v>153.65643704499149</c:v>
                </c:pt>
                <c:pt idx="20">
                  <c:v>153.65643704499149</c:v>
                </c:pt>
                <c:pt idx="21">
                  <c:v>153.65643704499149</c:v>
                </c:pt>
                <c:pt idx="22">
                  <c:v>148.388329</c:v>
                </c:pt>
                <c:pt idx="23">
                  <c:v>153.65643704499149</c:v>
                </c:pt>
                <c:pt idx="24">
                  <c:v>153.65643704499149</c:v>
                </c:pt>
                <c:pt idx="25">
                  <c:v>153.65643704499149</c:v>
                </c:pt>
                <c:pt idx="26">
                  <c:v>153.65643704499149</c:v>
                </c:pt>
                <c:pt idx="27">
                  <c:v>153.65643704499149</c:v>
                </c:pt>
                <c:pt idx="28">
                  <c:v>153.65643704499149</c:v>
                </c:pt>
                <c:pt idx="29">
                  <c:v>153.65643704499149</c:v>
                </c:pt>
                <c:pt idx="30">
                  <c:v>153.65643704499149</c:v>
                </c:pt>
                <c:pt idx="31">
                  <c:v>207.56972273551534</c:v>
                </c:pt>
                <c:pt idx="32">
                  <c:v>207.56972273551534</c:v>
                </c:pt>
                <c:pt idx="33">
                  <c:v>207.56972273551534</c:v>
                </c:pt>
                <c:pt idx="34">
                  <c:v>207.56972273551534</c:v>
                </c:pt>
                <c:pt idx="35">
                  <c:v>207.56972273551534</c:v>
                </c:pt>
                <c:pt idx="36">
                  <c:v>207.56972273551534</c:v>
                </c:pt>
                <c:pt idx="37">
                  <c:v>167.05639300000001</c:v>
                </c:pt>
                <c:pt idx="38">
                  <c:v>181.78700000000001</c:v>
                </c:pt>
                <c:pt idx="39">
                  <c:v>207.56972273551534</c:v>
                </c:pt>
                <c:pt idx="40">
                  <c:v>207.56972273551534</c:v>
                </c:pt>
                <c:pt idx="41">
                  <c:v>207.56972273551534</c:v>
                </c:pt>
                <c:pt idx="42">
                  <c:v>207.56972273551534</c:v>
                </c:pt>
                <c:pt idx="43">
                  <c:v>207.56972273551534</c:v>
                </c:pt>
                <c:pt idx="44">
                  <c:v>195.99808100000001</c:v>
                </c:pt>
                <c:pt idx="45">
                  <c:v>103.760564</c:v>
                </c:pt>
                <c:pt idx="46">
                  <c:v>164.64532800000001</c:v>
                </c:pt>
                <c:pt idx="47">
                  <c:v>106.642061</c:v>
                </c:pt>
                <c:pt idx="48">
                  <c:v>92.486569000000003</c:v>
                </c:pt>
                <c:pt idx="49">
                  <c:v>33.756368000000002</c:v>
                </c:pt>
                <c:pt idx="50">
                  <c:v>127.631987</c:v>
                </c:pt>
                <c:pt idx="51">
                  <c:v>207.56972273551534</c:v>
                </c:pt>
                <c:pt idx="52">
                  <c:v>207.56972273551534</c:v>
                </c:pt>
                <c:pt idx="53">
                  <c:v>207.56972273551534</c:v>
                </c:pt>
                <c:pt idx="54">
                  <c:v>207.56972273551534</c:v>
                </c:pt>
                <c:pt idx="55">
                  <c:v>171.300014</c:v>
                </c:pt>
                <c:pt idx="56">
                  <c:v>30.775072999999999</c:v>
                </c:pt>
                <c:pt idx="57">
                  <c:v>201.966161</c:v>
                </c:pt>
                <c:pt idx="58">
                  <c:v>207.56972273551534</c:v>
                </c:pt>
                <c:pt idx="59">
                  <c:v>207.56972273551534</c:v>
                </c:pt>
                <c:pt idx="60">
                  <c:v>207.56972273551534</c:v>
                </c:pt>
                <c:pt idx="61">
                  <c:v>195.62485934287386</c:v>
                </c:pt>
                <c:pt idx="62">
                  <c:v>195.62485934287386</c:v>
                </c:pt>
                <c:pt idx="63">
                  <c:v>179.16148200000001</c:v>
                </c:pt>
                <c:pt idx="64">
                  <c:v>195.62485934287386</c:v>
                </c:pt>
                <c:pt idx="65">
                  <c:v>117.636807</c:v>
                </c:pt>
                <c:pt idx="66">
                  <c:v>86.278187000000003</c:v>
                </c:pt>
                <c:pt idx="67">
                  <c:v>195.62485934287386</c:v>
                </c:pt>
                <c:pt idx="68">
                  <c:v>195.62485934287386</c:v>
                </c:pt>
                <c:pt idx="69">
                  <c:v>195.62485934287386</c:v>
                </c:pt>
                <c:pt idx="70">
                  <c:v>195.62485934287386</c:v>
                </c:pt>
                <c:pt idx="71">
                  <c:v>195.62485934287386</c:v>
                </c:pt>
                <c:pt idx="72">
                  <c:v>195.62485934287386</c:v>
                </c:pt>
                <c:pt idx="73">
                  <c:v>195.62485934287386</c:v>
                </c:pt>
                <c:pt idx="74">
                  <c:v>195.62485934287386</c:v>
                </c:pt>
                <c:pt idx="75">
                  <c:v>195.62485934287386</c:v>
                </c:pt>
                <c:pt idx="76">
                  <c:v>117.850365</c:v>
                </c:pt>
                <c:pt idx="77">
                  <c:v>36.720750000000002</c:v>
                </c:pt>
                <c:pt idx="78">
                  <c:v>21.287457999999997</c:v>
                </c:pt>
                <c:pt idx="79">
                  <c:v>100.578644</c:v>
                </c:pt>
                <c:pt idx="80">
                  <c:v>195.62485934287386</c:v>
                </c:pt>
                <c:pt idx="81">
                  <c:v>195.62485934287386</c:v>
                </c:pt>
                <c:pt idx="82">
                  <c:v>195.62485934287386</c:v>
                </c:pt>
                <c:pt idx="83">
                  <c:v>187.89280600000001</c:v>
                </c:pt>
                <c:pt idx="84">
                  <c:v>40.785699999999999</c:v>
                </c:pt>
                <c:pt idx="85">
                  <c:v>34.930998000000002</c:v>
                </c:pt>
                <c:pt idx="86">
                  <c:v>56.949647000000006</c:v>
                </c:pt>
                <c:pt idx="87">
                  <c:v>117.74673300000001</c:v>
                </c:pt>
                <c:pt idx="88">
                  <c:v>83.808848999999995</c:v>
                </c:pt>
                <c:pt idx="89">
                  <c:v>39.407254999999999</c:v>
                </c:pt>
                <c:pt idx="90">
                  <c:v>137.48146800000001</c:v>
                </c:pt>
                <c:pt idx="91">
                  <c:v>195.62485934287386</c:v>
                </c:pt>
                <c:pt idx="92">
                  <c:v>160.07481100000001</c:v>
                </c:pt>
                <c:pt idx="93">
                  <c:v>226.69698541636285</c:v>
                </c:pt>
                <c:pt idx="94">
                  <c:v>226.69698541636285</c:v>
                </c:pt>
                <c:pt idx="95">
                  <c:v>138.26594200000002</c:v>
                </c:pt>
                <c:pt idx="96">
                  <c:v>226.69698541636285</c:v>
                </c:pt>
                <c:pt idx="97">
                  <c:v>226.69698541636285</c:v>
                </c:pt>
                <c:pt idx="98">
                  <c:v>226.69698541636285</c:v>
                </c:pt>
                <c:pt idx="99">
                  <c:v>194.88375699999997</c:v>
                </c:pt>
                <c:pt idx="100">
                  <c:v>24.609955000000003</c:v>
                </c:pt>
                <c:pt idx="101">
                  <c:v>90.572484000000003</c:v>
                </c:pt>
                <c:pt idx="102">
                  <c:v>145.88266300000001</c:v>
                </c:pt>
                <c:pt idx="103">
                  <c:v>123.754503</c:v>
                </c:pt>
                <c:pt idx="104">
                  <c:v>155.99460099999999</c:v>
                </c:pt>
                <c:pt idx="105">
                  <c:v>226.69698541636285</c:v>
                </c:pt>
                <c:pt idx="106">
                  <c:v>226.69698541636285</c:v>
                </c:pt>
                <c:pt idx="107">
                  <c:v>226.69698541636285</c:v>
                </c:pt>
                <c:pt idx="108">
                  <c:v>226.69698541636285</c:v>
                </c:pt>
                <c:pt idx="109">
                  <c:v>226.69698541636285</c:v>
                </c:pt>
                <c:pt idx="110">
                  <c:v>226.69698541636285</c:v>
                </c:pt>
                <c:pt idx="111">
                  <c:v>128.54224099999999</c:v>
                </c:pt>
                <c:pt idx="112">
                  <c:v>122.77217300000001</c:v>
                </c:pt>
                <c:pt idx="113">
                  <c:v>208.51628600000001</c:v>
                </c:pt>
                <c:pt idx="114">
                  <c:v>127.14699300000001</c:v>
                </c:pt>
                <c:pt idx="115">
                  <c:v>82.287725000000009</c:v>
                </c:pt>
                <c:pt idx="116">
                  <c:v>80.772361999999987</c:v>
                </c:pt>
                <c:pt idx="117">
                  <c:v>44.223860999999999</c:v>
                </c:pt>
                <c:pt idx="118">
                  <c:v>85.899208000000002</c:v>
                </c:pt>
                <c:pt idx="119">
                  <c:v>162.763341</c:v>
                </c:pt>
                <c:pt idx="120">
                  <c:v>137.261663</c:v>
                </c:pt>
                <c:pt idx="121">
                  <c:v>64.807305999999997</c:v>
                </c:pt>
                <c:pt idx="122">
                  <c:v>67.026424000000006</c:v>
                </c:pt>
                <c:pt idx="123">
                  <c:v>159.82235800000001</c:v>
                </c:pt>
                <c:pt idx="124">
                  <c:v>204.003638</c:v>
                </c:pt>
                <c:pt idx="125">
                  <c:v>75.195433999999992</c:v>
                </c:pt>
                <c:pt idx="126">
                  <c:v>28.476825000000002</c:v>
                </c:pt>
                <c:pt idx="127">
                  <c:v>16.489471000000002</c:v>
                </c:pt>
                <c:pt idx="128">
                  <c:v>110.40474800000001</c:v>
                </c:pt>
                <c:pt idx="129">
                  <c:v>216.84283256745775</c:v>
                </c:pt>
                <c:pt idx="130">
                  <c:v>216.84283256745775</c:v>
                </c:pt>
                <c:pt idx="131">
                  <c:v>216.84283256745775</c:v>
                </c:pt>
                <c:pt idx="132">
                  <c:v>216.84283256745775</c:v>
                </c:pt>
                <c:pt idx="133">
                  <c:v>216.84283256745775</c:v>
                </c:pt>
                <c:pt idx="134">
                  <c:v>216.84283256745775</c:v>
                </c:pt>
                <c:pt idx="135">
                  <c:v>168.62369799999999</c:v>
                </c:pt>
                <c:pt idx="136">
                  <c:v>158.582087</c:v>
                </c:pt>
                <c:pt idx="137">
                  <c:v>216.84283256745775</c:v>
                </c:pt>
                <c:pt idx="138">
                  <c:v>216.84283256745775</c:v>
                </c:pt>
                <c:pt idx="139">
                  <c:v>145.90896499999999</c:v>
                </c:pt>
                <c:pt idx="140">
                  <c:v>95.06930899999999</c:v>
                </c:pt>
                <c:pt idx="141">
                  <c:v>216.84283256745775</c:v>
                </c:pt>
                <c:pt idx="142">
                  <c:v>147.90806099999998</c:v>
                </c:pt>
                <c:pt idx="143">
                  <c:v>141.81943600000002</c:v>
                </c:pt>
                <c:pt idx="144">
                  <c:v>216.84283256745775</c:v>
                </c:pt>
                <c:pt idx="145">
                  <c:v>216.84283256745775</c:v>
                </c:pt>
                <c:pt idx="146">
                  <c:v>216.84283256745775</c:v>
                </c:pt>
                <c:pt idx="147">
                  <c:v>216.84283256745775</c:v>
                </c:pt>
                <c:pt idx="148">
                  <c:v>216.84283256745775</c:v>
                </c:pt>
                <c:pt idx="149">
                  <c:v>216.84283256745775</c:v>
                </c:pt>
                <c:pt idx="150">
                  <c:v>216.84283256745775</c:v>
                </c:pt>
                <c:pt idx="151">
                  <c:v>216.84283256745775</c:v>
                </c:pt>
                <c:pt idx="152">
                  <c:v>222.84447144022923</c:v>
                </c:pt>
                <c:pt idx="153">
                  <c:v>222.84447144022923</c:v>
                </c:pt>
                <c:pt idx="154">
                  <c:v>222.84447144022923</c:v>
                </c:pt>
                <c:pt idx="155">
                  <c:v>222.84447144022923</c:v>
                </c:pt>
                <c:pt idx="156">
                  <c:v>142.68886299999997</c:v>
                </c:pt>
                <c:pt idx="157">
                  <c:v>74.129460000000009</c:v>
                </c:pt>
                <c:pt idx="158">
                  <c:v>222.84447144022923</c:v>
                </c:pt>
                <c:pt idx="159">
                  <c:v>222.84447144022923</c:v>
                </c:pt>
                <c:pt idx="160">
                  <c:v>222.84447144022923</c:v>
                </c:pt>
                <c:pt idx="161">
                  <c:v>222.84447144022923</c:v>
                </c:pt>
                <c:pt idx="162">
                  <c:v>222.84447144022923</c:v>
                </c:pt>
                <c:pt idx="163">
                  <c:v>92.800828999999993</c:v>
                </c:pt>
                <c:pt idx="164">
                  <c:v>77.45814</c:v>
                </c:pt>
                <c:pt idx="165">
                  <c:v>156.409908</c:v>
                </c:pt>
                <c:pt idx="166">
                  <c:v>124.23169799999999</c:v>
                </c:pt>
                <c:pt idx="167">
                  <c:v>94.42524499999999</c:v>
                </c:pt>
                <c:pt idx="168">
                  <c:v>83.422263000000001</c:v>
                </c:pt>
                <c:pt idx="169">
                  <c:v>35.761544999999998</c:v>
                </c:pt>
                <c:pt idx="170">
                  <c:v>42.875498999999998</c:v>
                </c:pt>
                <c:pt idx="171">
                  <c:v>129.89415199999999</c:v>
                </c:pt>
                <c:pt idx="172">
                  <c:v>188.33634900000001</c:v>
                </c:pt>
                <c:pt idx="173">
                  <c:v>134.00907100000003</c:v>
                </c:pt>
                <c:pt idx="174">
                  <c:v>222.84447144022923</c:v>
                </c:pt>
                <c:pt idx="175">
                  <c:v>192.43456699999999</c:v>
                </c:pt>
                <c:pt idx="176">
                  <c:v>196.87216000000001</c:v>
                </c:pt>
                <c:pt idx="177">
                  <c:v>222.84447144022923</c:v>
                </c:pt>
                <c:pt idx="178">
                  <c:v>222.84447144022923</c:v>
                </c:pt>
                <c:pt idx="179">
                  <c:v>222.84447144022923</c:v>
                </c:pt>
                <c:pt idx="180">
                  <c:v>208.22990799999999</c:v>
                </c:pt>
                <c:pt idx="181">
                  <c:v>185.79709800000001</c:v>
                </c:pt>
                <c:pt idx="182">
                  <c:v>222.84447144022923</c:v>
                </c:pt>
                <c:pt idx="183">
                  <c:v>177.18158829648888</c:v>
                </c:pt>
                <c:pt idx="184">
                  <c:v>177.18158829648888</c:v>
                </c:pt>
                <c:pt idx="185">
                  <c:v>177.18158829648888</c:v>
                </c:pt>
                <c:pt idx="186">
                  <c:v>136.49796799999999</c:v>
                </c:pt>
                <c:pt idx="187">
                  <c:v>177.18158829648888</c:v>
                </c:pt>
                <c:pt idx="188">
                  <c:v>177.18158829648888</c:v>
                </c:pt>
                <c:pt idx="189">
                  <c:v>88.301966000000007</c:v>
                </c:pt>
                <c:pt idx="190">
                  <c:v>177.18158829648888</c:v>
                </c:pt>
                <c:pt idx="191">
                  <c:v>155.13695899999999</c:v>
                </c:pt>
                <c:pt idx="192">
                  <c:v>144.34957</c:v>
                </c:pt>
                <c:pt idx="193">
                  <c:v>134.635357</c:v>
                </c:pt>
                <c:pt idx="194">
                  <c:v>57.205264</c:v>
                </c:pt>
                <c:pt idx="195">
                  <c:v>42.257612999999999</c:v>
                </c:pt>
                <c:pt idx="196">
                  <c:v>46.413694999999997</c:v>
                </c:pt>
                <c:pt idx="197">
                  <c:v>141.240396</c:v>
                </c:pt>
                <c:pt idx="198">
                  <c:v>177.18158829648888</c:v>
                </c:pt>
                <c:pt idx="199">
                  <c:v>177.18158829648888</c:v>
                </c:pt>
                <c:pt idx="200">
                  <c:v>177.18158829648888</c:v>
                </c:pt>
                <c:pt idx="201">
                  <c:v>131.74317500000001</c:v>
                </c:pt>
                <c:pt idx="202">
                  <c:v>177.18158829648888</c:v>
                </c:pt>
                <c:pt idx="203">
                  <c:v>177.18158829648888</c:v>
                </c:pt>
                <c:pt idx="204">
                  <c:v>177.18158829648888</c:v>
                </c:pt>
                <c:pt idx="205">
                  <c:v>177.18158829648888</c:v>
                </c:pt>
                <c:pt idx="206">
                  <c:v>177.18158829648888</c:v>
                </c:pt>
                <c:pt idx="207">
                  <c:v>97.932551000000004</c:v>
                </c:pt>
                <c:pt idx="208">
                  <c:v>103.308204</c:v>
                </c:pt>
                <c:pt idx="209">
                  <c:v>177.18158829648888</c:v>
                </c:pt>
                <c:pt idx="210">
                  <c:v>49.425173000000001</c:v>
                </c:pt>
                <c:pt idx="211">
                  <c:v>79.722092999999987</c:v>
                </c:pt>
                <c:pt idx="212">
                  <c:v>175.17279000000002</c:v>
                </c:pt>
                <c:pt idx="213">
                  <c:v>166.6203257805451</c:v>
                </c:pt>
                <c:pt idx="214">
                  <c:v>166.6203257805451</c:v>
                </c:pt>
                <c:pt idx="215">
                  <c:v>166.6203257805451</c:v>
                </c:pt>
                <c:pt idx="216">
                  <c:v>166.6203257805451</c:v>
                </c:pt>
                <c:pt idx="217">
                  <c:v>161.45757500000002</c:v>
                </c:pt>
                <c:pt idx="218">
                  <c:v>134.828249</c:v>
                </c:pt>
                <c:pt idx="219">
                  <c:v>166.6203257805451</c:v>
                </c:pt>
                <c:pt idx="220">
                  <c:v>166.6203257805451</c:v>
                </c:pt>
                <c:pt idx="221">
                  <c:v>94.349829999999997</c:v>
                </c:pt>
                <c:pt idx="222">
                  <c:v>104.52058700000001</c:v>
                </c:pt>
                <c:pt idx="223">
                  <c:v>111.98720299999999</c:v>
                </c:pt>
                <c:pt idx="224">
                  <c:v>42.815072000000001</c:v>
                </c:pt>
                <c:pt idx="225">
                  <c:v>149.357788</c:v>
                </c:pt>
                <c:pt idx="226">
                  <c:v>166.6203257805451</c:v>
                </c:pt>
                <c:pt idx="227">
                  <c:v>161.88280700000001</c:v>
                </c:pt>
                <c:pt idx="228">
                  <c:v>151.256146</c:v>
                </c:pt>
                <c:pt idx="229">
                  <c:v>92.694320000000005</c:v>
                </c:pt>
                <c:pt idx="230">
                  <c:v>66.203377000000003</c:v>
                </c:pt>
                <c:pt idx="231">
                  <c:v>59.654917000000005</c:v>
                </c:pt>
                <c:pt idx="232">
                  <c:v>86.411618000000004</c:v>
                </c:pt>
                <c:pt idx="233">
                  <c:v>107.22406099999999</c:v>
                </c:pt>
                <c:pt idx="234">
                  <c:v>106.34951099999999</c:v>
                </c:pt>
                <c:pt idx="235">
                  <c:v>103.80237099999999</c:v>
                </c:pt>
                <c:pt idx="236">
                  <c:v>87.500405999999998</c:v>
                </c:pt>
                <c:pt idx="237">
                  <c:v>90.076833999999991</c:v>
                </c:pt>
                <c:pt idx="238">
                  <c:v>73.916628000000003</c:v>
                </c:pt>
                <c:pt idx="239">
                  <c:v>128.985792</c:v>
                </c:pt>
                <c:pt idx="240">
                  <c:v>95.618361000000007</c:v>
                </c:pt>
                <c:pt idx="241">
                  <c:v>95.682964000000013</c:v>
                </c:pt>
                <c:pt idx="242">
                  <c:v>166.6203257805451</c:v>
                </c:pt>
                <c:pt idx="243">
                  <c:v>166.6203257805451</c:v>
                </c:pt>
                <c:pt idx="244">
                  <c:v>128.84164464824599</c:v>
                </c:pt>
                <c:pt idx="245">
                  <c:v>128.84164464824599</c:v>
                </c:pt>
                <c:pt idx="246">
                  <c:v>128.84164464824599</c:v>
                </c:pt>
                <c:pt idx="247">
                  <c:v>66.230172999999994</c:v>
                </c:pt>
                <c:pt idx="248">
                  <c:v>69.742851999999999</c:v>
                </c:pt>
                <c:pt idx="249">
                  <c:v>128.84164464824599</c:v>
                </c:pt>
                <c:pt idx="250">
                  <c:v>128.84164464824599</c:v>
                </c:pt>
                <c:pt idx="251">
                  <c:v>128.84164464824599</c:v>
                </c:pt>
                <c:pt idx="252">
                  <c:v>128.84164464824599</c:v>
                </c:pt>
                <c:pt idx="253">
                  <c:v>128.84164464824599</c:v>
                </c:pt>
                <c:pt idx="254">
                  <c:v>128.84164464824599</c:v>
                </c:pt>
                <c:pt idx="255">
                  <c:v>128.84164464824599</c:v>
                </c:pt>
                <c:pt idx="256">
                  <c:v>100.22699300000001</c:v>
                </c:pt>
                <c:pt idx="257">
                  <c:v>128.84164464824599</c:v>
                </c:pt>
                <c:pt idx="258">
                  <c:v>128.84164464824599</c:v>
                </c:pt>
                <c:pt idx="259">
                  <c:v>93.94324499999999</c:v>
                </c:pt>
                <c:pt idx="260">
                  <c:v>128.84164464824599</c:v>
                </c:pt>
                <c:pt idx="261">
                  <c:v>128.84164464824599</c:v>
                </c:pt>
                <c:pt idx="262">
                  <c:v>93.237751999999986</c:v>
                </c:pt>
                <c:pt idx="263">
                  <c:v>128.84164464824599</c:v>
                </c:pt>
                <c:pt idx="264">
                  <c:v>73.637070000000008</c:v>
                </c:pt>
                <c:pt idx="265">
                  <c:v>103.73947600000001</c:v>
                </c:pt>
                <c:pt idx="266">
                  <c:v>128.84164464824599</c:v>
                </c:pt>
                <c:pt idx="267">
                  <c:v>124.193652</c:v>
                </c:pt>
                <c:pt idx="268">
                  <c:v>93.912762000000001</c:v>
                </c:pt>
                <c:pt idx="269">
                  <c:v>118.845916</c:v>
                </c:pt>
                <c:pt idx="270">
                  <c:v>128.84164464824599</c:v>
                </c:pt>
                <c:pt idx="271">
                  <c:v>128.84164464824599</c:v>
                </c:pt>
                <c:pt idx="272">
                  <c:v>128.84164464824599</c:v>
                </c:pt>
                <c:pt idx="273">
                  <c:v>56.954242000000008</c:v>
                </c:pt>
                <c:pt idx="274">
                  <c:v>138.50778519321111</c:v>
                </c:pt>
                <c:pt idx="275">
                  <c:v>138.50778519321111</c:v>
                </c:pt>
                <c:pt idx="276">
                  <c:v>138.50778519321111</c:v>
                </c:pt>
                <c:pt idx="277">
                  <c:v>138.50778519321111</c:v>
                </c:pt>
                <c:pt idx="278">
                  <c:v>138.50778519321111</c:v>
                </c:pt>
                <c:pt idx="279">
                  <c:v>138.50778519321111</c:v>
                </c:pt>
                <c:pt idx="280">
                  <c:v>92.287915999999996</c:v>
                </c:pt>
                <c:pt idx="281">
                  <c:v>129.90347700000001</c:v>
                </c:pt>
                <c:pt idx="282">
                  <c:v>135.30928999999998</c:v>
                </c:pt>
                <c:pt idx="283">
                  <c:v>68.314876999999996</c:v>
                </c:pt>
                <c:pt idx="284">
                  <c:v>124.845597</c:v>
                </c:pt>
                <c:pt idx="285">
                  <c:v>138.50778519321111</c:v>
                </c:pt>
                <c:pt idx="286">
                  <c:v>132.69847000000001</c:v>
                </c:pt>
                <c:pt idx="287">
                  <c:v>101.11832100000001</c:v>
                </c:pt>
                <c:pt idx="288">
                  <c:v>138.50778519321111</c:v>
                </c:pt>
                <c:pt idx="289">
                  <c:v>98.862234999999998</c:v>
                </c:pt>
                <c:pt idx="290">
                  <c:v>104.94921000000001</c:v>
                </c:pt>
                <c:pt idx="291">
                  <c:v>72.424884999999989</c:v>
                </c:pt>
                <c:pt idx="292">
                  <c:v>59.236810000000006</c:v>
                </c:pt>
                <c:pt idx="293">
                  <c:v>138.50778519321111</c:v>
                </c:pt>
                <c:pt idx="294">
                  <c:v>138.50778519321111</c:v>
                </c:pt>
                <c:pt idx="295">
                  <c:v>138.50778519321111</c:v>
                </c:pt>
                <c:pt idx="296">
                  <c:v>127.680735</c:v>
                </c:pt>
                <c:pt idx="297">
                  <c:v>131.10322099999999</c:v>
                </c:pt>
                <c:pt idx="298">
                  <c:v>138.50778519321111</c:v>
                </c:pt>
                <c:pt idx="299">
                  <c:v>104.143731</c:v>
                </c:pt>
                <c:pt idx="300">
                  <c:v>108.45381</c:v>
                </c:pt>
                <c:pt idx="301">
                  <c:v>138.50778519321111</c:v>
                </c:pt>
                <c:pt idx="302">
                  <c:v>127.01384200000001</c:v>
                </c:pt>
                <c:pt idx="303">
                  <c:v>138.50778519321111</c:v>
                </c:pt>
                <c:pt idx="304">
                  <c:v>75.948722000000004</c:v>
                </c:pt>
                <c:pt idx="305">
                  <c:v>110.714079</c:v>
                </c:pt>
                <c:pt idx="306">
                  <c:v>132.93077628527917</c:v>
                </c:pt>
                <c:pt idx="307">
                  <c:v>129.686756</c:v>
                </c:pt>
                <c:pt idx="308">
                  <c:v>87.72823600000001</c:v>
                </c:pt>
                <c:pt idx="309">
                  <c:v>71.729529999999997</c:v>
                </c:pt>
                <c:pt idx="310">
                  <c:v>102.846844</c:v>
                </c:pt>
                <c:pt idx="311">
                  <c:v>132.93077628527917</c:v>
                </c:pt>
                <c:pt idx="312">
                  <c:v>117.85944200000002</c:v>
                </c:pt>
                <c:pt idx="313">
                  <c:v>104.752955</c:v>
                </c:pt>
                <c:pt idx="314">
                  <c:v>131.54880799999998</c:v>
                </c:pt>
                <c:pt idx="315">
                  <c:v>132.93077628527917</c:v>
                </c:pt>
                <c:pt idx="316">
                  <c:v>91.825952999999998</c:v>
                </c:pt>
                <c:pt idx="317">
                  <c:v>103.752116</c:v>
                </c:pt>
                <c:pt idx="318">
                  <c:v>132.93077628527917</c:v>
                </c:pt>
                <c:pt idx="319">
                  <c:v>132.93077628527917</c:v>
                </c:pt>
                <c:pt idx="320">
                  <c:v>112.051107</c:v>
                </c:pt>
                <c:pt idx="321">
                  <c:v>106.82991200000001</c:v>
                </c:pt>
                <c:pt idx="322">
                  <c:v>132.93077628527917</c:v>
                </c:pt>
                <c:pt idx="323">
                  <c:v>132.93077628527917</c:v>
                </c:pt>
                <c:pt idx="324">
                  <c:v>124.72519100000001</c:v>
                </c:pt>
                <c:pt idx="325">
                  <c:v>132.93077628527917</c:v>
                </c:pt>
                <c:pt idx="326">
                  <c:v>55.629601000000001</c:v>
                </c:pt>
                <c:pt idx="327">
                  <c:v>76.594407000000004</c:v>
                </c:pt>
                <c:pt idx="328">
                  <c:v>132.93077628527917</c:v>
                </c:pt>
                <c:pt idx="329">
                  <c:v>132.93077628527917</c:v>
                </c:pt>
                <c:pt idx="330">
                  <c:v>124.623966</c:v>
                </c:pt>
                <c:pt idx="331">
                  <c:v>50.358134</c:v>
                </c:pt>
                <c:pt idx="332">
                  <c:v>100.16805599999999</c:v>
                </c:pt>
                <c:pt idx="333">
                  <c:v>132.93077628527917</c:v>
                </c:pt>
                <c:pt idx="334">
                  <c:v>132.93077628527917</c:v>
                </c:pt>
                <c:pt idx="335">
                  <c:v>117.602396</c:v>
                </c:pt>
                <c:pt idx="336">
                  <c:v>38.287339000000003</c:v>
                </c:pt>
                <c:pt idx="337">
                  <c:v>84.727943999999994</c:v>
                </c:pt>
                <c:pt idx="338">
                  <c:v>125.60755433708039</c:v>
                </c:pt>
                <c:pt idx="339">
                  <c:v>125.60755433708039</c:v>
                </c:pt>
                <c:pt idx="340">
                  <c:v>110.478555</c:v>
                </c:pt>
                <c:pt idx="341">
                  <c:v>125.60755433708039</c:v>
                </c:pt>
                <c:pt idx="342">
                  <c:v>85.718754999999987</c:v>
                </c:pt>
                <c:pt idx="343">
                  <c:v>96.344214999999991</c:v>
                </c:pt>
                <c:pt idx="344">
                  <c:v>125.60755433708039</c:v>
                </c:pt>
                <c:pt idx="345">
                  <c:v>125.60755433708039</c:v>
                </c:pt>
                <c:pt idx="346">
                  <c:v>125.60755433708039</c:v>
                </c:pt>
                <c:pt idx="347">
                  <c:v>125.60755433708039</c:v>
                </c:pt>
                <c:pt idx="348">
                  <c:v>125.60755433708039</c:v>
                </c:pt>
                <c:pt idx="349">
                  <c:v>125.60755433708039</c:v>
                </c:pt>
                <c:pt idx="350">
                  <c:v>125.60755433708039</c:v>
                </c:pt>
                <c:pt idx="351">
                  <c:v>125.60755433708039</c:v>
                </c:pt>
                <c:pt idx="352">
                  <c:v>125.60755433708039</c:v>
                </c:pt>
                <c:pt idx="353">
                  <c:v>125.60755433708039</c:v>
                </c:pt>
                <c:pt idx="354">
                  <c:v>98.345635999999999</c:v>
                </c:pt>
                <c:pt idx="355">
                  <c:v>83.848354999999998</c:v>
                </c:pt>
                <c:pt idx="356">
                  <c:v>102.84054699999999</c:v>
                </c:pt>
                <c:pt idx="357">
                  <c:v>48.319129000000004</c:v>
                </c:pt>
                <c:pt idx="358">
                  <c:v>82.914781999999988</c:v>
                </c:pt>
                <c:pt idx="359">
                  <c:v>116.58649399999999</c:v>
                </c:pt>
                <c:pt idx="360">
                  <c:v>125.60755433708039</c:v>
                </c:pt>
                <c:pt idx="361">
                  <c:v>125.60755433708039</c:v>
                </c:pt>
                <c:pt idx="362">
                  <c:v>125.60755433708039</c:v>
                </c:pt>
                <c:pt idx="363">
                  <c:v>123.24835899999999</c:v>
                </c:pt>
                <c:pt idx="364">
                  <c:v>125.60755433708039</c:v>
                </c:pt>
                <c:pt idx="365">
                  <c:v>71.803145000000001</c:v>
                </c:pt>
                <c:pt idx="366">
                  <c:v>129.50985700000001</c:v>
                </c:pt>
                <c:pt idx="367">
                  <c:v>158.58862447451119</c:v>
                </c:pt>
                <c:pt idx="368">
                  <c:v>158.58862447451119</c:v>
                </c:pt>
                <c:pt idx="369">
                  <c:v>130.88414500000002</c:v>
                </c:pt>
                <c:pt idx="370">
                  <c:v>146.67079500000003</c:v>
                </c:pt>
                <c:pt idx="371">
                  <c:v>158.58862447451119</c:v>
                </c:pt>
                <c:pt idx="372">
                  <c:v>158.58862447451119</c:v>
                </c:pt>
                <c:pt idx="373">
                  <c:v>158.58862447451119</c:v>
                </c:pt>
                <c:pt idx="374">
                  <c:v>158.58862447451119</c:v>
                </c:pt>
                <c:pt idx="375">
                  <c:v>157.51709700000001</c:v>
                </c:pt>
                <c:pt idx="376">
                  <c:v>128.90489499999998</c:v>
                </c:pt>
                <c:pt idx="377">
                  <c:v>158.58862447451119</c:v>
                </c:pt>
                <c:pt idx="378">
                  <c:v>72.970892000000006</c:v>
                </c:pt>
                <c:pt idx="379">
                  <c:v>81.081192000000001</c:v>
                </c:pt>
                <c:pt idx="380">
                  <c:v>158.58862447451119</c:v>
                </c:pt>
                <c:pt idx="381">
                  <c:v>158.58862447451119</c:v>
                </c:pt>
                <c:pt idx="382">
                  <c:v>158.58862447451119</c:v>
                </c:pt>
                <c:pt idx="383">
                  <c:v>158.58862447451119</c:v>
                </c:pt>
                <c:pt idx="384">
                  <c:v>158.58862447451119</c:v>
                </c:pt>
                <c:pt idx="385">
                  <c:v>117.052217</c:v>
                </c:pt>
                <c:pt idx="386">
                  <c:v>83.630014000000017</c:v>
                </c:pt>
                <c:pt idx="387">
                  <c:v>158.58862447451119</c:v>
                </c:pt>
                <c:pt idx="388">
                  <c:v>120.51246</c:v>
                </c:pt>
                <c:pt idx="389">
                  <c:v>158.58862447451119</c:v>
                </c:pt>
                <c:pt idx="390">
                  <c:v>151.48751899999999</c:v>
                </c:pt>
                <c:pt idx="391">
                  <c:v>141.75994200000002</c:v>
                </c:pt>
                <c:pt idx="392">
                  <c:v>95.336416</c:v>
                </c:pt>
                <c:pt idx="393">
                  <c:v>158.58862447451119</c:v>
                </c:pt>
                <c:pt idx="394">
                  <c:v>158.58862447451119</c:v>
                </c:pt>
                <c:pt idx="395">
                  <c:v>158.58862447451119</c:v>
                </c:pt>
                <c:pt idx="396">
                  <c:v>126.31444</c:v>
                </c:pt>
                <c:pt idx="397">
                  <c:v>76.931747000000001</c:v>
                </c:pt>
                <c:pt idx="398">
                  <c:v>55.120820000000002</c:v>
                </c:pt>
                <c:pt idx="399">
                  <c:v>125.204784</c:v>
                </c:pt>
                <c:pt idx="400">
                  <c:v>112.71133400000001</c:v>
                </c:pt>
                <c:pt idx="401">
                  <c:v>36.601855</c:v>
                </c:pt>
                <c:pt idx="402">
                  <c:v>51.481109000000004</c:v>
                </c:pt>
                <c:pt idx="403">
                  <c:v>81.333202</c:v>
                </c:pt>
                <c:pt idx="404">
                  <c:v>89.719461999999993</c:v>
                </c:pt>
                <c:pt idx="405">
                  <c:v>133.74336899999997</c:v>
                </c:pt>
                <c:pt idx="406">
                  <c:v>164.31446700000001</c:v>
                </c:pt>
                <c:pt idx="407">
                  <c:v>206.58836225654034</c:v>
                </c:pt>
                <c:pt idx="408">
                  <c:v>206.58836225654034</c:v>
                </c:pt>
                <c:pt idx="409">
                  <c:v>206.58836225654034</c:v>
                </c:pt>
                <c:pt idx="410">
                  <c:v>187.32002799999998</c:v>
                </c:pt>
                <c:pt idx="411">
                  <c:v>139.87811899999997</c:v>
                </c:pt>
                <c:pt idx="412">
                  <c:v>109.89834399999999</c:v>
                </c:pt>
                <c:pt idx="413">
                  <c:v>56.989307999999994</c:v>
                </c:pt>
                <c:pt idx="414">
                  <c:v>39.763338000000005</c:v>
                </c:pt>
                <c:pt idx="415">
                  <c:v>144.488213</c:v>
                </c:pt>
                <c:pt idx="416">
                  <c:v>206.58836225654034</c:v>
                </c:pt>
                <c:pt idx="417">
                  <c:v>206.58836225654034</c:v>
                </c:pt>
                <c:pt idx="418">
                  <c:v>206.58836225654034</c:v>
                </c:pt>
                <c:pt idx="419">
                  <c:v>206.58836225654034</c:v>
                </c:pt>
                <c:pt idx="420">
                  <c:v>206.58836225654034</c:v>
                </c:pt>
                <c:pt idx="421">
                  <c:v>206.58836225654034</c:v>
                </c:pt>
                <c:pt idx="422">
                  <c:v>99.086891000000008</c:v>
                </c:pt>
                <c:pt idx="423">
                  <c:v>77.781571</c:v>
                </c:pt>
                <c:pt idx="424">
                  <c:v>91.143726999999998</c:v>
                </c:pt>
                <c:pt idx="425">
                  <c:v>145.74843299999998</c:v>
                </c:pt>
                <c:pt idx="426">
                  <c:v>103.236913</c:v>
                </c:pt>
                <c:pt idx="427">
                  <c:v>85.14557099999999</c:v>
                </c:pt>
                <c:pt idx="428">
                  <c:v>70.599469999999997</c:v>
                </c:pt>
                <c:pt idx="429">
                  <c:v>129.40656200000001</c:v>
                </c:pt>
                <c:pt idx="430">
                  <c:v>197.24299123529053</c:v>
                </c:pt>
                <c:pt idx="431">
                  <c:v>192.42606899999998</c:v>
                </c:pt>
                <c:pt idx="432">
                  <c:v>197.24299123529053</c:v>
                </c:pt>
                <c:pt idx="433">
                  <c:v>197.24299123529053</c:v>
                </c:pt>
                <c:pt idx="434">
                  <c:v>197.24299123529053</c:v>
                </c:pt>
                <c:pt idx="435">
                  <c:v>197.24299123529053</c:v>
                </c:pt>
                <c:pt idx="436">
                  <c:v>169.756168</c:v>
                </c:pt>
                <c:pt idx="437">
                  <c:v>44.381824000000002</c:v>
                </c:pt>
                <c:pt idx="438">
                  <c:v>63.364561000000002</c:v>
                </c:pt>
                <c:pt idx="439">
                  <c:v>29.612646000000002</c:v>
                </c:pt>
                <c:pt idx="440">
                  <c:v>109.12266000000001</c:v>
                </c:pt>
                <c:pt idx="441">
                  <c:v>197.24299123529053</c:v>
                </c:pt>
                <c:pt idx="442">
                  <c:v>150.424226</c:v>
                </c:pt>
                <c:pt idx="443">
                  <c:v>159.424904</c:v>
                </c:pt>
                <c:pt idx="444">
                  <c:v>197.24299123529053</c:v>
                </c:pt>
                <c:pt idx="445">
                  <c:v>197.24299123529053</c:v>
                </c:pt>
                <c:pt idx="446">
                  <c:v>197.24299123529053</c:v>
                </c:pt>
                <c:pt idx="447">
                  <c:v>172.575818</c:v>
                </c:pt>
                <c:pt idx="448">
                  <c:v>197.24299123529053</c:v>
                </c:pt>
                <c:pt idx="449">
                  <c:v>197.24299123529053</c:v>
                </c:pt>
                <c:pt idx="450">
                  <c:v>197.24299123529053</c:v>
                </c:pt>
                <c:pt idx="451">
                  <c:v>109.379043</c:v>
                </c:pt>
                <c:pt idx="452">
                  <c:v>57.152721</c:v>
                </c:pt>
                <c:pt idx="453">
                  <c:v>94.683819</c:v>
                </c:pt>
                <c:pt idx="454">
                  <c:v>52.418404000000002</c:v>
                </c:pt>
                <c:pt idx="455">
                  <c:v>29.813920999999997</c:v>
                </c:pt>
                <c:pt idx="456">
                  <c:v>32.461750000000002</c:v>
                </c:pt>
                <c:pt idx="457">
                  <c:v>28.700936000000002</c:v>
                </c:pt>
                <c:pt idx="458">
                  <c:v>96.052729000000014</c:v>
                </c:pt>
                <c:pt idx="459">
                  <c:v>163.711106</c:v>
                </c:pt>
                <c:pt idx="460">
                  <c:v>226.08003354035151</c:v>
                </c:pt>
                <c:pt idx="461">
                  <c:v>226.08003354035151</c:v>
                </c:pt>
                <c:pt idx="462">
                  <c:v>226.08003354035151</c:v>
                </c:pt>
                <c:pt idx="463">
                  <c:v>226.08003354035151</c:v>
                </c:pt>
                <c:pt idx="464">
                  <c:v>226.08003354035151</c:v>
                </c:pt>
                <c:pt idx="465">
                  <c:v>226.08003354035151</c:v>
                </c:pt>
                <c:pt idx="466">
                  <c:v>226.08003354035151</c:v>
                </c:pt>
                <c:pt idx="467">
                  <c:v>226.08003354035151</c:v>
                </c:pt>
                <c:pt idx="468">
                  <c:v>226.08003354035151</c:v>
                </c:pt>
                <c:pt idx="469">
                  <c:v>226.08003354035151</c:v>
                </c:pt>
                <c:pt idx="470">
                  <c:v>220.757533</c:v>
                </c:pt>
                <c:pt idx="471">
                  <c:v>113.3263</c:v>
                </c:pt>
                <c:pt idx="472">
                  <c:v>165.77932100000001</c:v>
                </c:pt>
                <c:pt idx="473">
                  <c:v>196.324063</c:v>
                </c:pt>
                <c:pt idx="474">
                  <c:v>111.412497</c:v>
                </c:pt>
                <c:pt idx="475">
                  <c:v>47.349745000000006</c:v>
                </c:pt>
                <c:pt idx="476">
                  <c:v>97.682328999999996</c:v>
                </c:pt>
                <c:pt idx="477">
                  <c:v>112.44127400000001</c:v>
                </c:pt>
                <c:pt idx="478">
                  <c:v>199.057221</c:v>
                </c:pt>
                <c:pt idx="479">
                  <c:v>226.08003354035151</c:v>
                </c:pt>
                <c:pt idx="480">
                  <c:v>152.31426099999999</c:v>
                </c:pt>
                <c:pt idx="481">
                  <c:v>226.08003354035151</c:v>
                </c:pt>
                <c:pt idx="482">
                  <c:v>226.08003354035151</c:v>
                </c:pt>
                <c:pt idx="483">
                  <c:v>226.08003354035151</c:v>
                </c:pt>
                <c:pt idx="484">
                  <c:v>226.08003354035151</c:v>
                </c:pt>
                <c:pt idx="485">
                  <c:v>226.08003354035151</c:v>
                </c:pt>
                <c:pt idx="486">
                  <c:v>226.08003354035151</c:v>
                </c:pt>
                <c:pt idx="487">
                  <c:v>226.08003354035151</c:v>
                </c:pt>
                <c:pt idx="488">
                  <c:v>202.58639499999998</c:v>
                </c:pt>
                <c:pt idx="489">
                  <c:v>163.62578200000002</c:v>
                </c:pt>
                <c:pt idx="490">
                  <c:v>103.745982</c:v>
                </c:pt>
                <c:pt idx="491">
                  <c:v>99.068889999999996</c:v>
                </c:pt>
                <c:pt idx="492">
                  <c:v>54.212391000000004</c:v>
                </c:pt>
                <c:pt idx="493">
                  <c:v>118.51092600000001</c:v>
                </c:pt>
                <c:pt idx="494">
                  <c:v>46.501018999999999</c:v>
                </c:pt>
                <c:pt idx="495">
                  <c:v>200.859071</c:v>
                </c:pt>
                <c:pt idx="496">
                  <c:v>164.77992999999998</c:v>
                </c:pt>
                <c:pt idx="497">
                  <c:v>105.03203599999999</c:v>
                </c:pt>
                <c:pt idx="498">
                  <c:v>91.195220000000006</c:v>
                </c:pt>
                <c:pt idx="499">
                  <c:v>153.81701800000002</c:v>
                </c:pt>
                <c:pt idx="500">
                  <c:v>196.067801</c:v>
                </c:pt>
                <c:pt idx="501">
                  <c:v>153.36795699999999</c:v>
                </c:pt>
                <c:pt idx="502">
                  <c:v>105.50163099999999</c:v>
                </c:pt>
                <c:pt idx="503">
                  <c:v>112.99675999999999</c:v>
                </c:pt>
                <c:pt idx="504">
                  <c:v>58.919339999999998</c:v>
                </c:pt>
                <c:pt idx="505">
                  <c:v>54.980036999999996</c:v>
                </c:pt>
                <c:pt idx="506">
                  <c:v>178.13030699999999</c:v>
                </c:pt>
                <c:pt idx="507">
                  <c:v>67.213655000000003</c:v>
                </c:pt>
                <c:pt idx="508">
                  <c:v>109.60838800000001</c:v>
                </c:pt>
                <c:pt idx="509">
                  <c:v>229.76238345951293</c:v>
                </c:pt>
                <c:pt idx="510">
                  <c:v>130.81705299999999</c:v>
                </c:pt>
                <c:pt idx="511">
                  <c:v>110.004572</c:v>
                </c:pt>
                <c:pt idx="512">
                  <c:v>189.55883599999999</c:v>
                </c:pt>
                <c:pt idx="513">
                  <c:v>229.76238345951293</c:v>
                </c:pt>
                <c:pt idx="514">
                  <c:v>114.38403300000002</c:v>
                </c:pt>
                <c:pt idx="515">
                  <c:v>32.274008000000002</c:v>
                </c:pt>
                <c:pt idx="516">
                  <c:v>167.02587899999997</c:v>
                </c:pt>
                <c:pt idx="517">
                  <c:v>229.90491048357865</c:v>
                </c:pt>
                <c:pt idx="518">
                  <c:v>229.90491048357865</c:v>
                </c:pt>
                <c:pt idx="519">
                  <c:v>229.90491048357865</c:v>
                </c:pt>
                <c:pt idx="520">
                  <c:v>229.90491048357865</c:v>
                </c:pt>
                <c:pt idx="521">
                  <c:v>229.90491048357865</c:v>
                </c:pt>
                <c:pt idx="522">
                  <c:v>229.90491048357865</c:v>
                </c:pt>
                <c:pt idx="523">
                  <c:v>229.90491048357865</c:v>
                </c:pt>
                <c:pt idx="524">
                  <c:v>229.90491048357865</c:v>
                </c:pt>
                <c:pt idx="525">
                  <c:v>173.339676</c:v>
                </c:pt>
                <c:pt idx="526">
                  <c:v>136.982891</c:v>
                </c:pt>
                <c:pt idx="527">
                  <c:v>181.49984499999999</c:v>
                </c:pt>
                <c:pt idx="528">
                  <c:v>198.76046500000001</c:v>
                </c:pt>
                <c:pt idx="529">
                  <c:v>181.16058100000001</c:v>
                </c:pt>
                <c:pt idx="530">
                  <c:v>213.685439</c:v>
                </c:pt>
                <c:pt idx="531">
                  <c:v>142.95814899999999</c:v>
                </c:pt>
                <c:pt idx="532">
                  <c:v>96.001475999999997</c:v>
                </c:pt>
                <c:pt idx="533">
                  <c:v>141.406701</c:v>
                </c:pt>
                <c:pt idx="534">
                  <c:v>229.90491048357865</c:v>
                </c:pt>
                <c:pt idx="535">
                  <c:v>229.90491048357865</c:v>
                </c:pt>
                <c:pt idx="536">
                  <c:v>229.90491048357865</c:v>
                </c:pt>
                <c:pt idx="537">
                  <c:v>229.90491048357865</c:v>
                </c:pt>
                <c:pt idx="538">
                  <c:v>229.90491048357865</c:v>
                </c:pt>
                <c:pt idx="539">
                  <c:v>165.08041399999999</c:v>
                </c:pt>
                <c:pt idx="540">
                  <c:v>162.02467000000001</c:v>
                </c:pt>
                <c:pt idx="541">
                  <c:v>168.76038299999999</c:v>
                </c:pt>
                <c:pt idx="542">
                  <c:v>172.88286499999998</c:v>
                </c:pt>
                <c:pt idx="543">
                  <c:v>158.74360199999998</c:v>
                </c:pt>
                <c:pt idx="544">
                  <c:v>187.672775</c:v>
                </c:pt>
                <c:pt idx="545">
                  <c:v>229.90491048357865</c:v>
                </c:pt>
                <c:pt idx="546">
                  <c:v>171.06194099999999</c:v>
                </c:pt>
                <c:pt idx="547">
                  <c:v>113.48658399999999</c:v>
                </c:pt>
                <c:pt idx="548">
                  <c:v>55.305022999999998</c:v>
                </c:pt>
                <c:pt idx="549">
                  <c:v>159.30938700000002</c:v>
                </c:pt>
                <c:pt idx="550">
                  <c:v>182.61758427317855</c:v>
                </c:pt>
                <c:pt idx="551">
                  <c:v>182.61758427317855</c:v>
                </c:pt>
                <c:pt idx="552">
                  <c:v>142.10995800000001</c:v>
                </c:pt>
                <c:pt idx="553">
                  <c:v>92.200361000000001</c:v>
                </c:pt>
                <c:pt idx="554">
                  <c:v>65.283080999999996</c:v>
                </c:pt>
                <c:pt idx="555">
                  <c:v>67.715493000000009</c:v>
                </c:pt>
                <c:pt idx="556">
                  <c:v>90.514348999999996</c:v>
                </c:pt>
                <c:pt idx="557">
                  <c:v>182.00163499999999</c:v>
                </c:pt>
                <c:pt idx="558">
                  <c:v>182.61758427317855</c:v>
                </c:pt>
                <c:pt idx="559">
                  <c:v>92.361042999999995</c:v>
                </c:pt>
                <c:pt idx="560">
                  <c:v>46.474194000000004</c:v>
                </c:pt>
                <c:pt idx="561">
                  <c:v>168.549228</c:v>
                </c:pt>
                <c:pt idx="562">
                  <c:v>182.61758427317855</c:v>
                </c:pt>
                <c:pt idx="563">
                  <c:v>182.61758427317855</c:v>
                </c:pt>
                <c:pt idx="564">
                  <c:v>182.61758427317855</c:v>
                </c:pt>
                <c:pt idx="565">
                  <c:v>178.321282</c:v>
                </c:pt>
                <c:pt idx="566">
                  <c:v>182.61758427317855</c:v>
                </c:pt>
                <c:pt idx="567">
                  <c:v>131.448273</c:v>
                </c:pt>
                <c:pt idx="568">
                  <c:v>72.051129999999986</c:v>
                </c:pt>
                <c:pt idx="569">
                  <c:v>102.756902</c:v>
                </c:pt>
                <c:pt idx="570">
                  <c:v>110.202663</c:v>
                </c:pt>
                <c:pt idx="571">
                  <c:v>114.649427</c:v>
                </c:pt>
                <c:pt idx="572">
                  <c:v>77.655495999999999</c:v>
                </c:pt>
                <c:pt idx="573">
                  <c:v>182.61758427317855</c:v>
                </c:pt>
                <c:pt idx="574">
                  <c:v>131.219179</c:v>
                </c:pt>
                <c:pt idx="575">
                  <c:v>58.299390000000002</c:v>
                </c:pt>
                <c:pt idx="576">
                  <c:v>89.623407</c:v>
                </c:pt>
                <c:pt idx="577">
                  <c:v>182.61758427317855</c:v>
                </c:pt>
                <c:pt idx="578">
                  <c:v>130.88345900000002</c:v>
                </c:pt>
                <c:pt idx="579">
                  <c:v>169.07138542548611</c:v>
                </c:pt>
                <c:pt idx="580">
                  <c:v>89.445875999999984</c:v>
                </c:pt>
                <c:pt idx="581">
                  <c:v>112.966257</c:v>
                </c:pt>
                <c:pt idx="582">
                  <c:v>169.07138542548611</c:v>
                </c:pt>
                <c:pt idx="583">
                  <c:v>169.07138542548611</c:v>
                </c:pt>
                <c:pt idx="584">
                  <c:v>103.300662</c:v>
                </c:pt>
                <c:pt idx="585">
                  <c:v>73.210046000000006</c:v>
                </c:pt>
                <c:pt idx="586">
                  <c:v>65.982574</c:v>
                </c:pt>
                <c:pt idx="587">
                  <c:v>101.78966699999999</c:v>
                </c:pt>
                <c:pt idx="588">
                  <c:v>84.697861000000003</c:v>
                </c:pt>
                <c:pt idx="589">
                  <c:v>77.858558000000002</c:v>
                </c:pt>
                <c:pt idx="590">
                  <c:v>45.845228999999996</c:v>
                </c:pt>
                <c:pt idx="591">
                  <c:v>50.479971000000006</c:v>
                </c:pt>
                <c:pt idx="592">
                  <c:v>132.81496000000001</c:v>
                </c:pt>
                <c:pt idx="593">
                  <c:v>157.876869</c:v>
                </c:pt>
                <c:pt idx="594">
                  <c:v>60.090343999999995</c:v>
                </c:pt>
                <c:pt idx="595">
                  <c:v>88.441888000000006</c:v>
                </c:pt>
                <c:pt idx="596">
                  <c:v>139.39144300000001</c:v>
                </c:pt>
                <c:pt idx="597">
                  <c:v>137.78934099999998</c:v>
                </c:pt>
                <c:pt idx="598">
                  <c:v>101.306844</c:v>
                </c:pt>
                <c:pt idx="599">
                  <c:v>169.07138542548611</c:v>
                </c:pt>
                <c:pt idx="600">
                  <c:v>169.07138542548611</c:v>
                </c:pt>
                <c:pt idx="601">
                  <c:v>108.396787</c:v>
                </c:pt>
                <c:pt idx="602">
                  <c:v>60.330680000000001</c:v>
                </c:pt>
                <c:pt idx="603">
                  <c:v>108.761596</c:v>
                </c:pt>
                <c:pt idx="604">
                  <c:v>90.241628000000006</c:v>
                </c:pt>
                <c:pt idx="605">
                  <c:v>73.798220999999998</c:v>
                </c:pt>
                <c:pt idx="606">
                  <c:v>73.778673999999995</c:v>
                </c:pt>
                <c:pt idx="607">
                  <c:v>80.868812000000005</c:v>
                </c:pt>
                <c:pt idx="608">
                  <c:v>68.699438000000015</c:v>
                </c:pt>
                <c:pt idx="609">
                  <c:v>111.35742500000001</c:v>
                </c:pt>
                <c:pt idx="610">
                  <c:v>134.04287218924014</c:v>
                </c:pt>
                <c:pt idx="611">
                  <c:v>105.658908</c:v>
                </c:pt>
                <c:pt idx="612">
                  <c:v>90.578382000000005</c:v>
                </c:pt>
                <c:pt idx="613">
                  <c:v>92.04586900000001</c:v>
                </c:pt>
                <c:pt idx="614">
                  <c:v>72.958808000000005</c:v>
                </c:pt>
                <c:pt idx="615">
                  <c:v>73.210296999999997</c:v>
                </c:pt>
                <c:pt idx="616">
                  <c:v>90.687922999999998</c:v>
                </c:pt>
                <c:pt idx="617">
                  <c:v>98.775077999999993</c:v>
                </c:pt>
                <c:pt idx="618">
                  <c:v>105.692728</c:v>
                </c:pt>
                <c:pt idx="619">
                  <c:v>134.04287218924014</c:v>
                </c:pt>
                <c:pt idx="620">
                  <c:v>91.151920000000004</c:v>
                </c:pt>
                <c:pt idx="621">
                  <c:v>100.58464500000001</c:v>
                </c:pt>
                <c:pt idx="622">
                  <c:v>74.388030000000001</c:v>
                </c:pt>
                <c:pt idx="623">
                  <c:v>134.04287218924014</c:v>
                </c:pt>
                <c:pt idx="624">
                  <c:v>134.04287218924014</c:v>
                </c:pt>
                <c:pt idx="625">
                  <c:v>95.742632999999984</c:v>
                </c:pt>
                <c:pt idx="626">
                  <c:v>67.285437999999999</c:v>
                </c:pt>
                <c:pt idx="627">
                  <c:v>90.308557000000008</c:v>
                </c:pt>
                <c:pt idx="628">
                  <c:v>79.751546000000005</c:v>
                </c:pt>
                <c:pt idx="629">
                  <c:v>81.65248600000001</c:v>
                </c:pt>
                <c:pt idx="630">
                  <c:v>93.969624999999994</c:v>
                </c:pt>
                <c:pt idx="631">
                  <c:v>114.80814500000001</c:v>
                </c:pt>
                <c:pt idx="632">
                  <c:v>134.04287218924014</c:v>
                </c:pt>
                <c:pt idx="633">
                  <c:v>133.44204999999999</c:v>
                </c:pt>
                <c:pt idx="634">
                  <c:v>107.10214900000001</c:v>
                </c:pt>
                <c:pt idx="635">
                  <c:v>74.385886999999997</c:v>
                </c:pt>
                <c:pt idx="636">
                  <c:v>82.544207999999998</c:v>
                </c:pt>
                <c:pt idx="637">
                  <c:v>83.201902000000004</c:v>
                </c:pt>
                <c:pt idx="638">
                  <c:v>88.419715000000011</c:v>
                </c:pt>
                <c:pt idx="639">
                  <c:v>84.277218000000005</c:v>
                </c:pt>
                <c:pt idx="640">
                  <c:v>141.92800784696908</c:v>
                </c:pt>
                <c:pt idx="641">
                  <c:v>141.92800784696908</c:v>
                </c:pt>
                <c:pt idx="642">
                  <c:v>141.92800784696908</c:v>
                </c:pt>
                <c:pt idx="643">
                  <c:v>141.92800784696908</c:v>
                </c:pt>
                <c:pt idx="644">
                  <c:v>115.26097</c:v>
                </c:pt>
                <c:pt idx="645">
                  <c:v>141.92800784696908</c:v>
                </c:pt>
                <c:pt idx="646">
                  <c:v>141.92800784696908</c:v>
                </c:pt>
                <c:pt idx="647">
                  <c:v>117.66345999999999</c:v>
                </c:pt>
                <c:pt idx="648">
                  <c:v>60.650477999999993</c:v>
                </c:pt>
                <c:pt idx="649">
                  <c:v>99.958921999999987</c:v>
                </c:pt>
                <c:pt idx="650">
                  <c:v>71.312774999999988</c:v>
                </c:pt>
                <c:pt idx="651">
                  <c:v>41.125961000000004</c:v>
                </c:pt>
                <c:pt idx="652">
                  <c:v>89.165200999999996</c:v>
                </c:pt>
                <c:pt idx="653">
                  <c:v>115.473939</c:v>
                </c:pt>
                <c:pt idx="654">
                  <c:v>77.006179000000003</c:v>
                </c:pt>
                <c:pt idx="655">
                  <c:v>76.113729000000006</c:v>
                </c:pt>
                <c:pt idx="656">
                  <c:v>140.17631299999999</c:v>
                </c:pt>
                <c:pt idx="657">
                  <c:v>141.92800784696908</c:v>
                </c:pt>
                <c:pt idx="658">
                  <c:v>141.92800784696908</c:v>
                </c:pt>
                <c:pt idx="659">
                  <c:v>117.03448299999999</c:v>
                </c:pt>
                <c:pt idx="660">
                  <c:v>81.647548</c:v>
                </c:pt>
                <c:pt idx="661">
                  <c:v>141.92800784696908</c:v>
                </c:pt>
                <c:pt idx="662">
                  <c:v>141.92800784696908</c:v>
                </c:pt>
                <c:pt idx="663">
                  <c:v>141.92800784696908</c:v>
                </c:pt>
                <c:pt idx="664">
                  <c:v>141.92800784696908</c:v>
                </c:pt>
                <c:pt idx="665">
                  <c:v>141.92800784696908</c:v>
                </c:pt>
                <c:pt idx="666">
                  <c:v>141.92800784696908</c:v>
                </c:pt>
                <c:pt idx="667">
                  <c:v>141.92800784696908</c:v>
                </c:pt>
                <c:pt idx="668">
                  <c:v>141.92800784696908</c:v>
                </c:pt>
                <c:pt idx="669">
                  <c:v>141.92800784696908</c:v>
                </c:pt>
                <c:pt idx="670">
                  <c:v>138.43000252044646</c:v>
                </c:pt>
                <c:pt idx="671">
                  <c:v>138.43000252044646</c:v>
                </c:pt>
                <c:pt idx="672">
                  <c:v>138.43000252044646</c:v>
                </c:pt>
                <c:pt idx="673">
                  <c:v>97.611058999999997</c:v>
                </c:pt>
                <c:pt idx="674">
                  <c:v>138.43000252044646</c:v>
                </c:pt>
                <c:pt idx="675">
                  <c:v>108.57818899999999</c:v>
                </c:pt>
                <c:pt idx="676">
                  <c:v>59.921418000000003</c:v>
                </c:pt>
                <c:pt idx="677">
                  <c:v>94.350186000000008</c:v>
                </c:pt>
                <c:pt idx="678">
                  <c:v>101.04774299999998</c:v>
                </c:pt>
                <c:pt idx="679">
                  <c:v>103.06724399999999</c:v>
                </c:pt>
                <c:pt idx="680">
                  <c:v>77.336628000000005</c:v>
                </c:pt>
                <c:pt idx="681">
                  <c:v>98.493037999999999</c:v>
                </c:pt>
                <c:pt idx="682">
                  <c:v>91.627511999999996</c:v>
                </c:pt>
                <c:pt idx="683">
                  <c:v>103.42869900000001</c:v>
                </c:pt>
                <c:pt idx="684">
                  <c:v>91.743358999999998</c:v>
                </c:pt>
                <c:pt idx="685">
                  <c:v>48.016739000000001</c:v>
                </c:pt>
                <c:pt idx="686">
                  <c:v>51.217410999999998</c:v>
                </c:pt>
                <c:pt idx="687">
                  <c:v>108.576768</c:v>
                </c:pt>
                <c:pt idx="688">
                  <c:v>138.43000252044646</c:v>
                </c:pt>
                <c:pt idx="689">
                  <c:v>138.43000252044646</c:v>
                </c:pt>
                <c:pt idx="690">
                  <c:v>138.43000252044646</c:v>
                </c:pt>
                <c:pt idx="691">
                  <c:v>138.43000252044646</c:v>
                </c:pt>
                <c:pt idx="692">
                  <c:v>70.953585000000004</c:v>
                </c:pt>
                <c:pt idx="693">
                  <c:v>46.668775000000004</c:v>
                </c:pt>
                <c:pt idx="694">
                  <c:v>86.060666999999995</c:v>
                </c:pt>
                <c:pt idx="695">
                  <c:v>81.252551000000011</c:v>
                </c:pt>
                <c:pt idx="696">
                  <c:v>98.872264999999999</c:v>
                </c:pt>
                <c:pt idx="697">
                  <c:v>138.43000252044646</c:v>
                </c:pt>
                <c:pt idx="698">
                  <c:v>138.43000252044646</c:v>
                </c:pt>
                <c:pt idx="699">
                  <c:v>114.484016</c:v>
                </c:pt>
                <c:pt idx="700">
                  <c:v>138.43000252044646</c:v>
                </c:pt>
                <c:pt idx="701">
                  <c:v>136.60125137702863</c:v>
                </c:pt>
                <c:pt idx="702">
                  <c:v>134.17487499999999</c:v>
                </c:pt>
                <c:pt idx="703">
                  <c:v>128.768134</c:v>
                </c:pt>
                <c:pt idx="704">
                  <c:v>117.30842200000001</c:v>
                </c:pt>
                <c:pt idx="705">
                  <c:v>136.60125137702863</c:v>
                </c:pt>
                <c:pt idx="706">
                  <c:v>136.60125137702863</c:v>
                </c:pt>
                <c:pt idx="707">
                  <c:v>136.60125137702863</c:v>
                </c:pt>
                <c:pt idx="708">
                  <c:v>136.60125137702863</c:v>
                </c:pt>
                <c:pt idx="709">
                  <c:v>136.60125137702863</c:v>
                </c:pt>
                <c:pt idx="710">
                  <c:v>136.60125137702863</c:v>
                </c:pt>
                <c:pt idx="711">
                  <c:v>136.60125137702863</c:v>
                </c:pt>
                <c:pt idx="712">
                  <c:v>74.49884200000001</c:v>
                </c:pt>
                <c:pt idx="713">
                  <c:v>78.050779000000006</c:v>
                </c:pt>
                <c:pt idx="714">
                  <c:v>79.459641000000005</c:v>
                </c:pt>
                <c:pt idx="715">
                  <c:v>93.845758999999987</c:v>
                </c:pt>
                <c:pt idx="716">
                  <c:v>97.585195000000013</c:v>
                </c:pt>
                <c:pt idx="717">
                  <c:v>48.397202</c:v>
                </c:pt>
                <c:pt idx="718">
                  <c:v>82.887904000000006</c:v>
                </c:pt>
                <c:pt idx="719">
                  <c:v>136.60125137702863</c:v>
                </c:pt>
                <c:pt idx="720">
                  <c:v>136.60125137702863</c:v>
                </c:pt>
                <c:pt idx="721">
                  <c:v>136.60125137702863</c:v>
                </c:pt>
                <c:pt idx="722">
                  <c:v>136.60125137702863</c:v>
                </c:pt>
                <c:pt idx="723">
                  <c:v>136.60125137702863</c:v>
                </c:pt>
                <c:pt idx="724">
                  <c:v>136.60125137702863</c:v>
                </c:pt>
                <c:pt idx="725">
                  <c:v>106.272949</c:v>
                </c:pt>
                <c:pt idx="726">
                  <c:v>40.777605999999999</c:v>
                </c:pt>
                <c:pt idx="727">
                  <c:v>81.288621000000006</c:v>
                </c:pt>
                <c:pt idx="728">
                  <c:v>136.60125137702863</c:v>
                </c:pt>
                <c:pt idx="729">
                  <c:v>136.60125137702863</c:v>
                </c:pt>
                <c:pt idx="730">
                  <c:v>94.274450000000002</c:v>
                </c:pt>
                <c:pt idx="731">
                  <c:v>84.649697000000003</c:v>
                </c:pt>
                <c:pt idx="732">
                  <c:v>53.629100999999999</c:v>
                </c:pt>
                <c:pt idx="733">
                  <c:v>45.242268000000003</c:v>
                </c:pt>
                <c:pt idx="734">
                  <c:v>124.304507</c:v>
                </c:pt>
                <c:pt idx="735">
                  <c:v>168.7527184226733</c:v>
                </c:pt>
                <c:pt idx="736">
                  <c:v>126.73768799999999</c:v>
                </c:pt>
                <c:pt idx="737">
                  <c:v>40.538199999999996</c:v>
                </c:pt>
                <c:pt idx="738">
                  <c:v>93.560396000000011</c:v>
                </c:pt>
                <c:pt idx="739">
                  <c:v>168.7527184226733</c:v>
                </c:pt>
                <c:pt idx="740">
                  <c:v>168.7527184226733</c:v>
                </c:pt>
                <c:pt idx="741">
                  <c:v>116.03569899999999</c:v>
                </c:pt>
                <c:pt idx="742">
                  <c:v>117.39425199999999</c:v>
                </c:pt>
                <c:pt idx="743">
                  <c:v>49.402464000000002</c:v>
                </c:pt>
                <c:pt idx="744">
                  <c:v>23.182852999999998</c:v>
                </c:pt>
                <c:pt idx="745">
                  <c:v>35.434694</c:v>
                </c:pt>
                <c:pt idx="746">
                  <c:v>48.869900000000001</c:v>
                </c:pt>
                <c:pt idx="747">
                  <c:v>52.066099999999999</c:v>
                </c:pt>
                <c:pt idx="748">
                  <c:v>65.957599999999999</c:v>
                </c:pt>
                <c:pt idx="749">
                  <c:v>168.7527184226733</c:v>
                </c:pt>
                <c:pt idx="750">
                  <c:v>168.7527184226733</c:v>
                </c:pt>
                <c:pt idx="751">
                  <c:v>168.7527184226733</c:v>
                </c:pt>
                <c:pt idx="752">
                  <c:v>168.7527184226733</c:v>
                </c:pt>
                <c:pt idx="753">
                  <c:v>168.7527184226733</c:v>
                </c:pt>
                <c:pt idx="754">
                  <c:v>123.39002499999999</c:v>
                </c:pt>
                <c:pt idx="755">
                  <c:v>117.10697499999999</c:v>
                </c:pt>
                <c:pt idx="756">
                  <c:v>168.7527184226733</c:v>
                </c:pt>
                <c:pt idx="757">
                  <c:v>111.653558</c:v>
                </c:pt>
                <c:pt idx="758">
                  <c:v>95.499019000000004</c:v>
                </c:pt>
                <c:pt idx="759">
                  <c:v>166.5873</c:v>
                </c:pt>
                <c:pt idx="760">
                  <c:v>168.7527184226733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multiLvlStrRef>
              <c:f>'Data 4'!$F$2:$G$761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4'!$H$2:$H$762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Dat_01!$AA$182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8BB-49FF-9B74-FC2C9292786E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7EA-4AD3-B465-CF467F87BCCE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Dat_01!$AA$184:$AA$214</c:f>
              <c:numCache>
                <c:formatCode>0_)</c:formatCode>
                <c:ptCount val="31"/>
                <c:pt idx="0">
                  <c:v>176.52765599999998</c:v>
                </c:pt>
                <c:pt idx="1">
                  <c:v>178.380256</c:v>
                </c:pt>
                <c:pt idx="2">
                  <c:v>161.64239799999999</c:v>
                </c:pt>
                <c:pt idx="3">
                  <c:v>156.39985200000001</c:v>
                </c:pt>
                <c:pt idx="4">
                  <c:v>124.74829099999999</c:v>
                </c:pt>
                <c:pt idx="5">
                  <c:v>141.51605600000002</c:v>
                </c:pt>
                <c:pt idx="6">
                  <c:v>167.33839900000001</c:v>
                </c:pt>
                <c:pt idx="7">
                  <c:v>143.913352</c:v>
                </c:pt>
                <c:pt idx="8">
                  <c:v>133.970044</c:v>
                </c:pt>
                <c:pt idx="9">
                  <c:v>135.25307100000001</c:v>
                </c:pt>
                <c:pt idx="10">
                  <c:v>143.80419800000001</c:v>
                </c:pt>
                <c:pt idx="11">
                  <c:v>123.272503</c:v>
                </c:pt>
                <c:pt idx="12">
                  <c:v>118.608661</c:v>
                </c:pt>
                <c:pt idx="13">
                  <c:v>150.02996900000002</c:v>
                </c:pt>
                <c:pt idx="14">
                  <c:v>137.99676300000002</c:v>
                </c:pt>
                <c:pt idx="15">
                  <c:v>124.151297051</c:v>
                </c:pt>
                <c:pt idx="16">
                  <c:v>143.510646756</c:v>
                </c:pt>
                <c:pt idx="17">
                  <c:v>149.879599141</c:v>
                </c:pt>
                <c:pt idx="18">
                  <c:v>108.354153857</c:v>
                </c:pt>
                <c:pt idx="19">
                  <c:v>109.26776247800001</c:v>
                </c:pt>
                <c:pt idx="20">
                  <c:v>91.163505911000001</c:v>
                </c:pt>
                <c:pt idx="21">
                  <c:v>102.10677489299999</c:v>
                </c:pt>
                <c:pt idx="22">
                  <c:v>122.27190395000001</c:v>
                </c:pt>
                <c:pt idx="23">
                  <c:v>124.584107696</c:v>
                </c:pt>
                <c:pt idx="24">
                  <c:v>110.185532198</c:v>
                </c:pt>
                <c:pt idx="25">
                  <c:v>99.500908776000003</c:v>
                </c:pt>
                <c:pt idx="26">
                  <c:v>149.92361534600002</c:v>
                </c:pt>
                <c:pt idx="27">
                  <c:v>120.124051596</c:v>
                </c:pt>
                <c:pt idx="28">
                  <c:v>57.283782973000001</c:v>
                </c:pt>
                <c:pt idx="29">
                  <c:v>99.569327039000001</c:v>
                </c:pt>
                <c:pt idx="30">
                  <c:v>86.608372046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Dat_01!$Z$182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Dat_01!$Z$184:$Z$214</c:f>
              <c:numCache>
                <c:formatCode>0.0_)</c:formatCode>
                <c:ptCount val="31"/>
                <c:pt idx="0">
                  <c:v>25.795913047400276</c:v>
                </c:pt>
                <c:pt idx="1">
                  <c:v>26.078871778336815</c:v>
                </c:pt>
                <c:pt idx="2">
                  <c:v>23.533487383475165</c:v>
                </c:pt>
                <c:pt idx="3">
                  <c:v>24.8634986597236</c:v>
                </c:pt>
                <c:pt idx="4">
                  <c:v>19.60953352578073</c:v>
                </c:pt>
                <c:pt idx="5">
                  <c:v>21.15431591114724</c:v>
                </c:pt>
                <c:pt idx="6">
                  <c:v>24.533203298875247</c:v>
                </c:pt>
                <c:pt idx="7">
                  <c:v>20.896283233086454</c:v>
                </c:pt>
                <c:pt idx="8">
                  <c:v>18.173587307992765</c:v>
                </c:pt>
                <c:pt idx="9">
                  <c:v>19.200505785459107</c:v>
                </c:pt>
                <c:pt idx="10">
                  <c:v>23.411787388770911</c:v>
                </c:pt>
                <c:pt idx="11">
                  <c:v>20.59723063496169</c:v>
                </c:pt>
                <c:pt idx="12">
                  <c:v>18.823841580347139</c:v>
                </c:pt>
                <c:pt idx="13">
                  <c:v>22.019632822200244</c:v>
                </c:pt>
                <c:pt idx="14">
                  <c:v>20.456579476778554</c:v>
                </c:pt>
                <c:pt idx="15">
                  <c:v>18.217366354086437</c:v>
                </c:pt>
                <c:pt idx="16">
                  <c:v>20.546003061771593</c:v>
                </c:pt>
                <c:pt idx="17">
                  <c:v>23.53602178940826</c:v>
                </c:pt>
                <c:pt idx="18">
                  <c:v>18.100258030627103</c:v>
                </c:pt>
                <c:pt idx="19">
                  <c:v>15.616765903787206</c:v>
                </c:pt>
                <c:pt idx="20">
                  <c:v>12.739179647246173</c:v>
                </c:pt>
                <c:pt idx="21">
                  <c:v>13.830214819101009</c:v>
                </c:pt>
                <c:pt idx="22">
                  <c:v>16.585731575773245</c:v>
                </c:pt>
                <c:pt idx="23">
                  <c:v>19.457526141928433</c:v>
                </c:pt>
                <c:pt idx="24">
                  <c:v>18.58719326016125</c:v>
                </c:pt>
                <c:pt idx="25">
                  <c:v>16.487450890380494</c:v>
                </c:pt>
                <c:pt idx="26">
                  <c:v>23.552357542620854</c:v>
                </c:pt>
                <c:pt idx="27">
                  <c:v>18.515863283180959</c:v>
                </c:pt>
                <c:pt idx="28">
                  <c:v>8.3319187809380963</c:v>
                </c:pt>
                <c:pt idx="29">
                  <c:v>14.719659628521592</c:v>
                </c:pt>
                <c:pt idx="30">
                  <c:v>13.420210005364467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5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5'!$C$2:$C$762</c:f>
              <c:numCache>
                <c:formatCode>#,##0</c:formatCode>
                <c:ptCount val="761"/>
                <c:pt idx="0">
                  <c:v>130.432582</c:v>
                </c:pt>
                <c:pt idx="1">
                  <c:v>125.30426700000001</c:v>
                </c:pt>
                <c:pt idx="2">
                  <c:v>118.45305400000001</c:v>
                </c:pt>
                <c:pt idx="3">
                  <c:v>120.91914999999999</c:v>
                </c:pt>
                <c:pt idx="4">
                  <c:v>122.44054399999999</c:v>
                </c:pt>
                <c:pt idx="5">
                  <c:v>119.07494500000001</c:v>
                </c:pt>
                <c:pt idx="6">
                  <c:v>115.845618</c:v>
                </c:pt>
                <c:pt idx="7">
                  <c:v>118.86214200000001</c:v>
                </c:pt>
                <c:pt idx="8">
                  <c:v>115.86609900000001</c:v>
                </c:pt>
                <c:pt idx="9">
                  <c:v>119.418666</c:v>
                </c:pt>
                <c:pt idx="10">
                  <c:v>120.81569999999999</c:v>
                </c:pt>
                <c:pt idx="11">
                  <c:v>117.755326</c:v>
                </c:pt>
                <c:pt idx="12">
                  <c:v>86.216619000000009</c:v>
                </c:pt>
                <c:pt idx="13">
                  <c:v>69.040951000000007</c:v>
                </c:pt>
                <c:pt idx="14">
                  <c:v>76.778490000000005</c:v>
                </c:pt>
                <c:pt idx="15">
                  <c:v>61.620069999999998</c:v>
                </c:pt>
                <c:pt idx="16">
                  <c:v>63.527481999999999</c:v>
                </c:pt>
                <c:pt idx="17">
                  <c:v>68.204227000000003</c:v>
                </c:pt>
                <c:pt idx="18">
                  <c:v>22.012518</c:v>
                </c:pt>
                <c:pt idx="19">
                  <c:v>69.623384000000001</c:v>
                </c:pt>
                <c:pt idx="20">
                  <c:v>89.472590999999994</c:v>
                </c:pt>
                <c:pt idx="21">
                  <c:v>36.361680999999997</c:v>
                </c:pt>
                <c:pt idx="22">
                  <c:v>48.181832999999997</c:v>
                </c:pt>
                <c:pt idx="23">
                  <c:v>76.79440799999999</c:v>
                </c:pt>
                <c:pt idx="24">
                  <c:v>54.737656999999999</c:v>
                </c:pt>
                <c:pt idx="25">
                  <c:v>36.479742000000002</c:v>
                </c:pt>
                <c:pt idx="26">
                  <c:v>65.397288000000003</c:v>
                </c:pt>
                <c:pt idx="27">
                  <c:v>67.752014000000003</c:v>
                </c:pt>
                <c:pt idx="28">
                  <c:v>50.649194999999999</c:v>
                </c:pt>
                <c:pt idx="29">
                  <c:v>70.832736000000011</c:v>
                </c:pt>
                <c:pt idx="30">
                  <c:v>39.057870000000001</c:v>
                </c:pt>
                <c:pt idx="31">
                  <c:v>46.288249</c:v>
                </c:pt>
                <c:pt idx="32">
                  <c:v>40.837874000000006</c:v>
                </c:pt>
                <c:pt idx="33">
                  <c:v>52.930858000000001</c:v>
                </c:pt>
                <c:pt idx="34">
                  <c:v>41.972282</c:v>
                </c:pt>
                <c:pt idx="35">
                  <c:v>66.290897999999999</c:v>
                </c:pt>
                <c:pt idx="36">
                  <c:v>85.498978000000008</c:v>
                </c:pt>
                <c:pt idx="37">
                  <c:v>80.327264999999997</c:v>
                </c:pt>
                <c:pt idx="38">
                  <c:v>63.962266999999997</c:v>
                </c:pt>
                <c:pt idx="39">
                  <c:v>68.568135999999996</c:v>
                </c:pt>
                <c:pt idx="40">
                  <c:v>73.071536999999992</c:v>
                </c:pt>
                <c:pt idx="41">
                  <c:v>43.978161</c:v>
                </c:pt>
                <c:pt idx="42">
                  <c:v>59.310703000000004</c:v>
                </c:pt>
                <c:pt idx="43">
                  <c:v>73.495080000000002</c:v>
                </c:pt>
                <c:pt idx="44">
                  <c:v>80.31173600000001</c:v>
                </c:pt>
                <c:pt idx="45">
                  <c:v>71.540275999999992</c:v>
                </c:pt>
                <c:pt idx="46">
                  <c:v>59.781014000000006</c:v>
                </c:pt>
                <c:pt idx="47">
                  <c:v>70.298204999999996</c:v>
                </c:pt>
                <c:pt idx="48">
                  <c:v>82.669778000000008</c:v>
                </c:pt>
                <c:pt idx="49">
                  <c:v>86.880585999999994</c:v>
                </c:pt>
                <c:pt idx="50">
                  <c:v>80.872427000000002</c:v>
                </c:pt>
                <c:pt idx="51">
                  <c:v>72.541214000000011</c:v>
                </c:pt>
                <c:pt idx="52">
                  <c:v>81.340116000000009</c:v>
                </c:pt>
                <c:pt idx="53">
                  <c:v>89.022942000000015</c:v>
                </c:pt>
                <c:pt idx="54">
                  <c:v>91.742438000000007</c:v>
                </c:pt>
                <c:pt idx="55">
                  <c:v>82.709311</c:v>
                </c:pt>
                <c:pt idx="56">
                  <c:v>75.970869999999991</c:v>
                </c:pt>
                <c:pt idx="57">
                  <c:v>55.906965</c:v>
                </c:pt>
                <c:pt idx="58">
                  <c:v>29.955693</c:v>
                </c:pt>
                <c:pt idx="59">
                  <c:v>35.317715</c:v>
                </c:pt>
                <c:pt idx="60">
                  <c:v>25.651702</c:v>
                </c:pt>
                <c:pt idx="61">
                  <c:v>47.024774000000001</c:v>
                </c:pt>
                <c:pt idx="62">
                  <c:v>72.391619999999989</c:v>
                </c:pt>
                <c:pt idx="63">
                  <c:v>66.101892000000007</c:v>
                </c:pt>
                <c:pt idx="64">
                  <c:v>32.806052000000001</c:v>
                </c:pt>
                <c:pt idx="65">
                  <c:v>38.519732000000005</c:v>
                </c:pt>
                <c:pt idx="66">
                  <c:v>40.338355999999997</c:v>
                </c:pt>
                <c:pt idx="67">
                  <c:v>32.601993999999998</c:v>
                </c:pt>
                <c:pt idx="68">
                  <c:v>51.204957999999998</c:v>
                </c:pt>
                <c:pt idx="69">
                  <c:v>42.002099000000001</c:v>
                </c:pt>
                <c:pt idx="70">
                  <c:v>44.956557000000004</c:v>
                </c:pt>
                <c:pt idx="71">
                  <c:v>58.690300000000001</c:v>
                </c:pt>
                <c:pt idx="72">
                  <c:v>47.111885999999998</c:v>
                </c:pt>
                <c:pt idx="73">
                  <c:v>48.781883999999998</c:v>
                </c:pt>
                <c:pt idx="74">
                  <c:v>80.165981999999985</c:v>
                </c:pt>
                <c:pt idx="75">
                  <c:v>81.865934999999993</c:v>
                </c:pt>
                <c:pt idx="76">
                  <c:v>82.034505999999993</c:v>
                </c:pt>
                <c:pt idx="77">
                  <c:v>79.493524000000008</c:v>
                </c:pt>
                <c:pt idx="78">
                  <c:v>80.229129</c:v>
                </c:pt>
                <c:pt idx="79">
                  <c:v>79.453175000000002</c:v>
                </c:pt>
                <c:pt idx="80">
                  <c:v>47.886561</c:v>
                </c:pt>
                <c:pt idx="81">
                  <c:v>78.245908000000014</c:v>
                </c:pt>
                <c:pt idx="82">
                  <c:v>78.925466999999998</c:v>
                </c:pt>
                <c:pt idx="83">
                  <c:v>78.612109000000004</c:v>
                </c:pt>
                <c:pt idx="84">
                  <c:v>78.176388000000003</c:v>
                </c:pt>
                <c:pt idx="85">
                  <c:v>72.253319000000005</c:v>
                </c:pt>
                <c:pt idx="86">
                  <c:v>58.556135999999995</c:v>
                </c:pt>
                <c:pt idx="87">
                  <c:v>60.355708</c:v>
                </c:pt>
                <c:pt idx="88">
                  <c:v>43.214978000000002</c:v>
                </c:pt>
                <c:pt idx="89">
                  <c:v>26.99569</c:v>
                </c:pt>
                <c:pt idx="90">
                  <c:v>69.958248999999995</c:v>
                </c:pt>
                <c:pt idx="91">
                  <c:v>35.382241999999998</c:v>
                </c:pt>
                <c:pt idx="92">
                  <c:v>65.430025999999998</c:v>
                </c:pt>
                <c:pt idx="93">
                  <c:v>47.960481000000001</c:v>
                </c:pt>
                <c:pt idx="94">
                  <c:v>34.651142</c:v>
                </c:pt>
                <c:pt idx="95">
                  <c:v>24.720465000000001</c:v>
                </c:pt>
                <c:pt idx="96">
                  <c:v>60.722881999999998</c:v>
                </c:pt>
                <c:pt idx="97">
                  <c:v>76.909234999999995</c:v>
                </c:pt>
                <c:pt idx="98">
                  <c:v>83.36531699999999</c:v>
                </c:pt>
                <c:pt idx="99">
                  <c:v>63.771609000000005</c:v>
                </c:pt>
                <c:pt idx="100">
                  <c:v>36.002093000000002</c:v>
                </c:pt>
                <c:pt idx="101">
                  <c:v>32.02693</c:v>
                </c:pt>
                <c:pt idx="102">
                  <c:v>61.908797</c:v>
                </c:pt>
                <c:pt idx="103">
                  <c:v>70.377947000000006</c:v>
                </c:pt>
                <c:pt idx="104">
                  <c:v>43.785226999999999</c:v>
                </c:pt>
                <c:pt idx="105">
                  <c:v>44.072997000000001</c:v>
                </c:pt>
                <c:pt idx="106">
                  <c:v>22.149871999999998</c:v>
                </c:pt>
                <c:pt idx="107">
                  <c:v>32.080852999999998</c:v>
                </c:pt>
                <c:pt idx="108">
                  <c:v>44.327406000000003</c:v>
                </c:pt>
                <c:pt idx="109">
                  <c:v>43.507561000000003</c:v>
                </c:pt>
                <c:pt idx="110">
                  <c:v>21.147915000000001</c:v>
                </c:pt>
                <c:pt idx="111">
                  <c:v>71.517696000000001</c:v>
                </c:pt>
                <c:pt idx="112">
                  <c:v>81.185708000000005</c:v>
                </c:pt>
                <c:pt idx="113">
                  <c:v>80.471592000000001</c:v>
                </c:pt>
                <c:pt idx="114">
                  <c:v>87.804777999999999</c:v>
                </c:pt>
                <c:pt idx="115">
                  <c:v>91.826278000000002</c:v>
                </c:pt>
                <c:pt idx="116">
                  <c:v>91.982301000000007</c:v>
                </c:pt>
                <c:pt idx="117">
                  <c:v>87.342753999999999</c:v>
                </c:pt>
                <c:pt idx="118">
                  <c:v>86.535828999999993</c:v>
                </c:pt>
                <c:pt idx="119">
                  <c:v>79.319478000000004</c:v>
                </c:pt>
                <c:pt idx="120">
                  <c:v>58.766905000000001</c:v>
                </c:pt>
                <c:pt idx="121">
                  <c:v>73.831197000000003</c:v>
                </c:pt>
                <c:pt idx="122">
                  <c:v>84.655586999999997</c:v>
                </c:pt>
                <c:pt idx="123">
                  <c:v>104.493128</c:v>
                </c:pt>
                <c:pt idx="124">
                  <c:v>107.70524899999999</c:v>
                </c:pt>
                <c:pt idx="125">
                  <c:v>105.820611</c:v>
                </c:pt>
                <c:pt idx="126">
                  <c:v>107.220388</c:v>
                </c:pt>
                <c:pt idx="127">
                  <c:v>85.764502999999991</c:v>
                </c:pt>
                <c:pt idx="128">
                  <c:v>83.446739999999991</c:v>
                </c:pt>
                <c:pt idx="129">
                  <c:v>61.497343000000001</c:v>
                </c:pt>
                <c:pt idx="130">
                  <c:v>37.377444000000004</c:v>
                </c:pt>
                <c:pt idx="131">
                  <c:v>29.317591</c:v>
                </c:pt>
                <c:pt idx="132">
                  <c:v>76.884963999999997</c:v>
                </c:pt>
                <c:pt idx="133">
                  <c:v>40.164586999999997</c:v>
                </c:pt>
                <c:pt idx="134">
                  <c:v>85.811510000000013</c:v>
                </c:pt>
                <c:pt idx="135">
                  <c:v>78.004092</c:v>
                </c:pt>
                <c:pt idx="136">
                  <c:v>75.42201</c:v>
                </c:pt>
                <c:pt idx="137">
                  <c:v>40.57085</c:v>
                </c:pt>
                <c:pt idx="138">
                  <c:v>91.467905000000002</c:v>
                </c:pt>
                <c:pt idx="139">
                  <c:v>125.382549</c:v>
                </c:pt>
                <c:pt idx="140">
                  <c:v>116.10747099999999</c:v>
                </c:pt>
                <c:pt idx="141">
                  <c:v>123.768477</c:v>
                </c:pt>
                <c:pt idx="142">
                  <c:v>124.062955</c:v>
                </c:pt>
                <c:pt idx="143">
                  <c:v>104.024736</c:v>
                </c:pt>
                <c:pt idx="144">
                  <c:v>70.729303000000002</c:v>
                </c:pt>
                <c:pt idx="145">
                  <c:v>97.341922999999994</c:v>
                </c:pt>
                <c:pt idx="146">
                  <c:v>96.952414000000005</c:v>
                </c:pt>
                <c:pt idx="147">
                  <c:v>51.158391999999999</c:v>
                </c:pt>
                <c:pt idx="148">
                  <c:v>84.87567</c:v>
                </c:pt>
                <c:pt idx="149">
                  <c:v>101.70175399999999</c:v>
                </c:pt>
                <c:pt idx="150">
                  <c:v>126.59962</c:v>
                </c:pt>
                <c:pt idx="151">
                  <c:v>119.143816</c:v>
                </c:pt>
                <c:pt idx="152">
                  <c:v>122.11869899999999</c:v>
                </c:pt>
                <c:pt idx="153">
                  <c:v>55.567951000000001</c:v>
                </c:pt>
                <c:pt idx="154">
                  <c:v>96.701739000000003</c:v>
                </c:pt>
                <c:pt idx="155">
                  <c:v>72.520445000000009</c:v>
                </c:pt>
                <c:pt idx="156">
                  <c:v>141.51600299999998</c:v>
                </c:pt>
                <c:pt idx="157">
                  <c:v>139.885141</c:v>
                </c:pt>
                <c:pt idx="158">
                  <c:v>72.104758000000004</c:v>
                </c:pt>
                <c:pt idx="159">
                  <c:v>82.392664000000011</c:v>
                </c:pt>
                <c:pt idx="160">
                  <c:v>47.828806999999998</c:v>
                </c:pt>
                <c:pt idx="161">
                  <c:v>72.627145999999996</c:v>
                </c:pt>
                <c:pt idx="162">
                  <c:v>120.249878</c:v>
                </c:pt>
                <c:pt idx="163">
                  <c:v>148.35287700000001</c:v>
                </c:pt>
                <c:pt idx="164">
                  <c:v>142.369595</c:v>
                </c:pt>
                <c:pt idx="165">
                  <c:v>116.08085000000001</c:v>
                </c:pt>
                <c:pt idx="166">
                  <c:v>121.48374000000001</c:v>
                </c:pt>
                <c:pt idx="167">
                  <c:v>130.81258299999999</c:v>
                </c:pt>
                <c:pt idx="168">
                  <c:v>124.90538599999999</c:v>
                </c:pt>
                <c:pt idx="169">
                  <c:v>105.00185400000001</c:v>
                </c:pt>
                <c:pt idx="170">
                  <c:v>123.37160399999999</c:v>
                </c:pt>
                <c:pt idx="171">
                  <c:v>105.09590799999999</c:v>
                </c:pt>
                <c:pt idx="172">
                  <c:v>98.39542999999999</c:v>
                </c:pt>
                <c:pt idx="173">
                  <c:v>110.21183000000001</c:v>
                </c:pt>
                <c:pt idx="174">
                  <c:v>86.283113999999998</c:v>
                </c:pt>
                <c:pt idx="175">
                  <c:v>70.281137000000001</c:v>
                </c:pt>
                <c:pt idx="176">
                  <c:v>51.423927999999997</c:v>
                </c:pt>
                <c:pt idx="177">
                  <c:v>95.094104000000002</c:v>
                </c:pt>
                <c:pt idx="178">
                  <c:v>71.113115999999991</c:v>
                </c:pt>
                <c:pt idx="179">
                  <c:v>72.591762000000003</c:v>
                </c:pt>
                <c:pt idx="180">
                  <c:v>70.004452000000001</c:v>
                </c:pt>
                <c:pt idx="181">
                  <c:v>73.258577000000002</c:v>
                </c:pt>
                <c:pt idx="182">
                  <c:v>56.576115999999999</c:v>
                </c:pt>
                <c:pt idx="183">
                  <c:v>110.617662</c:v>
                </c:pt>
                <c:pt idx="184">
                  <c:v>100.563721</c:v>
                </c:pt>
                <c:pt idx="185">
                  <c:v>127.454972</c:v>
                </c:pt>
                <c:pt idx="186">
                  <c:v>133.29243599999998</c:v>
                </c:pt>
                <c:pt idx="187">
                  <c:v>129.717265</c:v>
                </c:pt>
                <c:pt idx="188">
                  <c:v>67.144410000000008</c:v>
                </c:pt>
                <c:pt idx="189">
                  <c:v>87.659811000000005</c:v>
                </c:pt>
                <c:pt idx="190">
                  <c:v>102.884333</c:v>
                </c:pt>
                <c:pt idx="191">
                  <c:v>139.20560200000003</c:v>
                </c:pt>
                <c:pt idx="192">
                  <c:v>135.94129100000001</c:v>
                </c:pt>
                <c:pt idx="193">
                  <c:v>145.73245600000001</c:v>
                </c:pt>
                <c:pt idx="194">
                  <c:v>153.19438</c:v>
                </c:pt>
                <c:pt idx="195">
                  <c:v>131.437084</c:v>
                </c:pt>
                <c:pt idx="196">
                  <c:v>121.77601799999999</c:v>
                </c:pt>
                <c:pt idx="197">
                  <c:v>139.22938199999999</c:v>
                </c:pt>
                <c:pt idx="198">
                  <c:v>146.43443600000001</c:v>
                </c:pt>
                <c:pt idx="199">
                  <c:v>145.45671999999999</c:v>
                </c:pt>
                <c:pt idx="200">
                  <c:v>149.47644099999999</c:v>
                </c:pt>
                <c:pt idx="201">
                  <c:v>156.89545799999999</c:v>
                </c:pt>
                <c:pt idx="202">
                  <c:v>138.89298000000002</c:v>
                </c:pt>
                <c:pt idx="203">
                  <c:v>134.99850499999999</c:v>
                </c:pt>
                <c:pt idx="204">
                  <c:v>143.62547400000003</c:v>
                </c:pt>
                <c:pt idx="205">
                  <c:v>159.20101200000002</c:v>
                </c:pt>
                <c:pt idx="206">
                  <c:v>181.02885599999999</c:v>
                </c:pt>
                <c:pt idx="207">
                  <c:v>141.17770400000001</c:v>
                </c:pt>
                <c:pt idx="208">
                  <c:v>127.54322500000001</c:v>
                </c:pt>
                <c:pt idx="209">
                  <c:v>109.72990300000001</c:v>
                </c:pt>
                <c:pt idx="210">
                  <c:v>136.06989300000001</c:v>
                </c:pt>
                <c:pt idx="211">
                  <c:v>129.36293000000001</c:v>
                </c:pt>
                <c:pt idx="212">
                  <c:v>128.55420799999999</c:v>
                </c:pt>
                <c:pt idx="213">
                  <c:v>109.82363700000001</c:v>
                </c:pt>
                <c:pt idx="214">
                  <c:v>161.784434</c:v>
                </c:pt>
                <c:pt idx="215">
                  <c:v>178.44599199999999</c:v>
                </c:pt>
                <c:pt idx="216">
                  <c:v>158.96108800000002</c:v>
                </c:pt>
                <c:pt idx="217">
                  <c:v>117.60462600000001</c:v>
                </c:pt>
                <c:pt idx="218">
                  <c:v>148.74340700000002</c:v>
                </c:pt>
                <c:pt idx="219">
                  <c:v>180.023889</c:v>
                </c:pt>
                <c:pt idx="220">
                  <c:v>180.497052</c:v>
                </c:pt>
                <c:pt idx="221">
                  <c:v>170.38241500000001</c:v>
                </c:pt>
                <c:pt idx="222">
                  <c:v>172.83320599999999</c:v>
                </c:pt>
                <c:pt idx="223">
                  <c:v>141.24041</c:v>
                </c:pt>
                <c:pt idx="224">
                  <c:v>132.454678</c:v>
                </c:pt>
                <c:pt idx="225">
                  <c:v>159.569872</c:v>
                </c:pt>
                <c:pt idx="226">
                  <c:v>150.03524900000002</c:v>
                </c:pt>
                <c:pt idx="227">
                  <c:v>166.33568300000002</c:v>
                </c:pt>
                <c:pt idx="228">
                  <c:v>152.46536600000002</c:v>
                </c:pt>
                <c:pt idx="229">
                  <c:v>144.41933300000002</c:v>
                </c:pt>
                <c:pt idx="230">
                  <c:v>174.23653200000001</c:v>
                </c:pt>
                <c:pt idx="231">
                  <c:v>139.01047399999999</c:v>
                </c:pt>
                <c:pt idx="232">
                  <c:v>161.96756500000001</c:v>
                </c:pt>
                <c:pt idx="233">
                  <c:v>162.45104500000002</c:v>
                </c:pt>
                <c:pt idx="234">
                  <c:v>178.88222200000001</c:v>
                </c:pt>
                <c:pt idx="235">
                  <c:v>181.39443499999999</c:v>
                </c:pt>
                <c:pt idx="236">
                  <c:v>198.83987200000001</c:v>
                </c:pt>
                <c:pt idx="237">
                  <c:v>179.37997000000001</c:v>
                </c:pt>
                <c:pt idx="238">
                  <c:v>145.327631</c:v>
                </c:pt>
                <c:pt idx="239">
                  <c:v>184.18776599999998</c:v>
                </c:pt>
                <c:pt idx="240">
                  <c:v>184.26521700000001</c:v>
                </c:pt>
                <c:pt idx="241">
                  <c:v>190.60167899999999</c:v>
                </c:pt>
                <c:pt idx="242">
                  <c:v>177.76068900000001</c:v>
                </c:pt>
                <c:pt idx="243">
                  <c:v>158.66071700000001</c:v>
                </c:pt>
                <c:pt idx="244">
                  <c:v>147.87666700000003</c:v>
                </c:pt>
                <c:pt idx="245">
                  <c:v>151.50779699999998</c:v>
                </c:pt>
                <c:pt idx="246">
                  <c:v>176.83338599999999</c:v>
                </c:pt>
                <c:pt idx="247">
                  <c:v>189.30363900000003</c:v>
                </c:pt>
                <c:pt idx="248">
                  <c:v>184.41141099999999</c:v>
                </c:pt>
                <c:pt idx="249">
                  <c:v>163.438928</c:v>
                </c:pt>
                <c:pt idx="250">
                  <c:v>133.16868500000001</c:v>
                </c:pt>
                <c:pt idx="251">
                  <c:v>123.673928</c:v>
                </c:pt>
                <c:pt idx="252">
                  <c:v>112.13243199999998</c:v>
                </c:pt>
                <c:pt idx="253">
                  <c:v>123.059034</c:v>
                </c:pt>
                <c:pt idx="254">
                  <c:v>157.393722</c:v>
                </c:pt>
                <c:pt idx="255">
                  <c:v>153.54156099999997</c:v>
                </c:pt>
                <c:pt idx="256">
                  <c:v>178.42045999999999</c:v>
                </c:pt>
                <c:pt idx="257">
                  <c:v>185.63656800000001</c:v>
                </c:pt>
                <c:pt idx="258">
                  <c:v>156.48865700000002</c:v>
                </c:pt>
                <c:pt idx="259">
                  <c:v>146.635043</c:v>
                </c:pt>
                <c:pt idx="260">
                  <c:v>198.71553900000001</c:v>
                </c:pt>
                <c:pt idx="261">
                  <c:v>143.64317499999999</c:v>
                </c:pt>
                <c:pt idx="262">
                  <c:v>139.86172399999998</c:v>
                </c:pt>
                <c:pt idx="263">
                  <c:v>153.71248399999999</c:v>
                </c:pt>
                <c:pt idx="264">
                  <c:v>201.16819099999998</c:v>
                </c:pt>
                <c:pt idx="265">
                  <c:v>173.846226</c:v>
                </c:pt>
                <c:pt idx="266">
                  <c:v>149.951358</c:v>
                </c:pt>
                <c:pt idx="267">
                  <c:v>191.35134299999999</c:v>
                </c:pt>
                <c:pt idx="268">
                  <c:v>191.65865400000001</c:v>
                </c:pt>
                <c:pt idx="269">
                  <c:v>153.04221900000002</c:v>
                </c:pt>
                <c:pt idx="270">
                  <c:v>143.51155800000001</c:v>
                </c:pt>
                <c:pt idx="271">
                  <c:v>121.09355000000001</c:v>
                </c:pt>
                <c:pt idx="272">
                  <c:v>102.74132399999999</c:v>
                </c:pt>
                <c:pt idx="273">
                  <c:v>152.093672</c:v>
                </c:pt>
                <c:pt idx="274">
                  <c:v>176.68966500000002</c:v>
                </c:pt>
                <c:pt idx="275">
                  <c:v>199.131606</c:v>
                </c:pt>
                <c:pt idx="276">
                  <c:v>203.566722</c:v>
                </c:pt>
                <c:pt idx="277">
                  <c:v>198.899293</c:v>
                </c:pt>
                <c:pt idx="278">
                  <c:v>194.11130199999999</c:v>
                </c:pt>
                <c:pt idx="279">
                  <c:v>150.343636</c:v>
                </c:pt>
                <c:pt idx="280">
                  <c:v>159.93816700000002</c:v>
                </c:pt>
                <c:pt idx="281">
                  <c:v>194.41218799999999</c:v>
                </c:pt>
                <c:pt idx="282">
                  <c:v>194.626385</c:v>
                </c:pt>
                <c:pt idx="283">
                  <c:v>202.80241800000002</c:v>
                </c:pt>
                <c:pt idx="284">
                  <c:v>202.98172200000002</c:v>
                </c:pt>
                <c:pt idx="285">
                  <c:v>209.10517899999999</c:v>
                </c:pt>
                <c:pt idx="286">
                  <c:v>187.23530700000001</c:v>
                </c:pt>
                <c:pt idx="287">
                  <c:v>171.06237100000001</c:v>
                </c:pt>
                <c:pt idx="288">
                  <c:v>183.149687</c:v>
                </c:pt>
                <c:pt idx="289">
                  <c:v>203.86247800000001</c:v>
                </c:pt>
                <c:pt idx="290">
                  <c:v>194.27258300000003</c:v>
                </c:pt>
                <c:pt idx="291">
                  <c:v>151.60473499999998</c:v>
                </c:pt>
                <c:pt idx="292">
                  <c:v>194.51468600000001</c:v>
                </c:pt>
                <c:pt idx="293">
                  <c:v>184.63639000000001</c:v>
                </c:pt>
                <c:pt idx="294">
                  <c:v>174.48697399999998</c:v>
                </c:pt>
                <c:pt idx="295">
                  <c:v>195.17292699999999</c:v>
                </c:pt>
                <c:pt idx="296">
                  <c:v>196.96767700000001</c:v>
                </c:pt>
                <c:pt idx="297">
                  <c:v>195.58769699999999</c:v>
                </c:pt>
                <c:pt idx="298">
                  <c:v>194.10183599999999</c:v>
                </c:pt>
                <c:pt idx="299">
                  <c:v>188.18512100000001</c:v>
                </c:pt>
                <c:pt idx="300">
                  <c:v>185.64965900000001</c:v>
                </c:pt>
                <c:pt idx="301">
                  <c:v>164.67664500000001</c:v>
                </c:pt>
                <c:pt idx="302">
                  <c:v>121.90305499999999</c:v>
                </c:pt>
                <c:pt idx="303">
                  <c:v>168.957615</c:v>
                </c:pt>
                <c:pt idx="304">
                  <c:v>191.12423899999999</c:v>
                </c:pt>
                <c:pt idx="305">
                  <c:v>196.11937300000002</c:v>
                </c:pt>
                <c:pt idx="306">
                  <c:v>188.98823899999999</c:v>
                </c:pt>
                <c:pt idx="307">
                  <c:v>190.47813199999999</c:v>
                </c:pt>
                <c:pt idx="308">
                  <c:v>188.98171899999997</c:v>
                </c:pt>
                <c:pt idx="309">
                  <c:v>189.37079</c:v>
                </c:pt>
                <c:pt idx="310">
                  <c:v>188.47948499999998</c:v>
                </c:pt>
                <c:pt idx="311">
                  <c:v>188.309899</c:v>
                </c:pt>
                <c:pt idx="312">
                  <c:v>189.579992</c:v>
                </c:pt>
                <c:pt idx="313">
                  <c:v>187.39336799999998</c:v>
                </c:pt>
                <c:pt idx="314">
                  <c:v>175.079285</c:v>
                </c:pt>
                <c:pt idx="315">
                  <c:v>164.71506200000002</c:v>
                </c:pt>
                <c:pt idx="316">
                  <c:v>182.866716</c:v>
                </c:pt>
                <c:pt idx="317">
                  <c:v>145.14749899999998</c:v>
                </c:pt>
                <c:pt idx="318">
                  <c:v>164.38659600000003</c:v>
                </c:pt>
                <c:pt idx="319">
                  <c:v>169.91611600000002</c:v>
                </c:pt>
                <c:pt idx="320">
                  <c:v>184.19095299999998</c:v>
                </c:pt>
                <c:pt idx="321">
                  <c:v>181.32051999999999</c:v>
                </c:pt>
                <c:pt idx="322">
                  <c:v>171.19280000000001</c:v>
                </c:pt>
                <c:pt idx="323">
                  <c:v>182.97993100000002</c:v>
                </c:pt>
                <c:pt idx="324">
                  <c:v>174.32943399999999</c:v>
                </c:pt>
                <c:pt idx="325">
                  <c:v>162.15605600000001</c:v>
                </c:pt>
                <c:pt idx="326">
                  <c:v>169.56846200000001</c:v>
                </c:pt>
                <c:pt idx="327">
                  <c:v>170.49988399999998</c:v>
                </c:pt>
                <c:pt idx="328">
                  <c:v>161.41380299999997</c:v>
                </c:pt>
                <c:pt idx="329">
                  <c:v>135.528899</c:v>
                </c:pt>
                <c:pt idx="330">
                  <c:v>164.40447</c:v>
                </c:pt>
                <c:pt idx="331">
                  <c:v>168.75790499999999</c:v>
                </c:pt>
                <c:pt idx="332">
                  <c:v>164.65436700000001</c:v>
                </c:pt>
                <c:pt idx="333">
                  <c:v>129.18781100000001</c:v>
                </c:pt>
                <c:pt idx="334">
                  <c:v>141.19395699999998</c:v>
                </c:pt>
                <c:pt idx="335">
                  <c:v>124.820413</c:v>
                </c:pt>
                <c:pt idx="336">
                  <c:v>147.09208899999999</c:v>
                </c:pt>
                <c:pt idx="337">
                  <c:v>154.875821</c:v>
                </c:pt>
                <c:pt idx="338">
                  <c:v>152.22384700000001</c:v>
                </c:pt>
                <c:pt idx="339">
                  <c:v>154.39799200000002</c:v>
                </c:pt>
                <c:pt idx="340">
                  <c:v>152.64863500000001</c:v>
                </c:pt>
                <c:pt idx="341">
                  <c:v>172.492266</c:v>
                </c:pt>
                <c:pt idx="342">
                  <c:v>147.21313199999997</c:v>
                </c:pt>
                <c:pt idx="343">
                  <c:v>150.484036</c:v>
                </c:pt>
                <c:pt idx="344">
                  <c:v>178.53101699999999</c:v>
                </c:pt>
                <c:pt idx="345">
                  <c:v>169.755436</c:v>
                </c:pt>
                <c:pt idx="346">
                  <c:v>160.405428</c:v>
                </c:pt>
                <c:pt idx="347">
                  <c:v>150.056736</c:v>
                </c:pt>
                <c:pt idx="348">
                  <c:v>150.11576099999999</c:v>
                </c:pt>
                <c:pt idx="349">
                  <c:v>151.54077600000002</c:v>
                </c:pt>
                <c:pt idx="350">
                  <c:v>134.64170300000001</c:v>
                </c:pt>
                <c:pt idx="351">
                  <c:v>156.75048899999999</c:v>
                </c:pt>
                <c:pt idx="352">
                  <c:v>142.309403</c:v>
                </c:pt>
                <c:pt idx="353">
                  <c:v>129.33869899999999</c:v>
                </c:pt>
                <c:pt idx="354">
                  <c:v>93.914507</c:v>
                </c:pt>
                <c:pt idx="355">
                  <c:v>101.186432</c:v>
                </c:pt>
                <c:pt idx="356">
                  <c:v>96.45611199999999</c:v>
                </c:pt>
                <c:pt idx="357">
                  <c:v>120.73844800000001</c:v>
                </c:pt>
                <c:pt idx="358">
                  <c:v>141.30880300000001</c:v>
                </c:pt>
                <c:pt idx="359">
                  <c:v>91.882216999999997</c:v>
                </c:pt>
                <c:pt idx="360">
                  <c:v>83.148853000000003</c:v>
                </c:pt>
                <c:pt idx="361">
                  <c:v>97.209322999999998</c:v>
                </c:pt>
                <c:pt idx="362">
                  <c:v>128.791965</c:v>
                </c:pt>
                <c:pt idx="363">
                  <c:v>137.79656299999999</c:v>
                </c:pt>
                <c:pt idx="364">
                  <c:v>126.725829</c:v>
                </c:pt>
                <c:pt idx="365">
                  <c:v>154.64047299999999</c:v>
                </c:pt>
                <c:pt idx="366">
                  <c:v>133.02673199999998</c:v>
                </c:pt>
                <c:pt idx="367">
                  <c:v>92.835843999999994</c:v>
                </c:pt>
                <c:pt idx="368">
                  <c:v>129.10218599999999</c:v>
                </c:pt>
                <c:pt idx="369">
                  <c:v>135.96545800000001</c:v>
                </c:pt>
                <c:pt idx="370">
                  <c:v>115.931186</c:v>
                </c:pt>
                <c:pt idx="371">
                  <c:v>92.309816000000012</c:v>
                </c:pt>
                <c:pt idx="372">
                  <c:v>59.648371000000004</c:v>
                </c:pt>
                <c:pt idx="373">
                  <c:v>83.276202999999995</c:v>
                </c:pt>
                <c:pt idx="374">
                  <c:v>63.043931000000001</c:v>
                </c:pt>
                <c:pt idx="375">
                  <c:v>120.443422</c:v>
                </c:pt>
                <c:pt idx="376">
                  <c:v>77.656345999999985</c:v>
                </c:pt>
                <c:pt idx="377">
                  <c:v>41.629035000000002</c:v>
                </c:pt>
                <c:pt idx="378">
                  <c:v>86.045024999999995</c:v>
                </c:pt>
                <c:pt idx="379">
                  <c:v>64.956184000000007</c:v>
                </c:pt>
                <c:pt idx="380">
                  <c:v>50.148288999999998</c:v>
                </c:pt>
                <c:pt idx="381">
                  <c:v>82.865889999999993</c:v>
                </c:pt>
                <c:pt idx="382">
                  <c:v>89.771204999999995</c:v>
                </c:pt>
                <c:pt idx="383">
                  <c:v>104.71456099999999</c:v>
                </c:pt>
                <c:pt idx="384">
                  <c:v>94.470303000000001</c:v>
                </c:pt>
                <c:pt idx="385">
                  <c:v>100.43535</c:v>
                </c:pt>
                <c:pt idx="386">
                  <c:v>128.75581500000001</c:v>
                </c:pt>
                <c:pt idx="387">
                  <c:v>111.03649500000002</c:v>
                </c:pt>
                <c:pt idx="388">
                  <c:v>112.976062</c:v>
                </c:pt>
                <c:pt idx="389">
                  <c:v>105.95544599999999</c:v>
                </c:pt>
                <c:pt idx="390">
                  <c:v>66.978003000000001</c:v>
                </c:pt>
                <c:pt idx="391">
                  <c:v>72.411600000000007</c:v>
                </c:pt>
                <c:pt idx="392">
                  <c:v>74.568365</c:v>
                </c:pt>
                <c:pt idx="393">
                  <c:v>93.970867999999996</c:v>
                </c:pt>
                <c:pt idx="394">
                  <c:v>33.239227999999997</c:v>
                </c:pt>
                <c:pt idx="395">
                  <c:v>57.047248999999994</c:v>
                </c:pt>
                <c:pt idx="396">
                  <c:v>54.442112999999999</c:v>
                </c:pt>
                <c:pt idx="397">
                  <c:v>74.426558999999997</c:v>
                </c:pt>
                <c:pt idx="398">
                  <c:v>98.642569000000009</c:v>
                </c:pt>
                <c:pt idx="399">
                  <c:v>94.025517000000008</c:v>
                </c:pt>
                <c:pt idx="400">
                  <c:v>81.757421000000008</c:v>
                </c:pt>
                <c:pt idx="401">
                  <c:v>89.750508999999994</c:v>
                </c:pt>
                <c:pt idx="402">
                  <c:v>109.71186200000001</c:v>
                </c:pt>
                <c:pt idx="403">
                  <c:v>100.23807600000001</c:v>
                </c:pt>
                <c:pt idx="404">
                  <c:v>50.781663000000002</c:v>
                </c:pt>
                <c:pt idx="405">
                  <c:v>78.169955000000002</c:v>
                </c:pt>
                <c:pt idx="406">
                  <c:v>97.480756</c:v>
                </c:pt>
                <c:pt idx="407">
                  <c:v>99.553542000000007</c:v>
                </c:pt>
                <c:pt idx="408">
                  <c:v>94.640654999999995</c:v>
                </c:pt>
                <c:pt idx="409">
                  <c:v>39.911791000000001</c:v>
                </c:pt>
                <c:pt idx="410">
                  <c:v>41.106451999999997</c:v>
                </c:pt>
                <c:pt idx="411">
                  <c:v>62.695011000000001</c:v>
                </c:pt>
                <c:pt idx="412">
                  <c:v>66.970986000000011</c:v>
                </c:pt>
                <c:pt idx="413">
                  <c:v>66.914023</c:v>
                </c:pt>
                <c:pt idx="414">
                  <c:v>89.133653999999993</c:v>
                </c:pt>
                <c:pt idx="415">
                  <c:v>74.652422999999999</c:v>
                </c:pt>
                <c:pt idx="416">
                  <c:v>84.768444000000002</c:v>
                </c:pt>
                <c:pt idx="417">
                  <c:v>42.151499000000001</c:v>
                </c:pt>
                <c:pt idx="418">
                  <c:v>58.160812999999997</c:v>
                </c:pt>
                <c:pt idx="419">
                  <c:v>80.618313000000001</c:v>
                </c:pt>
                <c:pt idx="420">
                  <c:v>51.798917000000003</c:v>
                </c:pt>
                <c:pt idx="421">
                  <c:v>55.326330999999996</c:v>
                </c:pt>
                <c:pt idx="422">
                  <c:v>64.101357000000007</c:v>
                </c:pt>
                <c:pt idx="423">
                  <c:v>93.194969999999998</c:v>
                </c:pt>
                <c:pt idx="424">
                  <c:v>87.411062999999999</c:v>
                </c:pt>
                <c:pt idx="425">
                  <c:v>69.117960000000011</c:v>
                </c:pt>
                <c:pt idx="426">
                  <c:v>80.847859999999997</c:v>
                </c:pt>
                <c:pt idx="427">
                  <c:v>50.372580999999997</c:v>
                </c:pt>
                <c:pt idx="428">
                  <c:v>57.035404999999997</c:v>
                </c:pt>
                <c:pt idx="429">
                  <c:v>60.978746000000001</c:v>
                </c:pt>
                <c:pt idx="430">
                  <c:v>77.795842999999991</c:v>
                </c:pt>
                <c:pt idx="431">
                  <c:v>85.488790999999992</c:v>
                </c:pt>
                <c:pt idx="432">
                  <c:v>79.789164999999997</c:v>
                </c:pt>
                <c:pt idx="433">
                  <c:v>71.945085999999989</c:v>
                </c:pt>
                <c:pt idx="434">
                  <c:v>80.554946000000001</c:v>
                </c:pt>
                <c:pt idx="435">
                  <c:v>89.193346999999989</c:v>
                </c:pt>
                <c:pt idx="436">
                  <c:v>92.45692600000001</c:v>
                </c:pt>
                <c:pt idx="437">
                  <c:v>62.781105000000004</c:v>
                </c:pt>
                <c:pt idx="438">
                  <c:v>54.772286999999999</c:v>
                </c:pt>
                <c:pt idx="439">
                  <c:v>70.571113999999994</c:v>
                </c:pt>
                <c:pt idx="440">
                  <c:v>78.080439999999996</c:v>
                </c:pt>
                <c:pt idx="441">
                  <c:v>85.188813999999994</c:v>
                </c:pt>
                <c:pt idx="442">
                  <c:v>95.217713000000003</c:v>
                </c:pt>
                <c:pt idx="443">
                  <c:v>73.913055</c:v>
                </c:pt>
                <c:pt idx="444">
                  <c:v>69.242447999999996</c:v>
                </c:pt>
                <c:pt idx="445">
                  <c:v>47.243042000000003</c:v>
                </c:pt>
                <c:pt idx="446">
                  <c:v>87.999273999999986</c:v>
                </c:pt>
                <c:pt idx="447">
                  <c:v>95.746225999999993</c:v>
                </c:pt>
                <c:pt idx="448">
                  <c:v>97.264843999999997</c:v>
                </c:pt>
                <c:pt idx="449">
                  <c:v>91.780792000000005</c:v>
                </c:pt>
                <c:pt idx="450">
                  <c:v>94.022751</c:v>
                </c:pt>
                <c:pt idx="451">
                  <c:v>95.685118000000003</c:v>
                </c:pt>
                <c:pt idx="452">
                  <c:v>81.822732999999999</c:v>
                </c:pt>
                <c:pt idx="453">
                  <c:v>85.083970000000008</c:v>
                </c:pt>
                <c:pt idx="454">
                  <c:v>86.094481999999999</c:v>
                </c:pt>
                <c:pt idx="455">
                  <c:v>83.740314999999995</c:v>
                </c:pt>
                <c:pt idx="456">
                  <c:v>85.281542000000002</c:v>
                </c:pt>
                <c:pt idx="457">
                  <c:v>76.353207999999995</c:v>
                </c:pt>
                <c:pt idx="458">
                  <c:v>77.115217999999999</c:v>
                </c:pt>
                <c:pt idx="459">
                  <c:v>91.034464999999997</c:v>
                </c:pt>
                <c:pt idx="460">
                  <c:v>73.349131999999997</c:v>
                </c:pt>
                <c:pt idx="461">
                  <c:v>68.004445000000004</c:v>
                </c:pt>
                <c:pt idx="462">
                  <c:v>38.204943</c:v>
                </c:pt>
                <c:pt idx="463">
                  <c:v>57.554462000000001</c:v>
                </c:pt>
                <c:pt idx="464">
                  <c:v>73.147145000000009</c:v>
                </c:pt>
                <c:pt idx="465">
                  <c:v>56.898694999999996</c:v>
                </c:pt>
                <c:pt idx="466">
                  <c:v>71.220889999999997</c:v>
                </c:pt>
                <c:pt idx="467">
                  <c:v>59.271692000000002</c:v>
                </c:pt>
                <c:pt idx="468">
                  <c:v>57.396920999999992</c:v>
                </c:pt>
                <c:pt idx="469">
                  <c:v>87.390383999999997</c:v>
                </c:pt>
                <c:pt idx="470">
                  <c:v>110.06255899999999</c:v>
                </c:pt>
                <c:pt idx="471">
                  <c:v>113.461765</c:v>
                </c:pt>
                <c:pt idx="472">
                  <c:v>113.148842</c:v>
                </c:pt>
                <c:pt idx="473">
                  <c:v>103.216477</c:v>
                </c:pt>
                <c:pt idx="474">
                  <c:v>100.881015</c:v>
                </c:pt>
                <c:pt idx="475">
                  <c:v>115.321045</c:v>
                </c:pt>
                <c:pt idx="476">
                  <c:v>97.707898</c:v>
                </c:pt>
                <c:pt idx="477">
                  <c:v>26.644197999999999</c:v>
                </c:pt>
                <c:pt idx="478">
                  <c:v>32.612163000000002</c:v>
                </c:pt>
                <c:pt idx="479">
                  <c:v>45.841730000000005</c:v>
                </c:pt>
                <c:pt idx="480">
                  <c:v>69.403064999999998</c:v>
                </c:pt>
                <c:pt idx="481">
                  <c:v>62.935108999999997</c:v>
                </c:pt>
                <c:pt idx="482">
                  <c:v>47.461359999999999</c:v>
                </c:pt>
                <c:pt idx="483">
                  <c:v>41.297497</c:v>
                </c:pt>
                <c:pt idx="484">
                  <c:v>47.103557000000002</c:v>
                </c:pt>
                <c:pt idx="485">
                  <c:v>73.383144000000001</c:v>
                </c:pt>
                <c:pt idx="486">
                  <c:v>33.451029000000005</c:v>
                </c:pt>
                <c:pt idx="487">
                  <c:v>90.764956999999995</c:v>
                </c:pt>
                <c:pt idx="488">
                  <c:v>122.132707</c:v>
                </c:pt>
                <c:pt idx="489">
                  <c:v>113.19687800000001</c:v>
                </c:pt>
                <c:pt idx="490">
                  <c:v>81.616292999999999</c:v>
                </c:pt>
                <c:pt idx="491">
                  <c:v>105.43754800000001</c:v>
                </c:pt>
                <c:pt idx="492">
                  <c:v>126.73211500000001</c:v>
                </c:pt>
                <c:pt idx="493">
                  <c:v>135.92136199999999</c:v>
                </c:pt>
                <c:pt idx="494">
                  <c:v>138.499796</c:v>
                </c:pt>
                <c:pt idx="495">
                  <c:v>84.047921000000002</c:v>
                </c:pt>
                <c:pt idx="496">
                  <c:v>119.493151</c:v>
                </c:pt>
                <c:pt idx="497">
                  <c:v>117.596142</c:v>
                </c:pt>
                <c:pt idx="498">
                  <c:v>89.276903000000004</c:v>
                </c:pt>
                <c:pt idx="499">
                  <c:v>88.229706999999991</c:v>
                </c:pt>
                <c:pt idx="500">
                  <c:v>101.48053400000001</c:v>
                </c:pt>
                <c:pt idx="501">
                  <c:v>133.35174699999999</c:v>
                </c:pt>
                <c:pt idx="502">
                  <c:v>137.86181200000001</c:v>
                </c:pt>
                <c:pt idx="503">
                  <c:v>108.76164200000001</c:v>
                </c:pt>
                <c:pt idx="504">
                  <c:v>127.353235</c:v>
                </c:pt>
                <c:pt idx="505">
                  <c:v>119.143709</c:v>
                </c:pt>
                <c:pt idx="506">
                  <c:v>86.216346999999999</c:v>
                </c:pt>
                <c:pt idx="507">
                  <c:v>111.382582</c:v>
                </c:pt>
                <c:pt idx="508">
                  <c:v>135.563748</c:v>
                </c:pt>
                <c:pt idx="509">
                  <c:v>77.569532000000009</c:v>
                </c:pt>
                <c:pt idx="510">
                  <c:v>100.92303200000001</c:v>
                </c:pt>
                <c:pt idx="511">
                  <c:v>143.74861900000002</c:v>
                </c:pt>
                <c:pt idx="512">
                  <c:v>123.30511800000001</c:v>
                </c:pt>
                <c:pt idx="513">
                  <c:v>82.545918999999998</c:v>
                </c:pt>
                <c:pt idx="514">
                  <c:v>151.125438</c:v>
                </c:pt>
                <c:pt idx="515">
                  <c:v>112.52333</c:v>
                </c:pt>
                <c:pt idx="516">
                  <c:v>87.990116</c:v>
                </c:pt>
                <c:pt idx="517">
                  <c:v>61.562010999999998</c:v>
                </c:pt>
                <c:pt idx="518">
                  <c:v>40.777362000000004</c:v>
                </c:pt>
                <c:pt idx="519">
                  <c:v>58.136489000000005</c:v>
                </c:pt>
                <c:pt idx="520">
                  <c:v>84.467686</c:v>
                </c:pt>
                <c:pt idx="521">
                  <c:v>60.281048000000006</c:v>
                </c:pt>
                <c:pt idx="522">
                  <c:v>83.488789999999995</c:v>
                </c:pt>
                <c:pt idx="523">
                  <c:v>62.668112000000001</c:v>
                </c:pt>
                <c:pt idx="524">
                  <c:v>54.038618</c:v>
                </c:pt>
                <c:pt idx="525">
                  <c:v>98.114784999999998</c:v>
                </c:pt>
                <c:pt idx="526">
                  <c:v>90.544323999999989</c:v>
                </c:pt>
                <c:pt idx="527">
                  <c:v>98.459049999999991</c:v>
                </c:pt>
                <c:pt idx="528">
                  <c:v>93.512199999999993</c:v>
                </c:pt>
                <c:pt idx="529">
                  <c:v>66.299849000000009</c:v>
                </c:pt>
                <c:pt idx="530">
                  <c:v>107.785329</c:v>
                </c:pt>
                <c:pt idx="531">
                  <c:v>137.40190799999999</c:v>
                </c:pt>
                <c:pt idx="532">
                  <c:v>108.75729900000002</c:v>
                </c:pt>
                <c:pt idx="533">
                  <c:v>75.413554000000005</c:v>
                </c:pt>
                <c:pt idx="534">
                  <c:v>78.426657999999989</c:v>
                </c:pt>
                <c:pt idx="535">
                  <c:v>112.69196099999999</c:v>
                </c:pt>
                <c:pt idx="536">
                  <c:v>84.921132</c:v>
                </c:pt>
                <c:pt idx="537">
                  <c:v>83.106803999999997</c:v>
                </c:pt>
                <c:pt idx="538">
                  <c:v>90.167477999999988</c:v>
                </c:pt>
                <c:pt idx="539">
                  <c:v>106.983361</c:v>
                </c:pt>
                <c:pt idx="540">
                  <c:v>147.08363500000002</c:v>
                </c:pt>
                <c:pt idx="541">
                  <c:v>138.56414699999999</c:v>
                </c:pt>
                <c:pt idx="542">
                  <c:v>147.101541</c:v>
                </c:pt>
                <c:pt idx="543">
                  <c:v>147.33164600000001</c:v>
                </c:pt>
                <c:pt idx="544">
                  <c:v>138.70959500000001</c:v>
                </c:pt>
                <c:pt idx="545">
                  <c:v>133.23231199999998</c:v>
                </c:pt>
                <c:pt idx="546">
                  <c:v>122.53919599999999</c:v>
                </c:pt>
                <c:pt idx="547">
                  <c:v>151.09852899999998</c:v>
                </c:pt>
                <c:pt idx="548">
                  <c:v>139.47802799999999</c:v>
                </c:pt>
                <c:pt idx="549">
                  <c:v>106.33242000000001</c:v>
                </c:pt>
                <c:pt idx="550">
                  <c:v>79.403873000000004</c:v>
                </c:pt>
                <c:pt idx="551">
                  <c:v>102.99581500000001</c:v>
                </c:pt>
                <c:pt idx="552">
                  <c:v>126.00872100000001</c:v>
                </c:pt>
                <c:pt idx="553">
                  <c:v>117.960182</c:v>
                </c:pt>
                <c:pt idx="554">
                  <c:v>181.00285499999998</c:v>
                </c:pt>
                <c:pt idx="555">
                  <c:v>165.50404900000001</c:v>
                </c:pt>
                <c:pt idx="556">
                  <c:v>169.63217900000001</c:v>
                </c:pt>
                <c:pt idx="557">
                  <c:v>137.782105</c:v>
                </c:pt>
                <c:pt idx="558">
                  <c:v>94.444496999999998</c:v>
                </c:pt>
                <c:pt idx="559">
                  <c:v>88.855200999999994</c:v>
                </c:pt>
                <c:pt idx="560">
                  <c:v>124.598106</c:v>
                </c:pt>
                <c:pt idx="561">
                  <c:v>111.33362200000001</c:v>
                </c:pt>
                <c:pt idx="562">
                  <c:v>138.04849900000002</c:v>
                </c:pt>
                <c:pt idx="563">
                  <c:v>148.94772700000001</c:v>
                </c:pt>
                <c:pt idx="564">
                  <c:v>153.23601300000001</c:v>
                </c:pt>
                <c:pt idx="565">
                  <c:v>114.01772800000001</c:v>
                </c:pt>
                <c:pt idx="566">
                  <c:v>112.27030500000001</c:v>
                </c:pt>
                <c:pt idx="567">
                  <c:v>117.751141</c:v>
                </c:pt>
                <c:pt idx="568">
                  <c:v>173.41732500000001</c:v>
                </c:pt>
                <c:pt idx="569">
                  <c:v>164.50807900000001</c:v>
                </c:pt>
                <c:pt idx="570">
                  <c:v>207.250091</c:v>
                </c:pt>
                <c:pt idx="571">
                  <c:v>198.38417100000001</c:v>
                </c:pt>
                <c:pt idx="572">
                  <c:v>187.89660500000002</c:v>
                </c:pt>
                <c:pt idx="573">
                  <c:v>163.39053099999998</c:v>
                </c:pt>
                <c:pt idx="574">
                  <c:v>131.6669</c:v>
                </c:pt>
                <c:pt idx="575">
                  <c:v>70.383803</c:v>
                </c:pt>
                <c:pt idx="576">
                  <c:v>89.600320999999994</c:v>
                </c:pt>
                <c:pt idx="577">
                  <c:v>104.38399700000001</c:v>
                </c:pt>
                <c:pt idx="578">
                  <c:v>115.74727</c:v>
                </c:pt>
                <c:pt idx="579">
                  <c:v>100.823173</c:v>
                </c:pt>
                <c:pt idx="580">
                  <c:v>135.01266200000001</c:v>
                </c:pt>
                <c:pt idx="581">
                  <c:v>112.41585600000001</c:v>
                </c:pt>
                <c:pt idx="582">
                  <c:v>120.00466400000001</c:v>
                </c:pt>
                <c:pt idx="583">
                  <c:v>134.54842500000001</c:v>
                </c:pt>
                <c:pt idx="584">
                  <c:v>164.236514</c:v>
                </c:pt>
                <c:pt idx="585">
                  <c:v>128.951571</c:v>
                </c:pt>
                <c:pt idx="586">
                  <c:v>146.80645100000001</c:v>
                </c:pt>
                <c:pt idx="587">
                  <c:v>111.88610899999999</c:v>
                </c:pt>
                <c:pt idx="588">
                  <c:v>115.4772</c:v>
                </c:pt>
                <c:pt idx="589">
                  <c:v>162.20896500000001</c:v>
                </c:pt>
                <c:pt idx="590">
                  <c:v>151.83476099999999</c:v>
                </c:pt>
                <c:pt idx="591">
                  <c:v>158.30367199999998</c:v>
                </c:pt>
                <c:pt idx="592">
                  <c:v>137.30244300000001</c:v>
                </c:pt>
                <c:pt idx="593">
                  <c:v>158.61347499999997</c:v>
                </c:pt>
                <c:pt idx="594">
                  <c:v>155.76477700000001</c:v>
                </c:pt>
                <c:pt idx="595">
                  <c:v>143.92953699999998</c:v>
                </c:pt>
                <c:pt idx="596">
                  <c:v>162.59295699999998</c:v>
                </c:pt>
                <c:pt idx="597">
                  <c:v>174.37386799999999</c:v>
                </c:pt>
                <c:pt idx="598">
                  <c:v>195.869326</c:v>
                </c:pt>
                <c:pt idx="599">
                  <c:v>172.10612700000001</c:v>
                </c:pt>
                <c:pt idx="600">
                  <c:v>171.74784299999999</c:v>
                </c:pt>
                <c:pt idx="601">
                  <c:v>163.75109</c:v>
                </c:pt>
                <c:pt idx="602">
                  <c:v>149.07814199999999</c:v>
                </c:pt>
                <c:pt idx="603">
                  <c:v>207.67469</c:v>
                </c:pt>
                <c:pt idx="604">
                  <c:v>204.90346700000001</c:v>
                </c:pt>
                <c:pt idx="605">
                  <c:v>201.217085</c:v>
                </c:pt>
                <c:pt idx="606">
                  <c:v>205.585588</c:v>
                </c:pt>
                <c:pt idx="607">
                  <c:v>190.03045300000002</c:v>
                </c:pt>
                <c:pt idx="608">
                  <c:v>173.94020900000001</c:v>
                </c:pt>
                <c:pt idx="609">
                  <c:v>147.61089599999997</c:v>
                </c:pt>
                <c:pt idx="610">
                  <c:v>177.80748299999999</c:v>
                </c:pt>
                <c:pt idx="611">
                  <c:v>157.96417500000001</c:v>
                </c:pt>
                <c:pt idx="612">
                  <c:v>209.92247100000003</c:v>
                </c:pt>
                <c:pt idx="613">
                  <c:v>221.812344</c:v>
                </c:pt>
                <c:pt idx="614">
                  <c:v>231.49402699999999</c:v>
                </c:pt>
                <c:pt idx="615">
                  <c:v>196.97096100000002</c:v>
                </c:pt>
                <c:pt idx="616">
                  <c:v>168.30374399999999</c:v>
                </c:pt>
                <c:pt idx="617">
                  <c:v>192.72122399999998</c:v>
                </c:pt>
                <c:pt idx="618">
                  <c:v>164.80872799999997</c:v>
                </c:pt>
                <c:pt idx="619">
                  <c:v>174.60366300000001</c:v>
                </c:pt>
                <c:pt idx="620">
                  <c:v>222.26020700000001</c:v>
                </c:pt>
                <c:pt idx="621">
                  <c:v>216.04410899999999</c:v>
                </c:pt>
                <c:pt idx="622">
                  <c:v>195.93885800000001</c:v>
                </c:pt>
                <c:pt idx="623">
                  <c:v>172.63308800000001</c:v>
                </c:pt>
                <c:pt idx="624">
                  <c:v>217.61912000000001</c:v>
                </c:pt>
                <c:pt idx="625">
                  <c:v>216.64721099999997</c:v>
                </c:pt>
                <c:pt idx="626">
                  <c:v>218.196471</c:v>
                </c:pt>
                <c:pt idx="627">
                  <c:v>185.98578700000002</c:v>
                </c:pt>
                <c:pt idx="628">
                  <c:v>224.72805899999997</c:v>
                </c:pt>
                <c:pt idx="629">
                  <c:v>212.802312</c:v>
                </c:pt>
                <c:pt idx="630">
                  <c:v>182.764929</c:v>
                </c:pt>
                <c:pt idx="631">
                  <c:v>192.61489499999999</c:v>
                </c:pt>
                <c:pt idx="632">
                  <c:v>178.55502999999999</c:v>
                </c:pt>
                <c:pt idx="633">
                  <c:v>233.79758999999999</c:v>
                </c:pt>
                <c:pt idx="634">
                  <c:v>247.79890700000001</c:v>
                </c:pt>
                <c:pt idx="635">
                  <c:v>246.36508000000001</c:v>
                </c:pt>
                <c:pt idx="636">
                  <c:v>228.72767599999997</c:v>
                </c:pt>
                <c:pt idx="637">
                  <c:v>211.728388</c:v>
                </c:pt>
                <c:pt idx="638">
                  <c:v>206.771604</c:v>
                </c:pt>
                <c:pt idx="639">
                  <c:v>221.46423199999998</c:v>
                </c:pt>
                <c:pt idx="640">
                  <c:v>213.39008299999998</c:v>
                </c:pt>
                <c:pt idx="641">
                  <c:v>213.58890500000001</c:v>
                </c:pt>
                <c:pt idx="642">
                  <c:v>207.72807299999999</c:v>
                </c:pt>
                <c:pt idx="643">
                  <c:v>205.45465199999998</c:v>
                </c:pt>
                <c:pt idx="644">
                  <c:v>199.57184900000001</c:v>
                </c:pt>
                <c:pt idx="645">
                  <c:v>232.91583</c:v>
                </c:pt>
                <c:pt idx="646">
                  <c:v>212.45212699999999</c:v>
                </c:pt>
                <c:pt idx="647">
                  <c:v>199.059191</c:v>
                </c:pt>
                <c:pt idx="648">
                  <c:v>220.00045300000002</c:v>
                </c:pt>
                <c:pt idx="649">
                  <c:v>209.46011899999996</c:v>
                </c:pt>
                <c:pt idx="650">
                  <c:v>172.47162400000002</c:v>
                </c:pt>
                <c:pt idx="651">
                  <c:v>223.38682399999999</c:v>
                </c:pt>
                <c:pt idx="652">
                  <c:v>245.95958000000002</c:v>
                </c:pt>
                <c:pt idx="653">
                  <c:v>234.22268199999999</c:v>
                </c:pt>
                <c:pt idx="654">
                  <c:v>240.22070499999998</c:v>
                </c:pt>
                <c:pt idx="655">
                  <c:v>219.513049</c:v>
                </c:pt>
                <c:pt idx="656">
                  <c:v>211.09833899999998</c:v>
                </c:pt>
                <c:pt idx="657">
                  <c:v>187.651252</c:v>
                </c:pt>
                <c:pt idx="658">
                  <c:v>165.63003499999999</c:v>
                </c:pt>
                <c:pt idx="659">
                  <c:v>233.70477299999999</c:v>
                </c:pt>
                <c:pt idx="660">
                  <c:v>218.834282</c:v>
                </c:pt>
                <c:pt idx="661">
                  <c:v>172.893992</c:v>
                </c:pt>
                <c:pt idx="662">
                  <c:v>179.531012</c:v>
                </c:pt>
                <c:pt idx="663">
                  <c:v>194.69191999999998</c:v>
                </c:pt>
                <c:pt idx="664">
                  <c:v>198.72278900000001</c:v>
                </c:pt>
                <c:pt idx="665">
                  <c:v>180.45922100000001</c:v>
                </c:pt>
                <c:pt idx="666">
                  <c:v>197.223859</c:v>
                </c:pt>
                <c:pt idx="667">
                  <c:v>180.407545</c:v>
                </c:pt>
                <c:pt idx="668">
                  <c:v>197.93939800000001</c:v>
                </c:pt>
                <c:pt idx="669">
                  <c:v>205.183224</c:v>
                </c:pt>
                <c:pt idx="670">
                  <c:v>192.22907000000001</c:v>
                </c:pt>
                <c:pt idx="671">
                  <c:v>192.07727400000002</c:v>
                </c:pt>
                <c:pt idx="672">
                  <c:v>173.05847800000001</c:v>
                </c:pt>
                <c:pt idx="673">
                  <c:v>215.648616</c:v>
                </c:pt>
                <c:pt idx="674">
                  <c:v>197.88651099999998</c:v>
                </c:pt>
                <c:pt idx="675">
                  <c:v>207.987641</c:v>
                </c:pt>
                <c:pt idx="676">
                  <c:v>225.12551099999999</c:v>
                </c:pt>
                <c:pt idx="677">
                  <c:v>206.276929</c:v>
                </c:pt>
                <c:pt idx="678">
                  <c:v>202.83051999999998</c:v>
                </c:pt>
                <c:pt idx="679">
                  <c:v>181.33185599999999</c:v>
                </c:pt>
                <c:pt idx="680">
                  <c:v>217.44421499999999</c:v>
                </c:pt>
                <c:pt idx="681">
                  <c:v>182.962986</c:v>
                </c:pt>
                <c:pt idx="682">
                  <c:v>175.88231400000001</c:v>
                </c:pt>
                <c:pt idx="683">
                  <c:v>190.96251699999999</c:v>
                </c:pt>
                <c:pt idx="684">
                  <c:v>208.204375</c:v>
                </c:pt>
                <c:pt idx="685">
                  <c:v>197.827832</c:v>
                </c:pt>
                <c:pt idx="686">
                  <c:v>179.20480600000002</c:v>
                </c:pt>
                <c:pt idx="687">
                  <c:v>145.831773</c:v>
                </c:pt>
                <c:pt idx="688">
                  <c:v>183.48675900000001</c:v>
                </c:pt>
                <c:pt idx="689">
                  <c:v>176.32563499999998</c:v>
                </c:pt>
                <c:pt idx="690">
                  <c:v>195.13361499999999</c:v>
                </c:pt>
                <c:pt idx="691">
                  <c:v>187.21181999999999</c:v>
                </c:pt>
                <c:pt idx="692">
                  <c:v>196.00050399999998</c:v>
                </c:pt>
                <c:pt idx="693">
                  <c:v>163.31229999999999</c:v>
                </c:pt>
                <c:pt idx="694">
                  <c:v>167.09845500000003</c:v>
                </c:pt>
                <c:pt idx="695">
                  <c:v>172.65194399999999</c:v>
                </c:pt>
                <c:pt idx="696">
                  <c:v>175.675882</c:v>
                </c:pt>
                <c:pt idx="697">
                  <c:v>170.85877099999999</c:v>
                </c:pt>
                <c:pt idx="698">
                  <c:v>163.48676800000001</c:v>
                </c:pt>
                <c:pt idx="699">
                  <c:v>184.79747599999999</c:v>
                </c:pt>
                <c:pt idx="700">
                  <c:v>137.86453700000001</c:v>
                </c:pt>
                <c:pt idx="701">
                  <c:v>181.07133000000002</c:v>
                </c:pt>
                <c:pt idx="702">
                  <c:v>176.23230100000001</c:v>
                </c:pt>
                <c:pt idx="703">
                  <c:v>184.61106099999998</c:v>
                </c:pt>
                <c:pt idx="704">
                  <c:v>194.26434899999998</c:v>
                </c:pt>
                <c:pt idx="705">
                  <c:v>181.64224299999998</c:v>
                </c:pt>
                <c:pt idx="706">
                  <c:v>146.36757900000001</c:v>
                </c:pt>
                <c:pt idx="707">
                  <c:v>118.2949</c:v>
                </c:pt>
                <c:pt idx="708">
                  <c:v>168.45342599999998</c:v>
                </c:pt>
                <c:pt idx="709">
                  <c:v>178.16545300000001</c:v>
                </c:pt>
                <c:pt idx="710">
                  <c:v>148.94729199999998</c:v>
                </c:pt>
                <c:pt idx="711">
                  <c:v>178.544296</c:v>
                </c:pt>
                <c:pt idx="712">
                  <c:v>191.78374700000001</c:v>
                </c:pt>
                <c:pt idx="713">
                  <c:v>167.32562900000002</c:v>
                </c:pt>
                <c:pt idx="714">
                  <c:v>177.577136</c:v>
                </c:pt>
                <c:pt idx="715">
                  <c:v>201.449513</c:v>
                </c:pt>
                <c:pt idx="716">
                  <c:v>199.70142800000002</c:v>
                </c:pt>
                <c:pt idx="717">
                  <c:v>198.30129300000002</c:v>
                </c:pt>
                <c:pt idx="718">
                  <c:v>180.42634700000002</c:v>
                </c:pt>
                <c:pt idx="719">
                  <c:v>144.19576800000002</c:v>
                </c:pt>
                <c:pt idx="720">
                  <c:v>157.06750399999999</c:v>
                </c:pt>
                <c:pt idx="721">
                  <c:v>128.74927700000001</c:v>
                </c:pt>
                <c:pt idx="722">
                  <c:v>171.03099399999999</c:v>
                </c:pt>
                <c:pt idx="723">
                  <c:v>163.52969000000002</c:v>
                </c:pt>
                <c:pt idx="724">
                  <c:v>165.47761800000001</c:v>
                </c:pt>
                <c:pt idx="725">
                  <c:v>179.47432900000001</c:v>
                </c:pt>
                <c:pt idx="726">
                  <c:v>185.371284</c:v>
                </c:pt>
                <c:pt idx="727">
                  <c:v>139.77950600000003</c:v>
                </c:pt>
                <c:pt idx="728">
                  <c:v>90.597994999999997</c:v>
                </c:pt>
                <c:pt idx="729">
                  <c:v>113.38989199999999</c:v>
                </c:pt>
                <c:pt idx="730">
                  <c:v>148.46694199999999</c:v>
                </c:pt>
                <c:pt idx="731">
                  <c:v>186.21896799999999</c:v>
                </c:pt>
                <c:pt idx="732">
                  <c:v>185.50072699999998</c:v>
                </c:pt>
                <c:pt idx="733">
                  <c:v>168.69517299999998</c:v>
                </c:pt>
                <c:pt idx="734">
                  <c:v>156.50782700000002</c:v>
                </c:pt>
                <c:pt idx="735">
                  <c:v>124.87284999999999</c:v>
                </c:pt>
                <c:pt idx="736">
                  <c:v>157.29329400000003</c:v>
                </c:pt>
                <c:pt idx="737">
                  <c:v>168.260953</c:v>
                </c:pt>
                <c:pt idx="738">
                  <c:v>146.71586000000002</c:v>
                </c:pt>
                <c:pt idx="739">
                  <c:v>136.57243599999998</c:v>
                </c:pt>
                <c:pt idx="740">
                  <c:v>135.26579599999999</c:v>
                </c:pt>
                <c:pt idx="741">
                  <c:v>143.81792300000001</c:v>
                </c:pt>
                <c:pt idx="742">
                  <c:v>123.272503</c:v>
                </c:pt>
                <c:pt idx="743">
                  <c:v>123.69662899999999</c:v>
                </c:pt>
                <c:pt idx="744">
                  <c:v>150.69166300000001</c:v>
                </c:pt>
                <c:pt idx="745">
                  <c:v>137.99676300000002</c:v>
                </c:pt>
                <c:pt idx="746">
                  <c:v>124.151297051</c:v>
                </c:pt>
                <c:pt idx="747">
                  <c:v>143.510646756</c:v>
                </c:pt>
                <c:pt idx="748">
                  <c:v>150.36957714100001</c:v>
                </c:pt>
                <c:pt idx="749">
                  <c:v>108.36172885699999</c:v>
                </c:pt>
                <c:pt idx="750">
                  <c:v>111.42447447800001</c:v>
                </c:pt>
                <c:pt idx="751">
                  <c:v>93.088636910999995</c:v>
                </c:pt>
                <c:pt idx="752">
                  <c:v>102.413408893</c:v>
                </c:pt>
                <c:pt idx="753">
                  <c:v>122.66465895000002</c:v>
                </c:pt>
                <c:pt idx="754">
                  <c:v>124.58585769600001</c:v>
                </c:pt>
                <c:pt idx="755">
                  <c:v>110.191832198</c:v>
                </c:pt>
                <c:pt idx="756">
                  <c:v>100.36125177599999</c:v>
                </c:pt>
                <c:pt idx="757">
                  <c:v>152.545596346</c:v>
                </c:pt>
                <c:pt idx="758">
                  <c:v>120.124676596</c:v>
                </c:pt>
                <c:pt idx="759">
                  <c:v>57.283782973000001</c:v>
                </c:pt>
                <c:pt idx="760">
                  <c:v>99.834632038999985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5'!$D$2:$D$762</c:f>
              <c:numCache>
                <c:formatCode>#,##0.0</c:formatCode>
                <c:ptCount val="761"/>
                <c:pt idx="0">
                  <c:v>79.14317577075542</c:v>
                </c:pt>
                <c:pt idx="1">
                  <c:v>79.14317577075542</c:v>
                </c:pt>
                <c:pt idx="2">
                  <c:v>79.14317577075542</c:v>
                </c:pt>
                <c:pt idx="3">
                  <c:v>79.14317577075542</c:v>
                </c:pt>
                <c:pt idx="4">
                  <c:v>79.14317577075542</c:v>
                </c:pt>
                <c:pt idx="5">
                  <c:v>79.14317577075542</c:v>
                </c:pt>
                <c:pt idx="6">
                  <c:v>79.14317577075542</c:v>
                </c:pt>
                <c:pt idx="7">
                  <c:v>79.14317577075542</c:v>
                </c:pt>
                <c:pt idx="8">
                  <c:v>79.14317577075542</c:v>
                </c:pt>
                <c:pt idx="9">
                  <c:v>79.14317577075542</c:v>
                </c:pt>
                <c:pt idx="10">
                  <c:v>79.14317577075542</c:v>
                </c:pt>
                <c:pt idx="11">
                  <c:v>79.14317577075542</c:v>
                </c:pt>
                <c:pt idx="12">
                  <c:v>79.14317577075542</c:v>
                </c:pt>
                <c:pt idx="13">
                  <c:v>79.14317577075542</c:v>
                </c:pt>
                <c:pt idx="14">
                  <c:v>79.14317577075542</c:v>
                </c:pt>
                <c:pt idx="15">
                  <c:v>79.14317577075542</c:v>
                </c:pt>
                <c:pt idx="16">
                  <c:v>79.14317577075542</c:v>
                </c:pt>
                <c:pt idx="17">
                  <c:v>79.14317577075542</c:v>
                </c:pt>
                <c:pt idx="18">
                  <c:v>79.14317577075542</c:v>
                </c:pt>
                <c:pt idx="19">
                  <c:v>79.14317577075542</c:v>
                </c:pt>
                <c:pt idx="20">
                  <c:v>79.14317577075542</c:v>
                </c:pt>
                <c:pt idx="21">
                  <c:v>79.14317577075542</c:v>
                </c:pt>
                <c:pt idx="22">
                  <c:v>79.14317577075542</c:v>
                </c:pt>
                <c:pt idx="23">
                  <c:v>79.14317577075542</c:v>
                </c:pt>
                <c:pt idx="24">
                  <c:v>79.14317577075542</c:v>
                </c:pt>
                <c:pt idx="25">
                  <c:v>79.14317577075542</c:v>
                </c:pt>
                <c:pt idx="26">
                  <c:v>79.14317577075542</c:v>
                </c:pt>
                <c:pt idx="27">
                  <c:v>79.14317577075542</c:v>
                </c:pt>
                <c:pt idx="28">
                  <c:v>79.14317577075542</c:v>
                </c:pt>
                <c:pt idx="29">
                  <c:v>79.14317577075542</c:v>
                </c:pt>
                <c:pt idx="30">
                  <c:v>79.14317577075542</c:v>
                </c:pt>
                <c:pt idx="31">
                  <c:v>58.783394810876416</c:v>
                </c:pt>
                <c:pt idx="32">
                  <c:v>58.783394810876416</c:v>
                </c:pt>
                <c:pt idx="33">
                  <c:v>58.783394810876416</c:v>
                </c:pt>
                <c:pt idx="34">
                  <c:v>58.783394810876416</c:v>
                </c:pt>
                <c:pt idx="35">
                  <c:v>58.783394810876416</c:v>
                </c:pt>
                <c:pt idx="36">
                  <c:v>58.783394810876416</c:v>
                </c:pt>
                <c:pt idx="37">
                  <c:v>58.783394810876416</c:v>
                </c:pt>
                <c:pt idx="38">
                  <c:v>58.783394810876416</c:v>
                </c:pt>
                <c:pt idx="39">
                  <c:v>58.783394810876416</c:v>
                </c:pt>
                <c:pt idx="40">
                  <c:v>58.783394810876416</c:v>
                </c:pt>
                <c:pt idx="41">
                  <c:v>58.783394810876416</c:v>
                </c:pt>
                <c:pt idx="42">
                  <c:v>58.783394810876416</c:v>
                </c:pt>
                <c:pt idx="43">
                  <c:v>58.783394810876416</c:v>
                </c:pt>
                <c:pt idx="44">
                  <c:v>58.783394810876416</c:v>
                </c:pt>
                <c:pt idx="45">
                  <c:v>58.783394810876416</c:v>
                </c:pt>
                <c:pt idx="46">
                  <c:v>58.783394810876416</c:v>
                </c:pt>
                <c:pt idx="47">
                  <c:v>58.783394810876416</c:v>
                </c:pt>
                <c:pt idx="48">
                  <c:v>58.783394810876416</c:v>
                </c:pt>
                <c:pt idx="49">
                  <c:v>58.783394810876416</c:v>
                </c:pt>
                <c:pt idx="50">
                  <c:v>58.783394810876416</c:v>
                </c:pt>
                <c:pt idx="51">
                  <c:v>58.783394810876416</c:v>
                </c:pt>
                <c:pt idx="52">
                  <c:v>58.783394810876416</c:v>
                </c:pt>
                <c:pt idx="53">
                  <c:v>58.783394810876416</c:v>
                </c:pt>
                <c:pt idx="54">
                  <c:v>58.783394810876416</c:v>
                </c:pt>
                <c:pt idx="55">
                  <c:v>58.783394810876416</c:v>
                </c:pt>
                <c:pt idx="56">
                  <c:v>58.783394810876416</c:v>
                </c:pt>
                <c:pt idx="57">
                  <c:v>58.783394810876416</c:v>
                </c:pt>
                <c:pt idx="58">
                  <c:v>58.783394810876416</c:v>
                </c:pt>
                <c:pt idx="59">
                  <c:v>58.783394810876416</c:v>
                </c:pt>
                <c:pt idx="60">
                  <c:v>58.783394810876416</c:v>
                </c:pt>
                <c:pt idx="61">
                  <c:v>49.712879705084134</c:v>
                </c:pt>
                <c:pt idx="62">
                  <c:v>49.712879705084134</c:v>
                </c:pt>
                <c:pt idx="63">
                  <c:v>49.712879705084134</c:v>
                </c:pt>
                <c:pt idx="64">
                  <c:v>49.712879705084134</c:v>
                </c:pt>
                <c:pt idx="65">
                  <c:v>49.712879705084134</c:v>
                </c:pt>
                <c:pt idx="66">
                  <c:v>49.712879705084134</c:v>
                </c:pt>
                <c:pt idx="67">
                  <c:v>49.712879705084134</c:v>
                </c:pt>
                <c:pt idx="68">
                  <c:v>49.712879705084134</c:v>
                </c:pt>
                <c:pt idx="69">
                  <c:v>49.712879705084134</c:v>
                </c:pt>
                <c:pt idx="70">
                  <c:v>49.712879705084134</c:v>
                </c:pt>
                <c:pt idx="71">
                  <c:v>49.712879705084134</c:v>
                </c:pt>
                <c:pt idx="72">
                  <c:v>49.712879705084134</c:v>
                </c:pt>
                <c:pt idx="73">
                  <c:v>49.712879705084134</c:v>
                </c:pt>
                <c:pt idx="74">
                  <c:v>49.712879705084134</c:v>
                </c:pt>
                <c:pt idx="75">
                  <c:v>49.712879705084134</c:v>
                </c:pt>
                <c:pt idx="76">
                  <c:v>49.712879705084134</c:v>
                </c:pt>
                <c:pt idx="77">
                  <c:v>49.712879705084134</c:v>
                </c:pt>
                <c:pt idx="78">
                  <c:v>49.712879705084134</c:v>
                </c:pt>
                <c:pt idx="79">
                  <c:v>49.712879705084134</c:v>
                </c:pt>
                <c:pt idx="80">
                  <c:v>49.712879705084134</c:v>
                </c:pt>
                <c:pt idx="81">
                  <c:v>49.712879705084134</c:v>
                </c:pt>
                <c:pt idx="82">
                  <c:v>49.712879705084134</c:v>
                </c:pt>
                <c:pt idx="83">
                  <c:v>49.712879705084134</c:v>
                </c:pt>
                <c:pt idx="84">
                  <c:v>49.712879705084134</c:v>
                </c:pt>
                <c:pt idx="85">
                  <c:v>49.712879705084134</c:v>
                </c:pt>
                <c:pt idx="86">
                  <c:v>49.712879705084134</c:v>
                </c:pt>
                <c:pt idx="87">
                  <c:v>49.712879705084134</c:v>
                </c:pt>
                <c:pt idx="88">
                  <c:v>49.712879705084134</c:v>
                </c:pt>
                <c:pt idx="89">
                  <c:v>49.712879705084134</c:v>
                </c:pt>
                <c:pt idx="90">
                  <c:v>49.712879705084134</c:v>
                </c:pt>
                <c:pt idx="91">
                  <c:v>49.712879705084134</c:v>
                </c:pt>
                <c:pt idx="92">
                  <c:v>73.936506027332229</c:v>
                </c:pt>
                <c:pt idx="93">
                  <c:v>73.936506027332229</c:v>
                </c:pt>
                <c:pt idx="94">
                  <c:v>73.936506027332229</c:v>
                </c:pt>
                <c:pt idx="95">
                  <c:v>73.936506027332229</c:v>
                </c:pt>
                <c:pt idx="96">
                  <c:v>73.936506027332229</c:v>
                </c:pt>
                <c:pt idx="97">
                  <c:v>73.936506027332229</c:v>
                </c:pt>
                <c:pt idx="98">
                  <c:v>73.936506027332229</c:v>
                </c:pt>
                <c:pt idx="99">
                  <c:v>73.936506027332229</c:v>
                </c:pt>
                <c:pt idx="100">
                  <c:v>73.936506027332229</c:v>
                </c:pt>
                <c:pt idx="101">
                  <c:v>73.936506027332229</c:v>
                </c:pt>
                <c:pt idx="102">
                  <c:v>73.936506027332229</c:v>
                </c:pt>
                <c:pt idx="103">
                  <c:v>73.936506027332229</c:v>
                </c:pt>
                <c:pt idx="104">
                  <c:v>73.936506027332229</c:v>
                </c:pt>
                <c:pt idx="105">
                  <c:v>73.936506027332229</c:v>
                </c:pt>
                <c:pt idx="106">
                  <c:v>73.936506027332229</c:v>
                </c:pt>
                <c:pt idx="107">
                  <c:v>73.936506027332229</c:v>
                </c:pt>
                <c:pt idx="108">
                  <c:v>73.936506027332229</c:v>
                </c:pt>
                <c:pt idx="109">
                  <c:v>73.936506027332229</c:v>
                </c:pt>
                <c:pt idx="110">
                  <c:v>73.936506027332229</c:v>
                </c:pt>
                <c:pt idx="111">
                  <c:v>73.936506027332229</c:v>
                </c:pt>
                <c:pt idx="112">
                  <c:v>73.936506027332229</c:v>
                </c:pt>
                <c:pt idx="113">
                  <c:v>73.936506027332229</c:v>
                </c:pt>
                <c:pt idx="114">
                  <c:v>73.936506027332229</c:v>
                </c:pt>
                <c:pt idx="115">
                  <c:v>73.936506027332229</c:v>
                </c:pt>
                <c:pt idx="116">
                  <c:v>73.936506027332229</c:v>
                </c:pt>
                <c:pt idx="117">
                  <c:v>73.936506027332229</c:v>
                </c:pt>
                <c:pt idx="118">
                  <c:v>73.936506027332229</c:v>
                </c:pt>
                <c:pt idx="119">
                  <c:v>73.936506027332229</c:v>
                </c:pt>
                <c:pt idx="120">
                  <c:v>73.936506027332229</c:v>
                </c:pt>
                <c:pt idx="121">
                  <c:v>73.936506027332229</c:v>
                </c:pt>
                <c:pt idx="122">
                  <c:v>73.936506027332229</c:v>
                </c:pt>
                <c:pt idx="123">
                  <c:v>90.863466611013806</c:v>
                </c:pt>
                <c:pt idx="124">
                  <c:v>90.863466611013806</c:v>
                </c:pt>
                <c:pt idx="125">
                  <c:v>90.863466611013806</c:v>
                </c:pt>
                <c:pt idx="126">
                  <c:v>90.863466611013806</c:v>
                </c:pt>
                <c:pt idx="127">
                  <c:v>90.863466611013806</c:v>
                </c:pt>
                <c:pt idx="128">
                  <c:v>90.863466611013806</c:v>
                </c:pt>
                <c:pt idx="129">
                  <c:v>90.863466611013806</c:v>
                </c:pt>
                <c:pt idx="130">
                  <c:v>90.863466611013806</c:v>
                </c:pt>
                <c:pt idx="131">
                  <c:v>90.863466611013806</c:v>
                </c:pt>
                <c:pt idx="132">
                  <c:v>90.863466611013806</c:v>
                </c:pt>
                <c:pt idx="133">
                  <c:v>90.863466611013806</c:v>
                </c:pt>
                <c:pt idx="134">
                  <c:v>90.863466611013806</c:v>
                </c:pt>
                <c:pt idx="135">
                  <c:v>90.863466611013806</c:v>
                </c:pt>
                <c:pt idx="136">
                  <c:v>90.863466611013806</c:v>
                </c:pt>
                <c:pt idx="137">
                  <c:v>90.863466611013806</c:v>
                </c:pt>
                <c:pt idx="138">
                  <c:v>90.863466611013806</c:v>
                </c:pt>
                <c:pt idx="139">
                  <c:v>90.863466611013806</c:v>
                </c:pt>
                <c:pt idx="140">
                  <c:v>90.863466611013806</c:v>
                </c:pt>
                <c:pt idx="141">
                  <c:v>90.863466611013806</c:v>
                </c:pt>
                <c:pt idx="142">
                  <c:v>90.863466611013806</c:v>
                </c:pt>
                <c:pt idx="143">
                  <c:v>90.863466611013806</c:v>
                </c:pt>
                <c:pt idx="144">
                  <c:v>90.863466611013806</c:v>
                </c:pt>
                <c:pt idx="145">
                  <c:v>90.863466611013806</c:v>
                </c:pt>
                <c:pt idx="146">
                  <c:v>90.863466611013806</c:v>
                </c:pt>
                <c:pt idx="147">
                  <c:v>90.863466611013806</c:v>
                </c:pt>
                <c:pt idx="148">
                  <c:v>90.863466611013806</c:v>
                </c:pt>
                <c:pt idx="149">
                  <c:v>90.863466611013806</c:v>
                </c:pt>
                <c:pt idx="150">
                  <c:v>90.863466611013806</c:v>
                </c:pt>
                <c:pt idx="151">
                  <c:v>90.863466611013806</c:v>
                </c:pt>
                <c:pt idx="152">
                  <c:v>114.57273351038378</c:v>
                </c:pt>
                <c:pt idx="153">
                  <c:v>114.57273351038378</c:v>
                </c:pt>
                <c:pt idx="154">
                  <c:v>114.57273351038378</c:v>
                </c:pt>
                <c:pt idx="155">
                  <c:v>114.57273351038378</c:v>
                </c:pt>
                <c:pt idx="156">
                  <c:v>114.57273351038378</c:v>
                </c:pt>
                <c:pt idx="157">
                  <c:v>114.57273351038378</c:v>
                </c:pt>
                <c:pt idx="158">
                  <c:v>114.57273351038378</c:v>
                </c:pt>
                <c:pt idx="159">
                  <c:v>114.57273351038378</c:v>
                </c:pt>
                <c:pt idx="160">
                  <c:v>114.57273351038378</c:v>
                </c:pt>
                <c:pt idx="161">
                  <c:v>114.57273351038378</c:v>
                </c:pt>
                <c:pt idx="162">
                  <c:v>114.57273351038378</c:v>
                </c:pt>
                <c:pt idx="163">
                  <c:v>114.57273351038378</c:v>
                </c:pt>
                <c:pt idx="164">
                  <c:v>114.57273351038378</c:v>
                </c:pt>
                <c:pt idx="165">
                  <c:v>114.57273351038378</c:v>
                </c:pt>
                <c:pt idx="166">
                  <c:v>114.57273351038378</c:v>
                </c:pt>
                <c:pt idx="167">
                  <c:v>114.57273351038378</c:v>
                </c:pt>
                <c:pt idx="168">
                  <c:v>114.57273351038378</c:v>
                </c:pt>
                <c:pt idx="169">
                  <c:v>114.57273351038378</c:v>
                </c:pt>
                <c:pt idx="170">
                  <c:v>114.57273351038378</c:v>
                </c:pt>
                <c:pt idx="171">
                  <c:v>114.57273351038378</c:v>
                </c:pt>
                <c:pt idx="172">
                  <c:v>114.57273351038378</c:v>
                </c:pt>
                <c:pt idx="173">
                  <c:v>114.57273351038378</c:v>
                </c:pt>
                <c:pt idx="174">
                  <c:v>114.57273351038378</c:v>
                </c:pt>
                <c:pt idx="175">
                  <c:v>114.57273351038378</c:v>
                </c:pt>
                <c:pt idx="176">
                  <c:v>114.57273351038378</c:v>
                </c:pt>
                <c:pt idx="177">
                  <c:v>114.57273351038378</c:v>
                </c:pt>
                <c:pt idx="178">
                  <c:v>114.57273351038378</c:v>
                </c:pt>
                <c:pt idx="179">
                  <c:v>114.57273351038378</c:v>
                </c:pt>
                <c:pt idx="180">
                  <c:v>114.57273351038378</c:v>
                </c:pt>
                <c:pt idx="181">
                  <c:v>114.57273351038378</c:v>
                </c:pt>
                <c:pt idx="182">
                  <c:v>114.57273351038378</c:v>
                </c:pt>
                <c:pt idx="183">
                  <c:v>130.5495232264862</c:v>
                </c:pt>
                <c:pt idx="184">
                  <c:v>130.5495232264862</c:v>
                </c:pt>
                <c:pt idx="185">
                  <c:v>130.5495232264862</c:v>
                </c:pt>
                <c:pt idx="186">
                  <c:v>130.5495232264862</c:v>
                </c:pt>
                <c:pt idx="187">
                  <c:v>130.5495232264862</c:v>
                </c:pt>
                <c:pt idx="188">
                  <c:v>130.5495232264862</c:v>
                </c:pt>
                <c:pt idx="189">
                  <c:v>130.5495232264862</c:v>
                </c:pt>
                <c:pt idx="190">
                  <c:v>130.5495232264862</c:v>
                </c:pt>
                <c:pt idx="191">
                  <c:v>130.5495232264862</c:v>
                </c:pt>
                <c:pt idx="192">
                  <c:v>130.5495232264862</c:v>
                </c:pt>
                <c:pt idx="193">
                  <c:v>130.5495232264862</c:v>
                </c:pt>
                <c:pt idx="194">
                  <c:v>130.5495232264862</c:v>
                </c:pt>
                <c:pt idx="195">
                  <c:v>130.5495232264862</c:v>
                </c:pt>
                <c:pt idx="196">
                  <c:v>130.5495232264862</c:v>
                </c:pt>
                <c:pt idx="197">
                  <c:v>130.5495232264862</c:v>
                </c:pt>
                <c:pt idx="198">
                  <c:v>130.5495232264862</c:v>
                </c:pt>
                <c:pt idx="199">
                  <c:v>130.5495232264862</c:v>
                </c:pt>
                <c:pt idx="200">
                  <c:v>130.5495232264862</c:v>
                </c:pt>
                <c:pt idx="201">
                  <c:v>130.5495232264862</c:v>
                </c:pt>
                <c:pt idx="202">
                  <c:v>130.5495232264862</c:v>
                </c:pt>
                <c:pt idx="203">
                  <c:v>130.5495232264862</c:v>
                </c:pt>
                <c:pt idx="204">
                  <c:v>130.5495232264862</c:v>
                </c:pt>
                <c:pt idx="205">
                  <c:v>130.5495232264862</c:v>
                </c:pt>
                <c:pt idx="206">
                  <c:v>130.5495232264862</c:v>
                </c:pt>
                <c:pt idx="207">
                  <c:v>130.5495232264862</c:v>
                </c:pt>
                <c:pt idx="208">
                  <c:v>130.5495232264862</c:v>
                </c:pt>
                <c:pt idx="209">
                  <c:v>130.5495232264862</c:v>
                </c:pt>
                <c:pt idx="210">
                  <c:v>130.5495232264862</c:v>
                </c:pt>
                <c:pt idx="211">
                  <c:v>130.5495232264862</c:v>
                </c:pt>
                <c:pt idx="212">
                  <c:v>130.5495232264862</c:v>
                </c:pt>
                <c:pt idx="213">
                  <c:v>151.43081667939495</c:v>
                </c:pt>
                <c:pt idx="214">
                  <c:v>151.43081667939495</c:v>
                </c:pt>
                <c:pt idx="215">
                  <c:v>151.43081667939495</c:v>
                </c:pt>
                <c:pt idx="216">
                  <c:v>151.43081667939495</c:v>
                </c:pt>
                <c:pt idx="217">
                  <c:v>151.43081667939495</c:v>
                </c:pt>
                <c:pt idx="218">
                  <c:v>151.43081667939495</c:v>
                </c:pt>
                <c:pt idx="219">
                  <c:v>151.43081667939495</c:v>
                </c:pt>
                <c:pt idx="220">
                  <c:v>151.43081667939495</c:v>
                </c:pt>
                <c:pt idx="221">
                  <c:v>151.43081667939495</c:v>
                </c:pt>
                <c:pt idx="222">
                  <c:v>151.43081667939495</c:v>
                </c:pt>
                <c:pt idx="223">
                  <c:v>151.43081667939495</c:v>
                </c:pt>
                <c:pt idx="224">
                  <c:v>151.43081667939495</c:v>
                </c:pt>
                <c:pt idx="225">
                  <c:v>151.43081667939495</c:v>
                </c:pt>
                <c:pt idx="226">
                  <c:v>151.43081667939495</c:v>
                </c:pt>
                <c:pt idx="227">
                  <c:v>151.43081667939495</c:v>
                </c:pt>
                <c:pt idx="228">
                  <c:v>151.43081667939495</c:v>
                </c:pt>
                <c:pt idx="229">
                  <c:v>151.43081667939495</c:v>
                </c:pt>
                <c:pt idx="230">
                  <c:v>151.43081667939495</c:v>
                </c:pt>
                <c:pt idx="231">
                  <c:v>151.43081667939495</c:v>
                </c:pt>
                <c:pt idx="232">
                  <c:v>151.43081667939495</c:v>
                </c:pt>
                <c:pt idx="233">
                  <c:v>151.43081667939495</c:v>
                </c:pt>
                <c:pt idx="234">
                  <c:v>151.43081667939495</c:v>
                </c:pt>
                <c:pt idx="235">
                  <c:v>151.43081667939495</c:v>
                </c:pt>
                <c:pt idx="236">
                  <c:v>151.43081667939495</c:v>
                </c:pt>
                <c:pt idx="237">
                  <c:v>151.43081667939495</c:v>
                </c:pt>
                <c:pt idx="238">
                  <c:v>151.43081667939495</c:v>
                </c:pt>
                <c:pt idx="239">
                  <c:v>151.43081667939495</c:v>
                </c:pt>
                <c:pt idx="240">
                  <c:v>151.43081667939495</c:v>
                </c:pt>
                <c:pt idx="241">
                  <c:v>151.43081667939495</c:v>
                </c:pt>
                <c:pt idx="242">
                  <c:v>151.43081667939495</c:v>
                </c:pt>
                <c:pt idx="243">
                  <c:v>151.43081667939495</c:v>
                </c:pt>
                <c:pt idx="244">
                  <c:v>156.45076420643238</c:v>
                </c:pt>
                <c:pt idx="245">
                  <c:v>156.45076420643238</c:v>
                </c:pt>
                <c:pt idx="246">
                  <c:v>156.45076420643238</c:v>
                </c:pt>
                <c:pt idx="247">
                  <c:v>156.45076420643238</c:v>
                </c:pt>
                <c:pt idx="248">
                  <c:v>156.45076420643238</c:v>
                </c:pt>
                <c:pt idx="249">
                  <c:v>156.45076420643238</c:v>
                </c:pt>
                <c:pt idx="250">
                  <c:v>156.45076420643238</c:v>
                </c:pt>
                <c:pt idx="251">
                  <c:v>156.45076420643238</c:v>
                </c:pt>
                <c:pt idx="252">
                  <c:v>156.45076420643238</c:v>
                </c:pt>
                <c:pt idx="253">
                  <c:v>156.45076420643238</c:v>
                </c:pt>
                <c:pt idx="254">
                  <c:v>156.45076420643238</c:v>
                </c:pt>
                <c:pt idx="255">
                  <c:v>156.45076420643238</c:v>
                </c:pt>
                <c:pt idx="256">
                  <c:v>156.45076420643238</c:v>
                </c:pt>
                <c:pt idx="257">
                  <c:v>156.45076420643238</c:v>
                </c:pt>
                <c:pt idx="258">
                  <c:v>156.45076420643238</c:v>
                </c:pt>
                <c:pt idx="259">
                  <c:v>156.45076420643238</c:v>
                </c:pt>
                <c:pt idx="260">
                  <c:v>156.45076420643238</c:v>
                </c:pt>
                <c:pt idx="261">
                  <c:v>156.45076420643238</c:v>
                </c:pt>
                <c:pt idx="262">
                  <c:v>156.45076420643238</c:v>
                </c:pt>
                <c:pt idx="263">
                  <c:v>156.45076420643238</c:v>
                </c:pt>
                <c:pt idx="264">
                  <c:v>156.45076420643238</c:v>
                </c:pt>
                <c:pt idx="265">
                  <c:v>156.45076420643238</c:v>
                </c:pt>
                <c:pt idx="266">
                  <c:v>156.45076420643238</c:v>
                </c:pt>
                <c:pt idx="267">
                  <c:v>156.45076420643238</c:v>
                </c:pt>
                <c:pt idx="268">
                  <c:v>156.45076420643238</c:v>
                </c:pt>
                <c:pt idx="269">
                  <c:v>156.45076420643238</c:v>
                </c:pt>
                <c:pt idx="270">
                  <c:v>156.45076420643238</c:v>
                </c:pt>
                <c:pt idx="271">
                  <c:v>156.45076420643238</c:v>
                </c:pt>
                <c:pt idx="272">
                  <c:v>156.45076420643238</c:v>
                </c:pt>
                <c:pt idx="273">
                  <c:v>156.45076420643238</c:v>
                </c:pt>
                <c:pt idx="274">
                  <c:v>160.12487071676725</c:v>
                </c:pt>
                <c:pt idx="275">
                  <c:v>160.12487071676725</c:v>
                </c:pt>
                <c:pt idx="276">
                  <c:v>160.12487071676725</c:v>
                </c:pt>
                <c:pt idx="277">
                  <c:v>160.12487071676725</c:v>
                </c:pt>
                <c:pt idx="278">
                  <c:v>160.12487071676725</c:v>
                </c:pt>
                <c:pt idx="279">
                  <c:v>160.12487071676725</c:v>
                </c:pt>
                <c:pt idx="280">
                  <c:v>160.12487071676725</c:v>
                </c:pt>
                <c:pt idx="281">
                  <c:v>160.12487071676725</c:v>
                </c:pt>
                <c:pt idx="282">
                  <c:v>160.12487071676725</c:v>
                </c:pt>
                <c:pt idx="283">
                  <c:v>160.12487071676725</c:v>
                </c:pt>
                <c:pt idx="284">
                  <c:v>160.12487071676725</c:v>
                </c:pt>
                <c:pt idx="285">
                  <c:v>160.12487071676725</c:v>
                </c:pt>
                <c:pt idx="286">
                  <c:v>160.12487071676725</c:v>
                </c:pt>
                <c:pt idx="287">
                  <c:v>160.12487071676725</c:v>
                </c:pt>
                <c:pt idx="288">
                  <c:v>160.12487071676725</c:v>
                </c:pt>
                <c:pt idx="289">
                  <c:v>160.12487071676725</c:v>
                </c:pt>
                <c:pt idx="290">
                  <c:v>160.12487071676725</c:v>
                </c:pt>
                <c:pt idx="291">
                  <c:v>160.12487071676725</c:v>
                </c:pt>
                <c:pt idx="292">
                  <c:v>160.12487071676725</c:v>
                </c:pt>
                <c:pt idx="293">
                  <c:v>160.12487071676725</c:v>
                </c:pt>
                <c:pt idx="294">
                  <c:v>160.12487071676725</c:v>
                </c:pt>
                <c:pt idx="295">
                  <c:v>160.12487071676725</c:v>
                </c:pt>
                <c:pt idx="296">
                  <c:v>160.12487071676725</c:v>
                </c:pt>
                <c:pt idx="297">
                  <c:v>160.12487071676725</c:v>
                </c:pt>
                <c:pt idx="298">
                  <c:v>160.12487071676725</c:v>
                </c:pt>
                <c:pt idx="299">
                  <c:v>160.12487071676725</c:v>
                </c:pt>
                <c:pt idx="300">
                  <c:v>160.12487071676725</c:v>
                </c:pt>
                <c:pt idx="301">
                  <c:v>160.12487071676725</c:v>
                </c:pt>
                <c:pt idx="302">
                  <c:v>160.12487071676725</c:v>
                </c:pt>
                <c:pt idx="303">
                  <c:v>160.12487071676725</c:v>
                </c:pt>
                <c:pt idx="304">
                  <c:v>160.12487071676725</c:v>
                </c:pt>
                <c:pt idx="305">
                  <c:v>149.20810716652178</c:v>
                </c:pt>
                <c:pt idx="306">
                  <c:v>149.20810716652178</c:v>
                </c:pt>
                <c:pt idx="307">
                  <c:v>149.20810716652178</c:v>
                </c:pt>
                <c:pt idx="308">
                  <c:v>149.20810716652178</c:v>
                </c:pt>
                <c:pt idx="309">
                  <c:v>149.20810716652178</c:v>
                </c:pt>
                <c:pt idx="310">
                  <c:v>149.20810716652178</c:v>
                </c:pt>
                <c:pt idx="311">
                  <c:v>149.20810716652178</c:v>
                </c:pt>
                <c:pt idx="312">
                  <c:v>149.20810716652178</c:v>
                </c:pt>
                <c:pt idx="313">
                  <c:v>149.20810716652178</c:v>
                </c:pt>
                <c:pt idx="314">
                  <c:v>149.20810716652178</c:v>
                </c:pt>
                <c:pt idx="315">
                  <c:v>149.20810716652178</c:v>
                </c:pt>
                <c:pt idx="316">
                  <c:v>149.20810716652178</c:v>
                </c:pt>
                <c:pt idx="317">
                  <c:v>149.20810716652178</c:v>
                </c:pt>
                <c:pt idx="318">
                  <c:v>149.20810716652178</c:v>
                </c:pt>
                <c:pt idx="319">
                  <c:v>149.20810716652178</c:v>
                </c:pt>
                <c:pt idx="320">
                  <c:v>149.20810716652178</c:v>
                </c:pt>
                <c:pt idx="321">
                  <c:v>149.20810716652178</c:v>
                </c:pt>
                <c:pt idx="322">
                  <c:v>149.20810716652178</c:v>
                </c:pt>
                <c:pt idx="323">
                  <c:v>149.20810716652178</c:v>
                </c:pt>
                <c:pt idx="324">
                  <c:v>149.20810716652178</c:v>
                </c:pt>
                <c:pt idx="325">
                  <c:v>149.20810716652178</c:v>
                </c:pt>
                <c:pt idx="326">
                  <c:v>149.20810716652178</c:v>
                </c:pt>
                <c:pt idx="327">
                  <c:v>149.20810716652178</c:v>
                </c:pt>
                <c:pt idx="328">
                  <c:v>149.20810716652178</c:v>
                </c:pt>
                <c:pt idx="329">
                  <c:v>149.20810716652178</c:v>
                </c:pt>
                <c:pt idx="330">
                  <c:v>149.20810716652178</c:v>
                </c:pt>
                <c:pt idx="331">
                  <c:v>149.20810716652178</c:v>
                </c:pt>
                <c:pt idx="332">
                  <c:v>149.20810716652178</c:v>
                </c:pt>
                <c:pt idx="333">
                  <c:v>149.20810716652178</c:v>
                </c:pt>
                <c:pt idx="334">
                  <c:v>149.20810716652178</c:v>
                </c:pt>
                <c:pt idx="335">
                  <c:v>149.20810716652178</c:v>
                </c:pt>
                <c:pt idx="336">
                  <c:v>126.5810729397345</c:v>
                </c:pt>
                <c:pt idx="337">
                  <c:v>126.5810729397345</c:v>
                </c:pt>
                <c:pt idx="338">
                  <c:v>126.5810729397345</c:v>
                </c:pt>
                <c:pt idx="339">
                  <c:v>126.5810729397345</c:v>
                </c:pt>
                <c:pt idx="340">
                  <c:v>126.5810729397345</c:v>
                </c:pt>
                <c:pt idx="341">
                  <c:v>126.5810729397345</c:v>
                </c:pt>
                <c:pt idx="342">
                  <c:v>126.5810729397345</c:v>
                </c:pt>
                <c:pt idx="343">
                  <c:v>126.5810729397345</c:v>
                </c:pt>
                <c:pt idx="344">
                  <c:v>126.5810729397345</c:v>
                </c:pt>
                <c:pt idx="345">
                  <c:v>126.5810729397345</c:v>
                </c:pt>
                <c:pt idx="346">
                  <c:v>126.5810729397345</c:v>
                </c:pt>
                <c:pt idx="347">
                  <c:v>126.5810729397345</c:v>
                </c:pt>
                <c:pt idx="348">
                  <c:v>126.5810729397345</c:v>
                </c:pt>
                <c:pt idx="349">
                  <c:v>126.5810729397345</c:v>
                </c:pt>
                <c:pt idx="350">
                  <c:v>126.5810729397345</c:v>
                </c:pt>
                <c:pt idx="351">
                  <c:v>126.5810729397345</c:v>
                </c:pt>
                <c:pt idx="352">
                  <c:v>126.5810729397345</c:v>
                </c:pt>
                <c:pt idx="353">
                  <c:v>126.5810729397345</c:v>
                </c:pt>
                <c:pt idx="354">
                  <c:v>126.5810729397345</c:v>
                </c:pt>
                <c:pt idx="355">
                  <c:v>126.5810729397345</c:v>
                </c:pt>
                <c:pt idx="356">
                  <c:v>126.5810729397345</c:v>
                </c:pt>
                <c:pt idx="357">
                  <c:v>126.5810729397345</c:v>
                </c:pt>
                <c:pt idx="358">
                  <c:v>126.5810729397345</c:v>
                </c:pt>
                <c:pt idx="359">
                  <c:v>126.5810729397345</c:v>
                </c:pt>
                <c:pt idx="360">
                  <c:v>126.5810729397345</c:v>
                </c:pt>
                <c:pt idx="361">
                  <c:v>126.5810729397345</c:v>
                </c:pt>
                <c:pt idx="362">
                  <c:v>126.5810729397345</c:v>
                </c:pt>
                <c:pt idx="363">
                  <c:v>126.5810729397345</c:v>
                </c:pt>
                <c:pt idx="364">
                  <c:v>126.5810729397345</c:v>
                </c:pt>
                <c:pt idx="365">
                  <c:v>126.5810729397345</c:v>
                </c:pt>
                <c:pt idx="366">
                  <c:v>100.21996715704606</c:v>
                </c:pt>
                <c:pt idx="367">
                  <c:v>100.21996715704606</c:v>
                </c:pt>
                <c:pt idx="368">
                  <c:v>100.21996715704606</c:v>
                </c:pt>
                <c:pt idx="369">
                  <c:v>100.21996715704606</c:v>
                </c:pt>
                <c:pt idx="370">
                  <c:v>100.21996715704606</c:v>
                </c:pt>
                <c:pt idx="371">
                  <c:v>100.21996715704606</c:v>
                </c:pt>
                <c:pt idx="372">
                  <c:v>100.21996715704606</c:v>
                </c:pt>
                <c:pt idx="373">
                  <c:v>100.21996715704606</c:v>
                </c:pt>
                <c:pt idx="374">
                  <c:v>100.21996715704606</c:v>
                </c:pt>
                <c:pt idx="375">
                  <c:v>100.21996715704606</c:v>
                </c:pt>
                <c:pt idx="376">
                  <c:v>100.21996715704606</c:v>
                </c:pt>
                <c:pt idx="377">
                  <c:v>100.21996715704606</c:v>
                </c:pt>
                <c:pt idx="378">
                  <c:v>100.21996715704606</c:v>
                </c:pt>
                <c:pt idx="379">
                  <c:v>100.21996715704606</c:v>
                </c:pt>
                <c:pt idx="380">
                  <c:v>100.21996715704606</c:v>
                </c:pt>
                <c:pt idx="381">
                  <c:v>100.21996715704606</c:v>
                </c:pt>
                <c:pt idx="382">
                  <c:v>100.21996715704606</c:v>
                </c:pt>
                <c:pt idx="383">
                  <c:v>100.21996715704606</c:v>
                </c:pt>
                <c:pt idx="384">
                  <c:v>100.21996715704606</c:v>
                </c:pt>
                <c:pt idx="385">
                  <c:v>100.21996715704606</c:v>
                </c:pt>
                <c:pt idx="386">
                  <c:v>100.21996715704606</c:v>
                </c:pt>
                <c:pt idx="387">
                  <c:v>100.21996715704606</c:v>
                </c:pt>
                <c:pt idx="388">
                  <c:v>100.21996715704606</c:v>
                </c:pt>
                <c:pt idx="389">
                  <c:v>100.21996715704606</c:v>
                </c:pt>
                <c:pt idx="390">
                  <c:v>100.21996715704606</c:v>
                </c:pt>
                <c:pt idx="391">
                  <c:v>100.21996715704606</c:v>
                </c:pt>
                <c:pt idx="392">
                  <c:v>100.21996715704606</c:v>
                </c:pt>
                <c:pt idx="393">
                  <c:v>100.21996715704606</c:v>
                </c:pt>
                <c:pt idx="394">
                  <c:v>100.21996715704606</c:v>
                </c:pt>
                <c:pt idx="395">
                  <c:v>100.21996715704606</c:v>
                </c:pt>
                <c:pt idx="396">
                  <c:v>100.21996715704606</c:v>
                </c:pt>
                <c:pt idx="397">
                  <c:v>73.453850578676636</c:v>
                </c:pt>
                <c:pt idx="398">
                  <c:v>73.453850578676636</c:v>
                </c:pt>
                <c:pt idx="399">
                  <c:v>73.453850578676636</c:v>
                </c:pt>
                <c:pt idx="400">
                  <c:v>73.453850578676636</c:v>
                </c:pt>
                <c:pt idx="401">
                  <c:v>73.453850578676636</c:v>
                </c:pt>
                <c:pt idx="402">
                  <c:v>73.453850578676636</c:v>
                </c:pt>
                <c:pt idx="403">
                  <c:v>73.453850578676636</c:v>
                </c:pt>
                <c:pt idx="404">
                  <c:v>73.453850578676636</c:v>
                </c:pt>
                <c:pt idx="405">
                  <c:v>73.453850578676636</c:v>
                </c:pt>
                <c:pt idx="406">
                  <c:v>73.453850578676636</c:v>
                </c:pt>
                <c:pt idx="407">
                  <c:v>73.453850578676636</c:v>
                </c:pt>
                <c:pt idx="408">
                  <c:v>73.453850578676636</c:v>
                </c:pt>
                <c:pt idx="409">
                  <c:v>73.453850578676636</c:v>
                </c:pt>
                <c:pt idx="410">
                  <c:v>73.453850578676636</c:v>
                </c:pt>
                <c:pt idx="411">
                  <c:v>73.453850578676636</c:v>
                </c:pt>
                <c:pt idx="412">
                  <c:v>73.453850578676636</c:v>
                </c:pt>
                <c:pt idx="413">
                  <c:v>73.453850578676636</c:v>
                </c:pt>
                <c:pt idx="414">
                  <c:v>73.453850578676636</c:v>
                </c:pt>
                <c:pt idx="415">
                  <c:v>73.453850578676636</c:v>
                </c:pt>
                <c:pt idx="416">
                  <c:v>73.453850578676636</c:v>
                </c:pt>
                <c:pt idx="417">
                  <c:v>73.453850578676636</c:v>
                </c:pt>
                <c:pt idx="418">
                  <c:v>73.453850578676636</c:v>
                </c:pt>
                <c:pt idx="419">
                  <c:v>73.453850578676636</c:v>
                </c:pt>
                <c:pt idx="420">
                  <c:v>73.453850578676636</c:v>
                </c:pt>
                <c:pt idx="421">
                  <c:v>73.453850578676636</c:v>
                </c:pt>
                <c:pt idx="422">
                  <c:v>73.453850578676636</c:v>
                </c:pt>
                <c:pt idx="423">
                  <c:v>73.453850578676636</c:v>
                </c:pt>
                <c:pt idx="424">
                  <c:v>73.453850578676636</c:v>
                </c:pt>
                <c:pt idx="425">
                  <c:v>73.453850578676636</c:v>
                </c:pt>
                <c:pt idx="426">
                  <c:v>73.453850578676636</c:v>
                </c:pt>
                <c:pt idx="427">
                  <c:v>62.626712990807356</c:v>
                </c:pt>
                <c:pt idx="428">
                  <c:v>62.626712990807356</c:v>
                </c:pt>
                <c:pt idx="429">
                  <c:v>62.626712990807356</c:v>
                </c:pt>
                <c:pt idx="430">
                  <c:v>62.626712990807356</c:v>
                </c:pt>
                <c:pt idx="431">
                  <c:v>62.626712990807356</c:v>
                </c:pt>
                <c:pt idx="432">
                  <c:v>62.626712990807356</c:v>
                </c:pt>
                <c:pt idx="433">
                  <c:v>62.626712990807356</c:v>
                </c:pt>
                <c:pt idx="434">
                  <c:v>62.626712990807356</c:v>
                </c:pt>
                <c:pt idx="435">
                  <c:v>62.626712990807356</c:v>
                </c:pt>
                <c:pt idx="436">
                  <c:v>62.626712990807356</c:v>
                </c:pt>
                <c:pt idx="437">
                  <c:v>62.626712990807356</c:v>
                </c:pt>
                <c:pt idx="438">
                  <c:v>62.626712990807356</c:v>
                </c:pt>
                <c:pt idx="439">
                  <c:v>62.626712990807356</c:v>
                </c:pt>
                <c:pt idx="440">
                  <c:v>62.626712990807356</c:v>
                </c:pt>
                <c:pt idx="441">
                  <c:v>62.626712990807356</c:v>
                </c:pt>
                <c:pt idx="442">
                  <c:v>62.626712990807356</c:v>
                </c:pt>
                <c:pt idx="443">
                  <c:v>62.626712990807356</c:v>
                </c:pt>
                <c:pt idx="444">
                  <c:v>62.626712990807356</c:v>
                </c:pt>
                <c:pt idx="445">
                  <c:v>62.626712990807356</c:v>
                </c:pt>
                <c:pt idx="446">
                  <c:v>62.626712990807356</c:v>
                </c:pt>
                <c:pt idx="447">
                  <c:v>62.626712990807356</c:v>
                </c:pt>
                <c:pt idx="448">
                  <c:v>62.626712990807356</c:v>
                </c:pt>
                <c:pt idx="449">
                  <c:v>62.626712990807356</c:v>
                </c:pt>
                <c:pt idx="450">
                  <c:v>62.626712990807356</c:v>
                </c:pt>
                <c:pt idx="451">
                  <c:v>62.626712990807356</c:v>
                </c:pt>
                <c:pt idx="452">
                  <c:v>62.626712990807356</c:v>
                </c:pt>
                <c:pt idx="453">
                  <c:v>62.626712990807356</c:v>
                </c:pt>
                <c:pt idx="454">
                  <c:v>62.626712990807356</c:v>
                </c:pt>
                <c:pt idx="455">
                  <c:v>62.626712990807356</c:v>
                </c:pt>
                <c:pt idx="456">
                  <c:v>62.626712990807356</c:v>
                </c:pt>
                <c:pt idx="457">
                  <c:v>62.626712990807356</c:v>
                </c:pt>
                <c:pt idx="458">
                  <c:v>91.910462511652426</c:v>
                </c:pt>
                <c:pt idx="459">
                  <c:v>91.910462511652426</c:v>
                </c:pt>
                <c:pt idx="460">
                  <c:v>91.910462511652426</c:v>
                </c:pt>
                <c:pt idx="461">
                  <c:v>91.910462511652426</c:v>
                </c:pt>
                <c:pt idx="462">
                  <c:v>91.910462511652426</c:v>
                </c:pt>
                <c:pt idx="463">
                  <c:v>91.910462511652426</c:v>
                </c:pt>
                <c:pt idx="464">
                  <c:v>91.910462511652426</c:v>
                </c:pt>
                <c:pt idx="465">
                  <c:v>91.910462511652426</c:v>
                </c:pt>
                <c:pt idx="466">
                  <c:v>91.910462511652426</c:v>
                </c:pt>
                <c:pt idx="467">
                  <c:v>91.910462511652426</c:v>
                </c:pt>
                <c:pt idx="468">
                  <c:v>91.910462511652426</c:v>
                </c:pt>
                <c:pt idx="469">
                  <c:v>91.910462511652426</c:v>
                </c:pt>
                <c:pt idx="470">
                  <c:v>91.910462511652426</c:v>
                </c:pt>
                <c:pt idx="471">
                  <c:v>91.910462511652426</c:v>
                </c:pt>
                <c:pt idx="472">
                  <c:v>91.910462511652426</c:v>
                </c:pt>
                <c:pt idx="473">
                  <c:v>91.910462511652426</c:v>
                </c:pt>
                <c:pt idx="474">
                  <c:v>91.910462511652426</c:v>
                </c:pt>
                <c:pt idx="475">
                  <c:v>91.910462511652426</c:v>
                </c:pt>
                <c:pt idx="476">
                  <c:v>91.910462511652426</c:v>
                </c:pt>
                <c:pt idx="477">
                  <c:v>91.910462511652426</c:v>
                </c:pt>
                <c:pt idx="478">
                  <c:v>91.910462511652426</c:v>
                </c:pt>
                <c:pt idx="479">
                  <c:v>91.910462511652426</c:v>
                </c:pt>
                <c:pt idx="480">
                  <c:v>91.910462511652426</c:v>
                </c:pt>
                <c:pt idx="481">
                  <c:v>91.910462511652426</c:v>
                </c:pt>
                <c:pt idx="482">
                  <c:v>91.910462511652426</c:v>
                </c:pt>
                <c:pt idx="483">
                  <c:v>91.910462511652426</c:v>
                </c:pt>
                <c:pt idx="484">
                  <c:v>91.910462511652426</c:v>
                </c:pt>
                <c:pt idx="485">
                  <c:v>91.910462511652426</c:v>
                </c:pt>
                <c:pt idx="486">
                  <c:v>91.910462511652426</c:v>
                </c:pt>
                <c:pt idx="487">
                  <c:v>91.910462511652426</c:v>
                </c:pt>
                <c:pt idx="488">
                  <c:v>91.910462511652426</c:v>
                </c:pt>
                <c:pt idx="489">
                  <c:v>118.61335757704707</c:v>
                </c:pt>
                <c:pt idx="490">
                  <c:v>118.61335757704707</c:v>
                </c:pt>
                <c:pt idx="491">
                  <c:v>118.61335757704707</c:v>
                </c:pt>
                <c:pt idx="492">
                  <c:v>118.61335757704707</c:v>
                </c:pt>
                <c:pt idx="493">
                  <c:v>118.61335757704707</c:v>
                </c:pt>
                <c:pt idx="494">
                  <c:v>118.61335757704707</c:v>
                </c:pt>
                <c:pt idx="495">
                  <c:v>118.61335757704707</c:v>
                </c:pt>
                <c:pt idx="496">
                  <c:v>118.61335757704707</c:v>
                </c:pt>
                <c:pt idx="497">
                  <c:v>118.61335757704707</c:v>
                </c:pt>
                <c:pt idx="498">
                  <c:v>118.61335757704707</c:v>
                </c:pt>
                <c:pt idx="499">
                  <c:v>118.61335757704707</c:v>
                </c:pt>
                <c:pt idx="500">
                  <c:v>118.61335757704707</c:v>
                </c:pt>
                <c:pt idx="501">
                  <c:v>118.61335757704707</c:v>
                </c:pt>
                <c:pt idx="502">
                  <c:v>118.61335757704707</c:v>
                </c:pt>
                <c:pt idx="503">
                  <c:v>118.61335757704707</c:v>
                </c:pt>
                <c:pt idx="504">
                  <c:v>118.61335757704707</c:v>
                </c:pt>
                <c:pt idx="505">
                  <c:v>118.61335757704707</c:v>
                </c:pt>
                <c:pt idx="506">
                  <c:v>118.61335757704707</c:v>
                </c:pt>
                <c:pt idx="507">
                  <c:v>118.61335757704707</c:v>
                </c:pt>
                <c:pt idx="508">
                  <c:v>118.61335757704707</c:v>
                </c:pt>
                <c:pt idx="509">
                  <c:v>118.61335757704707</c:v>
                </c:pt>
                <c:pt idx="510">
                  <c:v>118.61335757704707</c:v>
                </c:pt>
                <c:pt idx="511">
                  <c:v>118.61335757704707</c:v>
                </c:pt>
                <c:pt idx="512">
                  <c:v>118.61335757704707</c:v>
                </c:pt>
                <c:pt idx="513">
                  <c:v>118.61335757704707</c:v>
                </c:pt>
                <c:pt idx="514">
                  <c:v>118.61335757704707</c:v>
                </c:pt>
                <c:pt idx="515">
                  <c:v>118.61335757704707</c:v>
                </c:pt>
                <c:pt idx="516">
                  <c:v>118.61335757704707</c:v>
                </c:pt>
                <c:pt idx="517">
                  <c:v>138.94322861851279</c:v>
                </c:pt>
                <c:pt idx="518">
                  <c:v>138.94322861851279</c:v>
                </c:pt>
                <c:pt idx="519">
                  <c:v>138.94322861851279</c:v>
                </c:pt>
                <c:pt idx="520">
                  <c:v>138.94322861851279</c:v>
                </c:pt>
                <c:pt idx="521">
                  <c:v>138.94322861851279</c:v>
                </c:pt>
                <c:pt idx="522">
                  <c:v>138.94322861851279</c:v>
                </c:pt>
                <c:pt idx="523">
                  <c:v>138.94322861851279</c:v>
                </c:pt>
                <c:pt idx="524">
                  <c:v>138.94322861851279</c:v>
                </c:pt>
                <c:pt idx="525">
                  <c:v>138.94322861851279</c:v>
                </c:pt>
                <c:pt idx="526">
                  <c:v>138.94322861851279</c:v>
                </c:pt>
                <c:pt idx="527">
                  <c:v>138.94322861851279</c:v>
                </c:pt>
                <c:pt idx="528">
                  <c:v>138.94322861851279</c:v>
                </c:pt>
                <c:pt idx="529">
                  <c:v>138.94322861851279</c:v>
                </c:pt>
                <c:pt idx="530">
                  <c:v>138.94322861851279</c:v>
                </c:pt>
                <c:pt idx="531">
                  <c:v>138.94322861851279</c:v>
                </c:pt>
                <c:pt idx="532">
                  <c:v>138.94322861851279</c:v>
                </c:pt>
                <c:pt idx="533">
                  <c:v>138.94322861851279</c:v>
                </c:pt>
                <c:pt idx="534">
                  <c:v>138.94322861851279</c:v>
                </c:pt>
                <c:pt idx="535">
                  <c:v>138.94322861851279</c:v>
                </c:pt>
                <c:pt idx="536">
                  <c:v>138.94322861851279</c:v>
                </c:pt>
                <c:pt idx="537">
                  <c:v>138.94322861851279</c:v>
                </c:pt>
                <c:pt idx="538">
                  <c:v>138.94322861851279</c:v>
                </c:pt>
                <c:pt idx="539">
                  <c:v>138.94322861851279</c:v>
                </c:pt>
                <c:pt idx="540">
                  <c:v>138.94322861851279</c:v>
                </c:pt>
                <c:pt idx="541">
                  <c:v>138.94322861851279</c:v>
                </c:pt>
                <c:pt idx="542">
                  <c:v>138.94322861851279</c:v>
                </c:pt>
                <c:pt idx="543">
                  <c:v>138.94322861851279</c:v>
                </c:pt>
                <c:pt idx="544">
                  <c:v>138.94322861851279</c:v>
                </c:pt>
                <c:pt idx="545">
                  <c:v>138.94322861851279</c:v>
                </c:pt>
                <c:pt idx="546">
                  <c:v>138.94322861851279</c:v>
                </c:pt>
                <c:pt idx="547">
                  <c:v>138.94322861851279</c:v>
                </c:pt>
                <c:pt idx="548">
                  <c:v>161.05741041683874</c:v>
                </c:pt>
                <c:pt idx="549">
                  <c:v>161.05741041683874</c:v>
                </c:pt>
                <c:pt idx="550">
                  <c:v>161.05741041683874</c:v>
                </c:pt>
                <c:pt idx="551">
                  <c:v>161.05741041683874</c:v>
                </c:pt>
                <c:pt idx="552">
                  <c:v>161.05741041683874</c:v>
                </c:pt>
                <c:pt idx="553">
                  <c:v>161.05741041683874</c:v>
                </c:pt>
                <c:pt idx="554">
                  <c:v>161.05741041683874</c:v>
                </c:pt>
                <c:pt idx="555">
                  <c:v>161.05741041683874</c:v>
                </c:pt>
                <c:pt idx="556">
                  <c:v>161.05741041683874</c:v>
                </c:pt>
                <c:pt idx="557">
                  <c:v>161.05741041683874</c:v>
                </c:pt>
                <c:pt idx="558">
                  <c:v>161.05741041683874</c:v>
                </c:pt>
                <c:pt idx="559">
                  <c:v>161.05741041683874</c:v>
                </c:pt>
                <c:pt idx="560">
                  <c:v>161.05741041683874</c:v>
                </c:pt>
                <c:pt idx="561">
                  <c:v>161.05741041683874</c:v>
                </c:pt>
                <c:pt idx="562">
                  <c:v>161.05741041683874</c:v>
                </c:pt>
                <c:pt idx="563">
                  <c:v>161.05741041683874</c:v>
                </c:pt>
                <c:pt idx="564">
                  <c:v>161.05741041683874</c:v>
                </c:pt>
                <c:pt idx="565">
                  <c:v>161.05741041683874</c:v>
                </c:pt>
                <c:pt idx="566">
                  <c:v>161.05741041683874</c:v>
                </c:pt>
                <c:pt idx="567">
                  <c:v>161.05741041683874</c:v>
                </c:pt>
                <c:pt idx="568">
                  <c:v>161.05741041683874</c:v>
                </c:pt>
                <c:pt idx="569">
                  <c:v>161.05741041683874</c:v>
                </c:pt>
                <c:pt idx="570">
                  <c:v>161.05741041683874</c:v>
                </c:pt>
                <c:pt idx="571">
                  <c:v>161.05741041683874</c:v>
                </c:pt>
                <c:pt idx="572">
                  <c:v>161.05741041683874</c:v>
                </c:pt>
                <c:pt idx="573">
                  <c:v>161.05741041683874</c:v>
                </c:pt>
                <c:pt idx="574">
                  <c:v>161.05741041683874</c:v>
                </c:pt>
                <c:pt idx="575">
                  <c:v>161.05741041683874</c:v>
                </c:pt>
                <c:pt idx="576">
                  <c:v>161.05741041683874</c:v>
                </c:pt>
                <c:pt idx="577">
                  <c:v>161.05741041683874</c:v>
                </c:pt>
                <c:pt idx="578">
                  <c:v>188.28306836915701</c:v>
                </c:pt>
                <c:pt idx="579">
                  <c:v>188.28306836915701</c:v>
                </c:pt>
                <c:pt idx="580">
                  <c:v>188.28306836915701</c:v>
                </c:pt>
                <c:pt idx="581">
                  <c:v>188.28306836915701</c:v>
                </c:pt>
                <c:pt idx="582">
                  <c:v>188.28306836915701</c:v>
                </c:pt>
                <c:pt idx="583">
                  <c:v>188.28306836915701</c:v>
                </c:pt>
                <c:pt idx="584">
                  <c:v>188.28306836915701</c:v>
                </c:pt>
                <c:pt idx="585">
                  <c:v>188.28306836915701</c:v>
                </c:pt>
                <c:pt idx="586">
                  <c:v>188.28306836915701</c:v>
                </c:pt>
                <c:pt idx="587">
                  <c:v>188.28306836915701</c:v>
                </c:pt>
                <c:pt idx="588">
                  <c:v>188.28306836915701</c:v>
                </c:pt>
                <c:pt idx="589">
                  <c:v>188.28306836915701</c:v>
                </c:pt>
                <c:pt idx="590">
                  <c:v>188.28306836915701</c:v>
                </c:pt>
                <c:pt idx="591">
                  <c:v>188.28306836915701</c:v>
                </c:pt>
                <c:pt idx="592">
                  <c:v>188.28306836915701</c:v>
                </c:pt>
                <c:pt idx="593">
                  <c:v>188.28306836915701</c:v>
                </c:pt>
                <c:pt idx="594">
                  <c:v>188.28306836915701</c:v>
                </c:pt>
                <c:pt idx="595">
                  <c:v>188.28306836915701</c:v>
                </c:pt>
                <c:pt idx="596">
                  <c:v>188.28306836915701</c:v>
                </c:pt>
                <c:pt idx="597">
                  <c:v>188.28306836915701</c:v>
                </c:pt>
                <c:pt idx="598">
                  <c:v>188.28306836915701</c:v>
                </c:pt>
                <c:pt idx="599">
                  <c:v>188.28306836915701</c:v>
                </c:pt>
                <c:pt idx="600">
                  <c:v>188.28306836915701</c:v>
                </c:pt>
                <c:pt idx="601">
                  <c:v>188.28306836915701</c:v>
                </c:pt>
                <c:pt idx="602">
                  <c:v>188.28306836915701</c:v>
                </c:pt>
                <c:pt idx="603">
                  <c:v>188.28306836915701</c:v>
                </c:pt>
                <c:pt idx="604">
                  <c:v>188.28306836915701</c:v>
                </c:pt>
                <c:pt idx="605">
                  <c:v>188.28306836915701</c:v>
                </c:pt>
                <c:pt idx="606">
                  <c:v>188.28306836915701</c:v>
                </c:pt>
                <c:pt idx="607">
                  <c:v>188.28306836915701</c:v>
                </c:pt>
                <c:pt idx="608">
                  <c:v>188.28306836915701</c:v>
                </c:pt>
                <c:pt idx="609">
                  <c:v>193.37064331944424</c:v>
                </c:pt>
                <c:pt idx="610">
                  <c:v>193.37064331944424</c:v>
                </c:pt>
                <c:pt idx="611">
                  <c:v>193.37064331944424</c:v>
                </c:pt>
                <c:pt idx="612">
                  <c:v>193.37064331944424</c:v>
                </c:pt>
                <c:pt idx="613">
                  <c:v>193.37064331944424</c:v>
                </c:pt>
                <c:pt idx="614">
                  <c:v>193.37064331944424</c:v>
                </c:pt>
                <c:pt idx="615">
                  <c:v>193.37064331944424</c:v>
                </c:pt>
                <c:pt idx="616">
                  <c:v>193.37064331944424</c:v>
                </c:pt>
                <c:pt idx="617">
                  <c:v>193.37064331944424</c:v>
                </c:pt>
                <c:pt idx="618">
                  <c:v>193.37064331944424</c:v>
                </c:pt>
                <c:pt idx="619">
                  <c:v>193.37064331944424</c:v>
                </c:pt>
                <c:pt idx="620">
                  <c:v>193.37064331944424</c:v>
                </c:pt>
                <c:pt idx="621">
                  <c:v>193.37064331944424</c:v>
                </c:pt>
                <c:pt idx="622">
                  <c:v>193.37064331944424</c:v>
                </c:pt>
                <c:pt idx="623">
                  <c:v>193.37064331944424</c:v>
                </c:pt>
                <c:pt idx="624">
                  <c:v>193.37064331944424</c:v>
                </c:pt>
                <c:pt idx="625">
                  <c:v>193.37064331944424</c:v>
                </c:pt>
                <c:pt idx="626">
                  <c:v>193.37064331944424</c:v>
                </c:pt>
                <c:pt idx="627">
                  <c:v>193.37064331944424</c:v>
                </c:pt>
                <c:pt idx="628">
                  <c:v>193.37064331944424</c:v>
                </c:pt>
                <c:pt idx="629">
                  <c:v>193.37064331944424</c:v>
                </c:pt>
                <c:pt idx="630">
                  <c:v>193.37064331944424</c:v>
                </c:pt>
                <c:pt idx="631">
                  <c:v>193.37064331944424</c:v>
                </c:pt>
                <c:pt idx="632">
                  <c:v>193.37064331944424</c:v>
                </c:pt>
                <c:pt idx="633">
                  <c:v>193.37064331944424</c:v>
                </c:pt>
                <c:pt idx="634">
                  <c:v>193.37064331944424</c:v>
                </c:pt>
                <c:pt idx="635">
                  <c:v>193.37064331944424</c:v>
                </c:pt>
                <c:pt idx="636">
                  <c:v>193.37064331944424</c:v>
                </c:pt>
                <c:pt idx="637">
                  <c:v>193.37064331944424</c:v>
                </c:pt>
                <c:pt idx="638">
                  <c:v>193.37064331944424</c:v>
                </c:pt>
                <c:pt idx="639">
                  <c:v>200.02189858801364</c:v>
                </c:pt>
                <c:pt idx="640">
                  <c:v>200.02189858801364</c:v>
                </c:pt>
                <c:pt idx="641">
                  <c:v>200.02189858801364</c:v>
                </c:pt>
                <c:pt idx="642">
                  <c:v>200.02189858801364</c:v>
                </c:pt>
                <c:pt idx="643">
                  <c:v>200.02189858801364</c:v>
                </c:pt>
                <c:pt idx="644">
                  <c:v>200.02189858801364</c:v>
                </c:pt>
                <c:pt idx="645">
                  <c:v>200.02189858801364</c:v>
                </c:pt>
                <c:pt idx="646">
                  <c:v>200.02189858801364</c:v>
                </c:pt>
                <c:pt idx="647">
                  <c:v>200.02189858801364</c:v>
                </c:pt>
                <c:pt idx="648">
                  <c:v>200.02189858801364</c:v>
                </c:pt>
                <c:pt idx="649">
                  <c:v>200.02189858801364</c:v>
                </c:pt>
                <c:pt idx="650">
                  <c:v>200.02189858801364</c:v>
                </c:pt>
                <c:pt idx="651">
                  <c:v>200.02189858801364</c:v>
                </c:pt>
                <c:pt idx="652">
                  <c:v>200.02189858801364</c:v>
                </c:pt>
                <c:pt idx="653">
                  <c:v>200.02189858801364</c:v>
                </c:pt>
                <c:pt idx="654">
                  <c:v>200.02189858801364</c:v>
                </c:pt>
                <c:pt idx="655">
                  <c:v>200.02189858801364</c:v>
                </c:pt>
                <c:pt idx="656">
                  <c:v>200.02189858801364</c:v>
                </c:pt>
                <c:pt idx="657">
                  <c:v>200.02189858801364</c:v>
                </c:pt>
                <c:pt idx="658">
                  <c:v>200.02189858801364</c:v>
                </c:pt>
                <c:pt idx="659">
                  <c:v>200.02189858801364</c:v>
                </c:pt>
                <c:pt idx="660">
                  <c:v>200.02189858801364</c:v>
                </c:pt>
                <c:pt idx="661">
                  <c:v>200.02189858801364</c:v>
                </c:pt>
                <c:pt idx="662">
                  <c:v>200.02189858801364</c:v>
                </c:pt>
                <c:pt idx="663">
                  <c:v>200.02189858801364</c:v>
                </c:pt>
                <c:pt idx="664">
                  <c:v>200.02189858801364</c:v>
                </c:pt>
                <c:pt idx="665">
                  <c:v>200.02189858801364</c:v>
                </c:pt>
                <c:pt idx="666">
                  <c:v>200.02189858801364</c:v>
                </c:pt>
                <c:pt idx="667">
                  <c:v>200.02189858801364</c:v>
                </c:pt>
                <c:pt idx="668">
                  <c:v>200.02189858801364</c:v>
                </c:pt>
                <c:pt idx="669">
                  <c:v>200.02189858801364</c:v>
                </c:pt>
                <c:pt idx="670">
                  <c:v>185.40648522506032</c:v>
                </c:pt>
                <c:pt idx="671">
                  <c:v>185.40648522506032</c:v>
                </c:pt>
                <c:pt idx="672">
                  <c:v>185.40648522506032</c:v>
                </c:pt>
                <c:pt idx="673">
                  <c:v>185.40648522506032</c:v>
                </c:pt>
                <c:pt idx="674">
                  <c:v>185.40648522506032</c:v>
                </c:pt>
                <c:pt idx="675">
                  <c:v>185.40648522506032</c:v>
                </c:pt>
                <c:pt idx="676">
                  <c:v>185.40648522506032</c:v>
                </c:pt>
                <c:pt idx="677">
                  <c:v>185.40648522506032</c:v>
                </c:pt>
                <c:pt idx="678">
                  <c:v>185.40648522506032</c:v>
                </c:pt>
                <c:pt idx="679">
                  <c:v>185.40648522506032</c:v>
                </c:pt>
                <c:pt idx="680">
                  <c:v>185.40648522506032</c:v>
                </c:pt>
                <c:pt idx="681">
                  <c:v>185.40648522506032</c:v>
                </c:pt>
                <c:pt idx="682">
                  <c:v>185.40648522506032</c:v>
                </c:pt>
                <c:pt idx="683">
                  <c:v>185.40648522506032</c:v>
                </c:pt>
                <c:pt idx="684">
                  <c:v>185.40648522506032</c:v>
                </c:pt>
                <c:pt idx="685">
                  <c:v>185.40648522506032</c:v>
                </c:pt>
                <c:pt idx="686">
                  <c:v>185.40648522506032</c:v>
                </c:pt>
                <c:pt idx="687">
                  <c:v>185.40648522506032</c:v>
                </c:pt>
                <c:pt idx="688">
                  <c:v>185.40648522506032</c:v>
                </c:pt>
                <c:pt idx="689">
                  <c:v>185.40648522506032</c:v>
                </c:pt>
                <c:pt idx="690">
                  <c:v>185.40648522506032</c:v>
                </c:pt>
                <c:pt idx="691">
                  <c:v>185.40648522506032</c:v>
                </c:pt>
                <c:pt idx="692">
                  <c:v>185.40648522506032</c:v>
                </c:pt>
                <c:pt idx="693">
                  <c:v>185.40648522506032</c:v>
                </c:pt>
                <c:pt idx="694">
                  <c:v>185.40648522506032</c:v>
                </c:pt>
                <c:pt idx="695">
                  <c:v>185.40648522506032</c:v>
                </c:pt>
                <c:pt idx="696">
                  <c:v>185.40648522506032</c:v>
                </c:pt>
                <c:pt idx="697">
                  <c:v>185.40648522506032</c:v>
                </c:pt>
                <c:pt idx="698">
                  <c:v>185.40648522506032</c:v>
                </c:pt>
                <c:pt idx="699">
                  <c:v>185.40648522506032</c:v>
                </c:pt>
                <c:pt idx="700">
                  <c:v>185.40648522506032</c:v>
                </c:pt>
                <c:pt idx="701">
                  <c:v>157.57488269760745</c:v>
                </c:pt>
                <c:pt idx="702">
                  <c:v>157.57488269760745</c:v>
                </c:pt>
                <c:pt idx="703">
                  <c:v>157.57488269760745</c:v>
                </c:pt>
                <c:pt idx="704">
                  <c:v>157.57488269760745</c:v>
                </c:pt>
                <c:pt idx="705">
                  <c:v>157.57488269760745</c:v>
                </c:pt>
                <c:pt idx="706">
                  <c:v>157.57488269760745</c:v>
                </c:pt>
                <c:pt idx="707">
                  <c:v>157.57488269760745</c:v>
                </c:pt>
                <c:pt idx="708">
                  <c:v>157.57488269760745</c:v>
                </c:pt>
                <c:pt idx="709">
                  <c:v>157.57488269760745</c:v>
                </c:pt>
                <c:pt idx="710">
                  <c:v>157.57488269760745</c:v>
                </c:pt>
                <c:pt idx="711">
                  <c:v>157.57488269760745</c:v>
                </c:pt>
                <c:pt idx="712">
                  <c:v>157.57488269760745</c:v>
                </c:pt>
                <c:pt idx="713">
                  <c:v>157.57488269760745</c:v>
                </c:pt>
                <c:pt idx="714">
                  <c:v>157.57488269760745</c:v>
                </c:pt>
                <c:pt idx="715">
                  <c:v>157.57488269760745</c:v>
                </c:pt>
                <c:pt idx="716">
                  <c:v>157.57488269760745</c:v>
                </c:pt>
                <c:pt idx="717">
                  <c:v>157.57488269760745</c:v>
                </c:pt>
                <c:pt idx="718">
                  <c:v>157.57488269760745</c:v>
                </c:pt>
                <c:pt idx="719">
                  <c:v>157.57488269760745</c:v>
                </c:pt>
                <c:pt idx="720">
                  <c:v>157.57488269760745</c:v>
                </c:pt>
                <c:pt idx="721">
                  <c:v>157.57488269760745</c:v>
                </c:pt>
                <c:pt idx="722">
                  <c:v>157.57488269760745</c:v>
                </c:pt>
                <c:pt idx="723">
                  <c:v>157.57488269760745</c:v>
                </c:pt>
                <c:pt idx="724">
                  <c:v>157.57488269760745</c:v>
                </c:pt>
                <c:pt idx="725">
                  <c:v>157.57488269760745</c:v>
                </c:pt>
                <c:pt idx="726">
                  <c:v>157.57488269760745</c:v>
                </c:pt>
                <c:pt idx="727">
                  <c:v>157.57488269760745</c:v>
                </c:pt>
                <c:pt idx="728">
                  <c:v>157.57488269760745</c:v>
                </c:pt>
                <c:pt idx="729">
                  <c:v>157.57488269760745</c:v>
                </c:pt>
                <c:pt idx="730">
                  <c:v>157.57488269760745</c:v>
                </c:pt>
                <c:pt idx="731">
                  <c:v>120.40105743218382</c:v>
                </c:pt>
                <c:pt idx="732">
                  <c:v>120.40105743218382</c:v>
                </c:pt>
                <c:pt idx="733">
                  <c:v>120.40105743218382</c:v>
                </c:pt>
                <c:pt idx="734">
                  <c:v>120.40105743218382</c:v>
                </c:pt>
                <c:pt idx="735">
                  <c:v>120.40105743218382</c:v>
                </c:pt>
                <c:pt idx="736">
                  <c:v>120.40105743218382</c:v>
                </c:pt>
                <c:pt idx="737">
                  <c:v>120.40105743218382</c:v>
                </c:pt>
                <c:pt idx="738">
                  <c:v>120.40105743218382</c:v>
                </c:pt>
                <c:pt idx="739">
                  <c:v>120.40105743218382</c:v>
                </c:pt>
                <c:pt idx="740">
                  <c:v>120.40105743218382</c:v>
                </c:pt>
                <c:pt idx="741">
                  <c:v>120.40105743218382</c:v>
                </c:pt>
                <c:pt idx="742">
                  <c:v>120.40105743218382</c:v>
                </c:pt>
                <c:pt idx="743">
                  <c:v>120.40105743218382</c:v>
                </c:pt>
                <c:pt idx="744">
                  <c:v>120.40105743218382</c:v>
                </c:pt>
                <c:pt idx="745">
                  <c:v>120.40105743218382</c:v>
                </c:pt>
                <c:pt idx="746">
                  <c:v>120.40105743218382</c:v>
                </c:pt>
                <c:pt idx="747">
                  <c:v>120.40105743218382</c:v>
                </c:pt>
                <c:pt idx="748">
                  <c:v>120.40105743218382</c:v>
                </c:pt>
                <c:pt idx="749">
                  <c:v>120.40105743218382</c:v>
                </c:pt>
                <c:pt idx="750">
                  <c:v>120.40105743218382</c:v>
                </c:pt>
                <c:pt idx="751">
                  <c:v>120.40105743218382</c:v>
                </c:pt>
                <c:pt idx="752">
                  <c:v>120.40105743218382</c:v>
                </c:pt>
                <c:pt idx="753">
                  <c:v>120.40105743218382</c:v>
                </c:pt>
                <c:pt idx="754">
                  <c:v>120.40105743218382</c:v>
                </c:pt>
                <c:pt idx="755">
                  <c:v>120.40105743218382</c:v>
                </c:pt>
                <c:pt idx="756">
                  <c:v>120.40105743218382</c:v>
                </c:pt>
                <c:pt idx="757">
                  <c:v>120.40105743218382</c:v>
                </c:pt>
                <c:pt idx="758">
                  <c:v>120.40105743218382</c:v>
                </c:pt>
                <c:pt idx="759">
                  <c:v>120.40105743218382</c:v>
                </c:pt>
                <c:pt idx="760">
                  <c:v>120.40105743218382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5'!$E$2:$E$762</c:f>
              <c:numCache>
                <c:formatCode>#,##0</c:formatCode>
                <c:ptCount val="761"/>
                <c:pt idx="0">
                  <c:v>79.14317577075542</c:v>
                </c:pt>
                <c:pt idx="1">
                  <c:v>79.14317577075542</c:v>
                </c:pt>
                <c:pt idx="2">
                  <c:v>79.14317577075542</c:v>
                </c:pt>
                <c:pt idx="3">
                  <c:v>79.14317577075542</c:v>
                </c:pt>
                <c:pt idx="4">
                  <c:v>79.14317577075542</c:v>
                </c:pt>
                <c:pt idx="5">
                  <c:v>79.14317577075542</c:v>
                </c:pt>
                <c:pt idx="6">
                  <c:v>79.14317577075542</c:v>
                </c:pt>
                <c:pt idx="7">
                  <c:v>79.14317577075542</c:v>
                </c:pt>
                <c:pt idx="8">
                  <c:v>79.14317577075542</c:v>
                </c:pt>
                <c:pt idx="9">
                  <c:v>79.14317577075542</c:v>
                </c:pt>
                <c:pt idx="10">
                  <c:v>79.14317577075542</c:v>
                </c:pt>
                <c:pt idx="11">
                  <c:v>79.14317577075542</c:v>
                </c:pt>
                <c:pt idx="12">
                  <c:v>79.14317577075542</c:v>
                </c:pt>
                <c:pt idx="13">
                  <c:v>69.040951000000007</c:v>
                </c:pt>
                <c:pt idx="14">
                  <c:v>76.778490000000005</c:v>
                </c:pt>
                <c:pt idx="15">
                  <c:v>61.620069999999998</c:v>
                </c:pt>
                <c:pt idx="16">
                  <c:v>63.527481999999999</c:v>
                </c:pt>
                <c:pt idx="17">
                  <c:v>68.204227000000003</c:v>
                </c:pt>
                <c:pt idx="18">
                  <c:v>22.012518</c:v>
                </c:pt>
                <c:pt idx="19">
                  <c:v>69.623384000000001</c:v>
                </c:pt>
                <c:pt idx="20">
                  <c:v>79.14317577075542</c:v>
                </c:pt>
                <c:pt idx="21">
                  <c:v>36.361680999999997</c:v>
                </c:pt>
                <c:pt idx="22">
                  <c:v>48.181832999999997</c:v>
                </c:pt>
                <c:pt idx="23">
                  <c:v>76.79440799999999</c:v>
                </c:pt>
                <c:pt idx="24">
                  <c:v>54.737656999999999</c:v>
                </c:pt>
                <c:pt idx="25">
                  <c:v>36.479742000000002</c:v>
                </c:pt>
                <c:pt idx="26">
                  <c:v>65.397288000000003</c:v>
                </c:pt>
                <c:pt idx="27">
                  <c:v>67.752014000000003</c:v>
                </c:pt>
                <c:pt idx="28">
                  <c:v>50.649194999999999</c:v>
                </c:pt>
                <c:pt idx="29">
                  <c:v>70.832736000000011</c:v>
                </c:pt>
                <c:pt idx="30">
                  <c:v>39.057870000000001</c:v>
                </c:pt>
                <c:pt idx="31">
                  <c:v>46.288249</c:v>
                </c:pt>
                <c:pt idx="32">
                  <c:v>40.837874000000006</c:v>
                </c:pt>
                <c:pt idx="33">
                  <c:v>52.930858000000001</c:v>
                </c:pt>
                <c:pt idx="34">
                  <c:v>41.972282</c:v>
                </c:pt>
                <c:pt idx="35">
                  <c:v>58.783394810876416</c:v>
                </c:pt>
                <c:pt idx="36">
                  <c:v>58.783394810876416</c:v>
                </c:pt>
                <c:pt idx="37">
                  <c:v>58.783394810876416</c:v>
                </c:pt>
                <c:pt idx="38">
                  <c:v>58.783394810876416</c:v>
                </c:pt>
                <c:pt idx="39">
                  <c:v>58.783394810876416</c:v>
                </c:pt>
                <c:pt idx="40">
                  <c:v>58.783394810876416</c:v>
                </c:pt>
                <c:pt idx="41">
                  <c:v>43.978161</c:v>
                </c:pt>
                <c:pt idx="42">
                  <c:v>58.783394810876416</c:v>
                </c:pt>
                <c:pt idx="43">
                  <c:v>58.783394810876416</c:v>
                </c:pt>
                <c:pt idx="44">
                  <c:v>58.783394810876416</c:v>
                </c:pt>
                <c:pt idx="45">
                  <c:v>58.783394810876416</c:v>
                </c:pt>
                <c:pt idx="46">
                  <c:v>58.783394810876416</c:v>
                </c:pt>
                <c:pt idx="47">
                  <c:v>58.783394810876416</c:v>
                </c:pt>
                <c:pt idx="48">
                  <c:v>58.783394810876416</c:v>
                </c:pt>
                <c:pt idx="49">
                  <c:v>58.783394810876416</c:v>
                </c:pt>
                <c:pt idx="50">
                  <c:v>58.783394810876416</c:v>
                </c:pt>
                <c:pt idx="51">
                  <c:v>58.783394810876416</c:v>
                </c:pt>
                <c:pt idx="52">
                  <c:v>58.783394810876416</c:v>
                </c:pt>
                <c:pt idx="53">
                  <c:v>58.783394810876416</c:v>
                </c:pt>
                <c:pt idx="54">
                  <c:v>58.783394810876416</c:v>
                </c:pt>
                <c:pt idx="55">
                  <c:v>58.783394810876416</c:v>
                </c:pt>
                <c:pt idx="56">
                  <c:v>58.783394810876416</c:v>
                </c:pt>
                <c:pt idx="57">
                  <c:v>55.906965</c:v>
                </c:pt>
                <c:pt idx="58">
                  <c:v>29.955693</c:v>
                </c:pt>
                <c:pt idx="59">
                  <c:v>35.317715</c:v>
                </c:pt>
                <c:pt idx="60">
                  <c:v>25.651702</c:v>
                </c:pt>
                <c:pt idx="61">
                  <c:v>47.024774000000001</c:v>
                </c:pt>
                <c:pt idx="62">
                  <c:v>49.712879705084134</c:v>
                </c:pt>
                <c:pt idx="63">
                  <c:v>49.712879705084134</c:v>
                </c:pt>
                <c:pt idx="64">
                  <c:v>32.806052000000001</c:v>
                </c:pt>
                <c:pt idx="65">
                  <c:v>38.519732000000005</c:v>
                </c:pt>
                <c:pt idx="66">
                  <c:v>40.338355999999997</c:v>
                </c:pt>
                <c:pt idx="67">
                  <c:v>32.601993999999998</c:v>
                </c:pt>
                <c:pt idx="68">
                  <c:v>49.712879705084134</c:v>
                </c:pt>
                <c:pt idx="69">
                  <c:v>42.002099000000001</c:v>
                </c:pt>
                <c:pt idx="70">
                  <c:v>44.956557000000004</c:v>
                </c:pt>
                <c:pt idx="71">
                  <c:v>49.712879705084134</c:v>
                </c:pt>
                <c:pt idx="72">
                  <c:v>47.111885999999998</c:v>
                </c:pt>
                <c:pt idx="73">
                  <c:v>48.781883999999998</c:v>
                </c:pt>
                <c:pt idx="74">
                  <c:v>49.712879705084134</c:v>
                </c:pt>
                <c:pt idx="75">
                  <c:v>49.712879705084134</c:v>
                </c:pt>
                <c:pt idx="76">
                  <c:v>49.712879705084134</c:v>
                </c:pt>
                <c:pt idx="77">
                  <c:v>49.712879705084134</c:v>
                </c:pt>
                <c:pt idx="78">
                  <c:v>49.712879705084134</c:v>
                </c:pt>
                <c:pt idx="79">
                  <c:v>49.712879705084134</c:v>
                </c:pt>
                <c:pt idx="80">
                  <c:v>47.886561</c:v>
                </c:pt>
                <c:pt idx="81">
                  <c:v>49.712879705084134</c:v>
                </c:pt>
                <c:pt idx="82">
                  <c:v>49.712879705084134</c:v>
                </c:pt>
                <c:pt idx="83">
                  <c:v>49.712879705084134</c:v>
                </c:pt>
                <c:pt idx="84">
                  <c:v>49.712879705084134</c:v>
                </c:pt>
                <c:pt idx="85">
                  <c:v>49.712879705084134</c:v>
                </c:pt>
                <c:pt idx="86">
                  <c:v>49.712879705084134</c:v>
                </c:pt>
                <c:pt idx="87">
                  <c:v>49.712879705084134</c:v>
                </c:pt>
                <c:pt idx="88">
                  <c:v>43.214978000000002</c:v>
                </c:pt>
                <c:pt idx="89">
                  <c:v>26.99569</c:v>
                </c:pt>
                <c:pt idx="90">
                  <c:v>49.712879705084134</c:v>
                </c:pt>
                <c:pt idx="91">
                  <c:v>35.382241999999998</c:v>
                </c:pt>
                <c:pt idx="92">
                  <c:v>65.430025999999998</c:v>
                </c:pt>
                <c:pt idx="93">
                  <c:v>47.960481000000001</c:v>
                </c:pt>
                <c:pt idx="94">
                  <c:v>34.651142</c:v>
                </c:pt>
                <c:pt idx="95">
                  <c:v>24.720465000000001</c:v>
                </c:pt>
                <c:pt idx="96">
                  <c:v>60.722881999999998</c:v>
                </c:pt>
                <c:pt idx="97">
                  <c:v>73.936506027332229</c:v>
                </c:pt>
                <c:pt idx="98">
                  <c:v>73.936506027332229</c:v>
                </c:pt>
                <c:pt idx="99">
                  <c:v>63.771609000000005</c:v>
                </c:pt>
                <c:pt idx="100">
                  <c:v>36.002093000000002</c:v>
                </c:pt>
                <c:pt idx="101">
                  <c:v>32.02693</c:v>
                </c:pt>
                <c:pt idx="102">
                  <c:v>61.908797</c:v>
                </c:pt>
                <c:pt idx="103">
                  <c:v>70.377947000000006</c:v>
                </c:pt>
                <c:pt idx="104">
                  <c:v>43.785226999999999</c:v>
                </c:pt>
                <c:pt idx="105">
                  <c:v>44.072997000000001</c:v>
                </c:pt>
                <c:pt idx="106">
                  <c:v>22.149871999999998</c:v>
                </c:pt>
                <c:pt idx="107">
                  <c:v>32.080852999999998</c:v>
                </c:pt>
                <c:pt idx="108">
                  <c:v>44.327406000000003</c:v>
                </c:pt>
                <c:pt idx="109">
                  <c:v>43.507561000000003</c:v>
                </c:pt>
                <c:pt idx="110">
                  <c:v>21.147915000000001</c:v>
                </c:pt>
                <c:pt idx="111">
                  <c:v>71.517696000000001</c:v>
                </c:pt>
                <c:pt idx="112">
                  <c:v>73.936506027332229</c:v>
                </c:pt>
                <c:pt idx="113">
                  <c:v>73.936506027332229</c:v>
                </c:pt>
                <c:pt idx="114">
                  <c:v>73.936506027332229</c:v>
                </c:pt>
                <c:pt idx="115">
                  <c:v>73.936506027332229</c:v>
                </c:pt>
                <c:pt idx="116">
                  <c:v>73.936506027332229</c:v>
                </c:pt>
                <c:pt idx="117">
                  <c:v>73.936506027332229</c:v>
                </c:pt>
                <c:pt idx="118">
                  <c:v>73.936506027332229</c:v>
                </c:pt>
                <c:pt idx="119">
                  <c:v>73.936506027332229</c:v>
                </c:pt>
                <c:pt idx="120">
                  <c:v>58.766905000000001</c:v>
                </c:pt>
                <c:pt idx="121">
                  <c:v>73.831197000000003</c:v>
                </c:pt>
                <c:pt idx="122">
                  <c:v>73.936506027332229</c:v>
                </c:pt>
                <c:pt idx="123">
                  <c:v>90.863466611013806</c:v>
                </c:pt>
                <c:pt idx="124">
                  <c:v>90.863466611013806</c:v>
                </c:pt>
                <c:pt idx="125">
                  <c:v>90.863466611013806</c:v>
                </c:pt>
                <c:pt idx="126">
                  <c:v>90.863466611013806</c:v>
                </c:pt>
                <c:pt idx="127">
                  <c:v>85.764502999999991</c:v>
                </c:pt>
                <c:pt idx="128">
                  <c:v>83.446739999999991</c:v>
                </c:pt>
                <c:pt idx="129">
                  <c:v>61.497343000000001</c:v>
                </c:pt>
                <c:pt idx="130">
                  <c:v>37.377444000000004</c:v>
                </c:pt>
                <c:pt idx="131">
                  <c:v>29.317591</c:v>
                </c:pt>
                <c:pt idx="132">
                  <c:v>76.884963999999997</c:v>
                </c:pt>
                <c:pt idx="133">
                  <c:v>40.164586999999997</c:v>
                </c:pt>
                <c:pt idx="134">
                  <c:v>85.811510000000013</c:v>
                </c:pt>
                <c:pt idx="135">
                  <c:v>78.004092</c:v>
                </c:pt>
                <c:pt idx="136">
                  <c:v>75.42201</c:v>
                </c:pt>
                <c:pt idx="137">
                  <c:v>40.57085</c:v>
                </c:pt>
                <c:pt idx="138">
                  <c:v>90.863466611013806</c:v>
                </c:pt>
                <c:pt idx="139">
                  <c:v>90.863466611013806</c:v>
                </c:pt>
                <c:pt idx="140">
                  <c:v>90.863466611013806</c:v>
                </c:pt>
                <c:pt idx="141">
                  <c:v>90.863466611013806</c:v>
                </c:pt>
                <c:pt idx="142">
                  <c:v>90.863466611013806</c:v>
                </c:pt>
                <c:pt idx="143">
                  <c:v>90.863466611013806</c:v>
                </c:pt>
                <c:pt idx="144">
                  <c:v>70.729303000000002</c:v>
                </c:pt>
                <c:pt idx="145">
                  <c:v>90.863466611013806</c:v>
                </c:pt>
                <c:pt idx="146">
                  <c:v>90.863466611013806</c:v>
                </c:pt>
                <c:pt idx="147">
                  <c:v>51.158391999999999</c:v>
                </c:pt>
                <c:pt idx="148">
                  <c:v>84.87567</c:v>
                </c:pt>
                <c:pt idx="149">
                  <c:v>90.863466611013806</c:v>
                </c:pt>
                <c:pt idx="150">
                  <c:v>90.863466611013806</c:v>
                </c:pt>
                <c:pt idx="151">
                  <c:v>90.863466611013806</c:v>
                </c:pt>
                <c:pt idx="152">
                  <c:v>114.57273351038378</c:v>
                </c:pt>
                <c:pt idx="153">
                  <c:v>55.567951000000001</c:v>
                </c:pt>
                <c:pt idx="154">
                  <c:v>96.701739000000003</c:v>
                </c:pt>
                <c:pt idx="155">
                  <c:v>72.520445000000009</c:v>
                </c:pt>
                <c:pt idx="156">
                  <c:v>114.57273351038378</c:v>
                </c:pt>
                <c:pt idx="157">
                  <c:v>114.57273351038378</c:v>
                </c:pt>
                <c:pt idx="158">
                  <c:v>72.104758000000004</c:v>
                </c:pt>
                <c:pt idx="159">
                  <c:v>82.392664000000011</c:v>
                </c:pt>
                <c:pt idx="160">
                  <c:v>47.828806999999998</c:v>
                </c:pt>
                <c:pt idx="161">
                  <c:v>72.627145999999996</c:v>
                </c:pt>
                <c:pt idx="162">
                  <c:v>114.57273351038378</c:v>
                </c:pt>
                <c:pt idx="163">
                  <c:v>114.57273351038378</c:v>
                </c:pt>
                <c:pt idx="164">
                  <c:v>114.57273351038378</c:v>
                </c:pt>
                <c:pt idx="165">
                  <c:v>114.57273351038378</c:v>
                </c:pt>
                <c:pt idx="166">
                  <c:v>114.57273351038378</c:v>
                </c:pt>
                <c:pt idx="167">
                  <c:v>114.57273351038378</c:v>
                </c:pt>
                <c:pt idx="168">
                  <c:v>114.57273351038378</c:v>
                </c:pt>
                <c:pt idx="169">
                  <c:v>105.00185400000001</c:v>
                </c:pt>
                <c:pt idx="170">
                  <c:v>114.57273351038378</c:v>
                </c:pt>
                <c:pt idx="171">
                  <c:v>105.09590799999999</c:v>
                </c:pt>
                <c:pt idx="172">
                  <c:v>98.39542999999999</c:v>
                </c:pt>
                <c:pt idx="173">
                  <c:v>110.21183000000001</c:v>
                </c:pt>
                <c:pt idx="174">
                  <c:v>86.283113999999998</c:v>
                </c:pt>
                <c:pt idx="175">
                  <c:v>70.281137000000001</c:v>
                </c:pt>
                <c:pt idx="176">
                  <c:v>51.423927999999997</c:v>
                </c:pt>
                <c:pt idx="177">
                  <c:v>95.094104000000002</c:v>
                </c:pt>
                <c:pt idx="178">
                  <c:v>71.113115999999991</c:v>
                </c:pt>
                <c:pt idx="179">
                  <c:v>72.591762000000003</c:v>
                </c:pt>
                <c:pt idx="180">
                  <c:v>70.004452000000001</c:v>
                </c:pt>
                <c:pt idx="181">
                  <c:v>73.258577000000002</c:v>
                </c:pt>
                <c:pt idx="182">
                  <c:v>56.576115999999999</c:v>
                </c:pt>
                <c:pt idx="183">
                  <c:v>110.617662</c:v>
                </c:pt>
                <c:pt idx="184">
                  <c:v>100.563721</c:v>
                </c:pt>
                <c:pt idx="185">
                  <c:v>127.454972</c:v>
                </c:pt>
                <c:pt idx="186">
                  <c:v>130.5495232264862</c:v>
                </c:pt>
                <c:pt idx="187">
                  <c:v>129.717265</c:v>
                </c:pt>
                <c:pt idx="188">
                  <c:v>67.144410000000008</c:v>
                </c:pt>
                <c:pt idx="189">
                  <c:v>87.659811000000005</c:v>
                </c:pt>
                <c:pt idx="190">
                  <c:v>102.884333</c:v>
                </c:pt>
                <c:pt idx="191">
                  <c:v>130.5495232264862</c:v>
                </c:pt>
                <c:pt idx="192">
                  <c:v>130.5495232264862</c:v>
                </c:pt>
                <c:pt idx="193">
                  <c:v>130.5495232264862</c:v>
                </c:pt>
                <c:pt idx="194">
                  <c:v>130.5495232264862</c:v>
                </c:pt>
                <c:pt idx="195">
                  <c:v>130.5495232264862</c:v>
                </c:pt>
                <c:pt idx="196">
                  <c:v>121.77601799999999</c:v>
                </c:pt>
                <c:pt idx="197">
                  <c:v>130.5495232264862</c:v>
                </c:pt>
                <c:pt idx="198">
                  <c:v>130.5495232264862</c:v>
                </c:pt>
                <c:pt idx="199">
                  <c:v>130.5495232264862</c:v>
                </c:pt>
                <c:pt idx="200">
                  <c:v>130.5495232264862</c:v>
                </c:pt>
                <c:pt idx="201">
                  <c:v>130.5495232264862</c:v>
                </c:pt>
                <c:pt idx="202">
                  <c:v>130.5495232264862</c:v>
                </c:pt>
                <c:pt idx="203">
                  <c:v>130.5495232264862</c:v>
                </c:pt>
                <c:pt idx="204">
                  <c:v>130.5495232264862</c:v>
                </c:pt>
                <c:pt idx="205">
                  <c:v>130.5495232264862</c:v>
                </c:pt>
                <c:pt idx="206">
                  <c:v>130.5495232264862</c:v>
                </c:pt>
                <c:pt idx="207">
                  <c:v>130.5495232264862</c:v>
                </c:pt>
                <c:pt idx="208">
                  <c:v>127.54322500000001</c:v>
                </c:pt>
                <c:pt idx="209">
                  <c:v>109.72990300000001</c:v>
                </c:pt>
                <c:pt idx="210">
                  <c:v>130.5495232264862</c:v>
                </c:pt>
                <c:pt idx="211">
                  <c:v>129.36293000000001</c:v>
                </c:pt>
                <c:pt idx="212">
                  <c:v>128.55420799999999</c:v>
                </c:pt>
                <c:pt idx="213">
                  <c:v>109.82363700000001</c:v>
                </c:pt>
                <c:pt idx="214">
                  <c:v>151.43081667939495</c:v>
                </c:pt>
                <c:pt idx="215">
                  <c:v>151.43081667939495</c:v>
                </c:pt>
                <c:pt idx="216">
                  <c:v>151.43081667939495</c:v>
                </c:pt>
                <c:pt idx="217">
                  <c:v>117.60462600000001</c:v>
                </c:pt>
                <c:pt idx="218">
                  <c:v>148.74340700000002</c:v>
                </c:pt>
                <c:pt idx="219">
                  <c:v>151.43081667939495</c:v>
                </c:pt>
                <c:pt idx="220">
                  <c:v>151.43081667939495</c:v>
                </c:pt>
                <c:pt idx="221">
                  <c:v>151.43081667939495</c:v>
                </c:pt>
                <c:pt idx="222">
                  <c:v>151.43081667939495</c:v>
                </c:pt>
                <c:pt idx="223">
                  <c:v>141.24041</c:v>
                </c:pt>
                <c:pt idx="224">
                  <c:v>132.454678</c:v>
                </c:pt>
                <c:pt idx="225">
                  <c:v>151.43081667939495</c:v>
                </c:pt>
                <c:pt idx="226">
                  <c:v>150.03524900000002</c:v>
                </c:pt>
                <c:pt idx="227">
                  <c:v>151.43081667939495</c:v>
                </c:pt>
                <c:pt idx="228">
                  <c:v>151.43081667939495</c:v>
                </c:pt>
                <c:pt idx="229">
                  <c:v>144.41933300000002</c:v>
                </c:pt>
                <c:pt idx="230">
                  <c:v>151.43081667939495</c:v>
                </c:pt>
                <c:pt idx="231">
                  <c:v>139.01047399999999</c:v>
                </c:pt>
                <c:pt idx="232">
                  <c:v>151.43081667939495</c:v>
                </c:pt>
                <c:pt idx="233">
                  <c:v>151.43081667939495</c:v>
                </c:pt>
                <c:pt idx="234">
                  <c:v>151.43081667939495</c:v>
                </c:pt>
                <c:pt idx="235">
                  <c:v>151.43081667939495</c:v>
                </c:pt>
                <c:pt idx="236">
                  <c:v>151.43081667939495</c:v>
                </c:pt>
                <c:pt idx="237">
                  <c:v>151.43081667939495</c:v>
                </c:pt>
                <c:pt idx="238">
                  <c:v>145.327631</c:v>
                </c:pt>
                <c:pt idx="239">
                  <c:v>151.43081667939495</c:v>
                </c:pt>
                <c:pt idx="240">
                  <c:v>151.43081667939495</c:v>
                </c:pt>
                <c:pt idx="241">
                  <c:v>151.43081667939495</c:v>
                </c:pt>
                <c:pt idx="242">
                  <c:v>151.43081667939495</c:v>
                </c:pt>
                <c:pt idx="243">
                  <c:v>151.43081667939495</c:v>
                </c:pt>
                <c:pt idx="244">
                  <c:v>147.87666700000003</c:v>
                </c:pt>
                <c:pt idx="245">
                  <c:v>151.50779699999998</c:v>
                </c:pt>
                <c:pt idx="246">
                  <c:v>156.45076420643238</c:v>
                </c:pt>
                <c:pt idx="247">
                  <c:v>156.45076420643238</c:v>
                </c:pt>
                <c:pt idx="248">
                  <c:v>156.45076420643238</c:v>
                </c:pt>
                <c:pt idx="249">
                  <c:v>156.45076420643238</c:v>
                </c:pt>
                <c:pt idx="250">
                  <c:v>133.16868500000001</c:v>
                </c:pt>
                <c:pt idx="251">
                  <c:v>123.673928</c:v>
                </c:pt>
                <c:pt idx="252">
                  <c:v>112.13243199999998</c:v>
                </c:pt>
                <c:pt idx="253">
                  <c:v>123.059034</c:v>
                </c:pt>
                <c:pt idx="254">
                  <c:v>156.45076420643238</c:v>
                </c:pt>
                <c:pt idx="255">
                  <c:v>153.54156099999997</c:v>
                </c:pt>
                <c:pt idx="256">
                  <c:v>156.45076420643238</c:v>
                </c:pt>
                <c:pt idx="257">
                  <c:v>156.45076420643238</c:v>
                </c:pt>
                <c:pt idx="258">
                  <c:v>156.45076420643238</c:v>
                </c:pt>
                <c:pt idx="259">
                  <c:v>146.635043</c:v>
                </c:pt>
                <c:pt idx="260">
                  <c:v>156.45076420643238</c:v>
                </c:pt>
                <c:pt idx="261">
                  <c:v>143.64317499999999</c:v>
                </c:pt>
                <c:pt idx="262">
                  <c:v>139.86172399999998</c:v>
                </c:pt>
                <c:pt idx="263">
                  <c:v>153.71248399999999</c:v>
                </c:pt>
                <c:pt idx="264">
                  <c:v>156.45076420643238</c:v>
                </c:pt>
                <c:pt idx="265">
                  <c:v>156.45076420643238</c:v>
                </c:pt>
                <c:pt idx="266">
                  <c:v>149.951358</c:v>
                </c:pt>
                <c:pt idx="267">
                  <c:v>156.45076420643238</c:v>
                </c:pt>
                <c:pt idx="268">
                  <c:v>156.45076420643238</c:v>
                </c:pt>
                <c:pt idx="269">
                  <c:v>153.04221900000002</c:v>
                </c:pt>
                <c:pt idx="270">
                  <c:v>143.51155800000001</c:v>
                </c:pt>
                <c:pt idx="271">
                  <c:v>121.09355000000001</c:v>
                </c:pt>
                <c:pt idx="272">
                  <c:v>102.74132399999999</c:v>
                </c:pt>
                <c:pt idx="273">
                  <c:v>152.093672</c:v>
                </c:pt>
                <c:pt idx="274">
                  <c:v>160.12487071676725</c:v>
                </c:pt>
                <c:pt idx="275">
                  <c:v>160.12487071676725</c:v>
                </c:pt>
                <c:pt idx="276">
                  <c:v>160.12487071676725</c:v>
                </c:pt>
                <c:pt idx="277">
                  <c:v>160.12487071676725</c:v>
                </c:pt>
                <c:pt idx="278">
                  <c:v>160.12487071676725</c:v>
                </c:pt>
                <c:pt idx="279">
                  <c:v>150.343636</c:v>
                </c:pt>
                <c:pt idx="280">
                  <c:v>159.93816700000002</c:v>
                </c:pt>
                <c:pt idx="281">
                  <c:v>160.12487071676725</c:v>
                </c:pt>
                <c:pt idx="282">
                  <c:v>160.12487071676725</c:v>
                </c:pt>
                <c:pt idx="283">
                  <c:v>160.12487071676725</c:v>
                </c:pt>
                <c:pt idx="284">
                  <c:v>160.12487071676725</c:v>
                </c:pt>
                <c:pt idx="285">
                  <c:v>160.12487071676725</c:v>
                </c:pt>
                <c:pt idx="286">
                  <c:v>160.12487071676725</c:v>
                </c:pt>
                <c:pt idx="287">
                  <c:v>160.12487071676725</c:v>
                </c:pt>
                <c:pt idx="288">
                  <c:v>160.12487071676725</c:v>
                </c:pt>
                <c:pt idx="289">
                  <c:v>160.12487071676725</c:v>
                </c:pt>
                <c:pt idx="290">
                  <c:v>160.12487071676725</c:v>
                </c:pt>
                <c:pt idx="291">
                  <c:v>151.60473499999998</c:v>
                </c:pt>
                <c:pt idx="292">
                  <c:v>160.12487071676725</c:v>
                </c:pt>
                <c:pt idx="293">
                  <c:v>160.12487071676725</c:v>
                </c:pt>
                <c:pt idx="294">
                  <c:v>160.12487071676725</c:v>
                </c:pt>
                <c:pt idx="295">
                  <c:v>160.12487071676725</c:v>
                </c:pt>
                <c:pt idx="296">
                  <c:v>160.12487071676725</c:v>
                </c:pt>
                <c:pt idx="297">
                  <c:v>160.12487071676725</c:v>
                </c:pt>
                <c:pt idx="298">
                  <c:v>160.12487071676725</c:v>
                </c:pt>
                <c:pt idx="299">
                  <c:v>160.12487071676725</c:v>
                </c:pt>
                <c:pt idx="300">
                  <c:v>160.12487071676725</c:v>
                </c:pt>
                <c:pt idx="301">
                  <c:v>160.12487071676725</c:v>
                </c:pt>
                <c:pt idx="302">
                  <c:v>121.90305499999999</c:v>
                </c:pt>
                <c:pt idx="303">
                  <c:v>160.12487071676725</c:v>
                </c:pt>
                <c:pt idx="304">
                  <c:v>160.12487071676725</c:v>
                </c:pt>
                <c:pt idx="305">
                  <c:v>149.20810716652178</c:v>
                </c:pt>
                <c:pt idx="306">
                  <c:v>149.20810716652178</c:v>
                </c:pt>
                <c:pt idx="307">
                  <c:v>149.20810716652178</c:v>
                </c:pt>
                <c:pt idx="308">
                  <c:v>149.20810716652178</c:v>
                </c:pt>
                <c:pt idx="309">
                  <c:v>149.20810716652178</c:v>
                </c:pt>
                <c:pt idx="310">
                  <c:v>149.20810716652178</c:v>
                </c:pt>
                <c:pt idx="311">
                  <c:v>149.20810716652178</c:v>
                </c:pt>
                <c:pt idx="312">
                  <c:v>149.20810716652178</c:v>
                </c:pt>
                <c:pt idx="313">
                  <c:v>149.20810716652178</c:v>
                </c:pt>
                <c:pt idx="314">
                  <c:v>149.20810716652178</c:v>
                </c:pt>
                <c:pt idx="315">
                  <c:v>149.20810716652178</c:v>
                </c:pt>
                <c:pt idx="316">
                  <c:v>149.20810716652178</c:v>
                </c:pt>
                <c:pt idx="317">
                  <c:v>145.14749899999998</c:v>
                </c:pt>
                <c:pt idx="318">
                  <c:v>149.20810716652178</c:v>
                </c:pt>
                <c:pt idx="319">
                  <c:v>149.20810716652178</c:v>
                </c:pt>
                <c:pt idx="320">
                  <c:v>149.20810716652178</c:v>
                </c:pt>
                <c:pt idx="321">
                  <c:v>149.20810716652178</c:v>
                </c:pt>
                <c:pt idx="322">
                  <c:v>149.20810716652178</c:v>
                </c:pt>
                <c:pt idx="323">
                  <c:v>149.20810716652178</c:v>
                </c:pt>
                <c:pt idx="324">
                  <c:v>149.20810716652178</c:v>
                </c:pt>
                <c:pt idx="325">
                  <c:v>149.20810716652178</c:v>
                </c:pt>
                <c:pt idx="326">
                  <c:v>149.20810716652178</c:v>
                </c:pt>
                <c:pt idx="327">
                  <c:v>149.20810716652178</c:v>
                </c:pt>
                <c:pt idx="328">
                  <c:v>149.20810716652178</c:v>
                </c:pt>
                <c:pt idx="329">
                  <c:v>135.528899</c:v>
                </c:pt>
                <c:pt idx="330">
                  <c:v>149.20810716652178</c:v>
                </c:pt>
                <c:pt idx="331">
                  <c:v>149.20810716652178</c:v>
                </c:pt>
                <c:pt idx="332">
                  <c:v>149.20810716652178</c:v>
                </c:pt>
                <c:pt idx="333">
                  <c:v>129.18781100000001</c:v>
                </c:pt>
                <c:pt idx="334">
                  <c:v>141.19395699999998</c:v>
                </c:pt>
                <c:pt idx="335">
                  <c:v>124.820413</c:v>
                </c:pt>
                <c:pt idx="336">
                  <c:v>126.5810729397345</c:v>
                </c:pt>
                <c:pt idx="337">
                  <c:v>126.5810729397345</c:v>
                </c:pt>
                <c:pt idx="338">
                  <c:v>126.5810729397345</c:v>
                </c:pt>
                <c:pt idx="339">
                  <c:v>126.5810729397345</c:v>
                </c:pt>
                <c:pt idx="340">
                  <c:v>126.5810729397345</c:v>
                </c:pt>
                <c:pt idx="341">
                  <c:v>126.5810729397345</c:v>
                </c:pt>
                <c:pt idx="342">
                  <c:v>126.5810729397345</c:v>
                </c:pt>
                <c:pt idx="343">
                  <c:v>126.5810729397345</c:v>
                </c:pt>
                <c:pt idx="344">
                  <c:v>126.5810729397345</c:v>
                </c:pt>
                <c:pt idx="345">
                  <c:v>126.5810729397345</c:v>
                </c:pt>
                <c:pt idx="346">
                  <c:v>126.5810729397345</c:v>
                </c:pt>
                <c:pt idx="347">
                  <c:v>126.5810729397345</c:v>
                </c:pt>
                <c:pt idx="348">
                  <c:v>126.5810729397345</c:v>
                </c:pt>
                <c:pt idx="349">
                  <c:v>126.5810729397345</c:v>
                </c:pt>
                <c:pt idx="350">
                  <c:v>126.5810729397345</c:v>
                </c:pt>
                <c:pt idx="351">
                  <c:v>126.5810729397345</c:v>
                </c:pt>
                <c:pt idx="352">
                  <c:v>126.5810729397345</c:v>
                </c:pt>
                <c:pt idx="353">
                  <c:v>126.5810729397345</c:v>
                </c:pt>
                <c:pt idx="354">
                  <c:v>93.914507</c:v>
                </c:pt>
                <c:pt idx="355">
                  <c:v>101.186432</c:v>
                </c:pt>
                <c:pt idx="356">
                  <c:v>96.45611199999999</c:v>
                </c:pt>
                <c:pt idx="357">
                  <c:v>120.73844800000001</c:v>
                </c:pt>
                <c:pt idx="358">
                  <c:v>126.5810729397345</c:v>
                </c:pt>
                <c:pt idx="359">
                  <c:v>91.882216999999997</c:v>
                </c:pt>
                <c:pt idx="360">
                  <c:v>83.148853000000003</c:v>
                </c:pt>
                <c:pt idx="361">
                  <c:v>97.209322999999998</c:v>
                </c:pt>
                <c:pt idx="362">
                  <c:v>126.5810729397345</c:v>
                </c:pt>
                <c:pt idx="363">
                  <c:v>126.5810729397345</c:v>
                </c:pt>
                <c:pt idx="364">
                  <c:v>126.5810729397345</c:v>
                </c:pt>
                <c:pt idx="365">
                  <c:v>126.5810729397345</c:v>
                </c:pt>
                <c:pt idx="366">
                  <c:v>100.21996715704606</c:v>
                </c:pt>
                <c:pt idx="367">
                  <c:v>92.835843999999994</c:v>
                </c:pt>
                <c:pt idx="368">
                  <c:v>100.21996715704606</c:v>
                </c:pt>
                <c:pt idx="369">
                  <c:v>100.21996715704606</c:v>
                </c:pt>
                <c:pt idx="370">
                  <c:v>100.21996715704606</c:v>
                </c:pt>
                <c:pt idx="371">
                  <c:v>92.309816000000012</c:v>
                </c:pt>
                <c:pt idx="372">
                  <c:v>59.648371000000004</c:v>
                </c:pt>
                <c:pt idx="373">
                  <c:v>83.276202999999995</c:v>
                </c:pt>
                <c:pt idx="374">
                  <c:v>63.043931000000001</c:v>
                </c:pt>
                <c:pt idx="375">
                  <c:v>100.21996715704606</c:v>
                </c:pt>
                <c:pt idx="376">
                  <c:v>77.656345999999985</c:v>
                </c:pt>
                <c:pt idx="377">
                  <c:v>41.629035000000002</c:v>
                </c:pt>
                <c:pt idx="378">
                  <c:v>86.045024999999995</c:v>
                </c:pt>
                <c:pt idx="379">
                  <c:v>64.956184000000007</c:v>
                </c:pt>
                <c:pt idx="380">
                  <c:v>50.148288999999998</c:v>
                </c:pt>
                <c:pt idx="381">
                  <c:v>82.865889999999993</c:v>
                </c:pt>
                <c:pt idx="382">
                  <c:v>89.771204999999995</c:v>
                </c:pt>
                <c:pt idx="383">
                  <c:v>100.21996715704606</c:v>
                </c:pt>
                <c:pt idx="384">
                  <c:v>94.470303000000001</c:v>
                </c:pt>
                <c:pt idx="385">
                  <c:v>100.21996715704606</c:v>
                </c:pt>
                <c:pt idx="386">
                  <c:v>100.21996715704606</c:v>
                </c:pt>
                <c:pt idx="387">
                  <c:v>100.21996715704606</c:v>
                </c:pt>
                <c:pt idx="388">
                  <c:v>100.21996715704606</c:v>
                </c:pt>
                <c:pt idx="389">
                  <c:v>100.21996715704606</c:v>
                </c:pt>
                <c:pt idx="390">
                  <c:v>66.978003000000001</c:v>
                </c:pt>
                <c:pt idx="391">
                  <c:v>72.411600000000007</c:v>
                </c:pt>
                <c:pt idx="392">
                  <c:v>74.568365</c:v>
                </c:pt>
                <c:pt idx="393">
                  <c:v>93.970867999999996</c:v>
                </c:pt>
                <c:pt idx="394">
                  <c:v>33.239227999999997</c:v>
                </c:pt>
                <c:pt idx="395">
                  <c:v>57.047248999999994</c:v>
                </c:pt>
                <c:pt idx="396">
                  <c:v>54.442112999999999</c:v>
                </c:pt>
                <c:pt idx="397">
                  <c:v>73.453850578676636</c:v>
                </c:pt>
                <c:pt idx="398">
                  <c:v>73.453850578676636</c:v>
                </c:pt>
                <c:pt idx="399">
                  <c:v>73.453850578676636</c:v>
                </c:pt>
                <c:pt idx="400">
                  <c:v>73.453850578676636</c:v>
                </c:pt>
                <c:pt idx="401">
                  <c:v>73.453850578676636</c:v>
                </c:pt>
                <c:pt idx="402">
                  <c:v>73.453850578676636</c:v>
                </c:pt>
                <c:pt idx="403">
                  <c:v>73.453850578676636</c:v>
                </c:pt>
                <c:pt idx="404">
                  <c:v>50.781663000000002</c:v>
                </c:pt>
                <c:pt idx="405">
                  <c:v>73.453850578676636</c:v>
                </c:pt>
                <c:pt idx="406">
                  <c:v>73.453850578676636</c:v>
                </c:pt>
                <c:pt idx="407">
                  <c:v>73.453850578676636</c:v>
                </c:pt>
                <c:pt idx="408">
                  <c:v>73.453850578676636</c:v>
                </c:pt>
                <c:pt idx="409">
                  <c:v>39.911791000000001</c:v>
                </c:pt>
                <c:pt idx="410">
                  <c:v>41.106451999999997</c:v>
                </c:pt>
                <c:pt idx="411">
                  <c:v>62.695011000000001</c:v>
                </c:pt>
                <c:pt idx="412">
                  <c:v>66.970986000000011</c:v>
                </c:pt>
                <c:pt idx="413">
                  <c:v>66.914023</c:v>
                </c:pt>
                <c:pt idx="414">
                  <c:v>73.453850578676636</c:v>
                </c:pt>
                <c:pt idx="415">
                  <c:v>73.453850578676636</c:v>
                </c:pt>
                <c:pt idx="416">
                  <c:v>73.453850578676636</c:v>
                </c:pt>
                <c:pt idx="417">
                  <c:v>42.151499000000001</c:v>
                </c:pt>
                <c:pt idx="418">
                  <c:v>58.160812999999997</c:v>
                </c:pt>
                <c:pt idx="419">
                  <c:v>73.453850578676636</c:v>
                </c:pt>
                <c:pt idx="420">
                  <c:v>51.798917000000003</c:v>
                </c:pt>
                <c:pt idx="421">
                  <c:v>55.326330999999996</c:v>
                </c:pt>
                <c:pt idx="422">
                  <c:v>64.101357000000007</c:v>
                </c:pt>
                <c:pt idx="423">
                  <c:v>73.453850578676636</c:v>
                </c:pt>
                <c:pt idx="424">
                  <c:v>73.453850578676636</c:v>
                </c:pt>
                <c:pt idx="425">
                  <c:v>69.117960000000011</c:v>
                </c:pt>
                <c:pt idx="426">
                  <c:v>73.453850578676636</c:v>
                </c:pt>
                <c:pt idx="427">
                  <c:v>50.372580999999997</c:v>
                </c:pt>
                <c:pt idx="428">
                  <c:v>57.035404999999997</c:v>
                </c:pt>
                <c:pt idx="429">
                  <c:v>60.978746000000001</c:v>
                </c:pt>
                <c:pt idx="430">
                  <c:v>62.626712990807356</c:v>
                </c:pt>
                <c:pt idx="431">
                  <c:v>62.626712990807356</c:v>
                </c:pt>
                <c:pt idx="432">
                  <c:v>62.626712990807356</c:v>
                </c:pt>
                <c:pt idx="433">
                  <c:v>62.626712990807356</c:v>
                </c:pt>
                <c:pt idx="434">
                  <c:v>62.626712990807356</c:v>
                </c:pt>
                <c:pt idx="435">
                  <c:v>62.626712990807356</c:v>
                </c:pt>
                <c:pt idx="436">
                  <c:v>62.626712990807356</c:v>
                </c:pt>
                <c:pt idx="437">
                  <c:v>62.626712990807356</c:v>
                </c:pt>
                <c:pt idx="438">
                  <c:v>54.772286999999999</c:v>
                </c:pt>
                <c:pt idx="439">
                  <c:v>62.626712990807356</c:v>
                </c:pt>
                <c:pt idx="440">
                  <c:v>62.626712990807356</c:v>
                </c:pt>
                <c:pt idx="441">
                  <c:v>62.626712990807356</c:v>
                </c:pt>
                <c:pt idx="442">
                  <c:v>62.626712990807356</c:v>
                </c:pt>
                <c:pt idx="443">
                  <c:v>62.626712990807356</c:v>
                </c:pt>
                <c:pt idx="444">
                  <c:v>62.626712990807356</c:v>
                </c:pt>
                <c:pt idx="445">
                  <c:v>47.243042000000003</c:v>
                </c:pt>
                <c:pt idx="446">
                  <c:v>62.626712990807356</c:v>
                </c:pt>
                <c:pt idx="447">
                  <c:v>62.626712990807356</c:v>
                </c:pt>
                <c:pt idx="448">
                  <c:v>62.626712990807356</c:v>
                </c:pt>
                <c:pt idx="449">
                  <c:v>62.626712990807356</c:v>
                </c:pt>
                <c:pt idx="450">
                  <c:v>62.626712990807356</c:v>
                </c:pt>
                <c:pt idx="451">
                  <c:v>62.626712990807356</c:v>
                </c:pt>
                <c:pt idx="452">
                  <c:v>62.626712990807356</c:v>
                </c:pt>
                <c:pt idx="453">
                  <c:v>62.626712990807356</c:v>
                </c:pt>
                <c:pt idx="454">
                  <c:v>62.626712990807356</c:v>
                </c:pt>
                <c:pt idx="455">
                  <c:v>62.626712990807356</c:v>
                </c:pt>
                <c:pt idx="456">
                  <c:v>62.626712990807356</c:v>
                </c:pt>
                <c:pt idx="457">
                  <c:v>62.626712990807356</c:v>
                </c:pt>
                <c:pt idx="458">
                  <c:v>77.115217999999999</c:v>
                </c:pt>
                <c:pt idx="459">
                  <c:v>91.034464999999997</c:v>
                </c:pt>
                <c:pt idx="460">
                  <c:v>73.349131999999997</c:v>
                </c:pt>
                <c:pt idx="461">
                  <c:v>68.004445000000004</c:v>
                </c:pt>
                <c:pt idx="462">
                  <c:v>38.204943</c:v>
                </c:pt>
                <c:pt idx="463">
                  <c:v>57.554462000000001</c:v>
                </c:pt>
                <c:pt idx="464">
                  <c:v>73.147145000000009</c:v>
                </c:pt>
                <c:pt idx="465">
                  <c:v>56.898694999999996</c:v>
                </c:pt>
                <c:pt idx="466">
                  <c:v>71.220889999999997</c:v>
                </c:pt>
                <c:pt idx="467">
                  <c:v>59.271692000000002</c:v>
                </c:pt>
                <c:pt idx="468">
                  <c:v>57.396920999999992</c:v>
                </c:pt>
                <c:pt idx="469">
                  <c:v>87.390383999999997</c:v>
                </c:pt>
                <c:pt idx="470">
                  <c:v>91.910462511652426</c:v>
                </c:pt>
                <c:pt idx="471">
                  <c:v>91.910462511652426</c:v>
                </c:pt>
                <c:pt idx="472">
                  <c:v>91.910462511652426</c:v>
                </c:pt>
                <c:pt idx="473">
                  <c:v>91.910462511652426</c:v>
                </c:pt>
                <c:pt idx="474">
                  <c:v>91.910462511652426</c:v>
                </c:pt>
                <c:pt idx="475">
                  <c:v>91.910462511652426</c:v>
                </c:pt>
                <c:pt idx="476">
                  <c:v>91.910462511652426</c:v>
                </c:pt>
                <c:pt idx="477">
                  <c:v>26.644197999999999</c:v>
                </c:pt>
                <c:pt idx="478">
                  <c:v>32.612163000000002</c:v>
                </c:pt>
                <c:pt idx="479">
                  <c:v>45.841730000000005</c:v>
                </c:pt>
                <c:pt idx="480">
                  <c:v>69.403064999999998</c:v>
                </c:pt>
                <c:pt idx="481">
                  <c:v>62.935108999999997</c:v>
                </c:pt>
                <c:pt idx="482">
                  <c:v>47.461359999999999</c:v>
                </c:pt>
                <c:pt idx="483">
                  <c:v>41.297497</c:v>
                </c:pt>
                <c:pt idx="484">
                  <c:v>47.103557000000002</c:v>
                </c:pt>
                <c:pt idx="485">
                  <c:v>73.383144000000001</c:v>
                </c:pt>
                <c:pt idx="486">
                  <c:v>33.451029000000005</c:v>
                </c:pt>
                <c:pt idx="487">
                  <c:v>90.764956999999995</c:v>
                </c:pt>
                <c:pt idx="488">
                  <c:v>91.910462511652426</c:v>
                </c:pt>
                <c:pt idx="489">
                  <c:v>113.19687800000001</c:v>
                </c:pt>
                <c:pt idx="490">
                  <c:v>81.616292999999999</c:v>
                </c:pt>
                <c:pt idx="491">
                  <c:v>105.43754800000001</c:v>
                </c:pt>
                <c:pt idx="492">
                  <c:v>118.61335757704707</c:v>
                </c:pt>
                <c:pt idx="493">
                  <c:v>118.61335757704707</c:v>
                </c:pt>
                <c:pt idx="494">
                  <c:v>118.61335757704707</c:v>
                </c:pt>
                <c:pt idx="495">
                  <c:v>84.047921000000002</c:v>
                </c:pt>
                <c:pt idx="496">
                  <c:v>118.61335757704707</c:v>
                </c:pt>
                <c:pt idx="497">
                  <c:v>117.596142</c:v>
                </c:pt>
                <c:pt idx="498">
                  <c:v>89.276903000000004</c:v>
                </c:pt>
                <c:pt idx="499">
                  <c:v>88.229706999999991</c:v>
                </c:pt>
                <c:pt idx="500">
                  <c:v>101.48053400000001</c:v>
                </c:pt>
                <c:pt idx="501">
                  <c:v>118.61335757704707</c:v>
                </c:pt>
                <c:pt idx="502">
                  <c:v>118.61335757704707</c:v>
                </c:pt>
                <c:pt idx="503">
                  <c:v>108.76164200000001</c:v>
                </c:pt>
                <c:pt idx="504">
                  <c:v>118.61335757704707</c:v>
                </c:pt>
                <c:pt idx="505">
                  <c:v>118.61335757704707</c:v>
                </c:pt>
                <c:pt idx="506">
                  <c:v>86.216346999999999</c:v>
                </c:pt>
                <c:pt idx="507">
                  <c:v>111.382582</c:v>
                </c:pt>
                <c:pt idx="508">
                  <c:v>118.61335757704707</c:v>
                </c:pt>
                <c:pt idx="509">
                  <c:v>77.569532000000009</c:v>
                </c:pt>
                <c:pt idx="510">
                  <c:v>100.92303200000001</c:v>
                </c:pt>
                <c:pt idx="511">
                  <c:v>118.61335757704707</c:v>
                </c:pt>
                <c:pt idx="512">
                  <c:v>118.61335757704707</c:v>
                </c:pt>
                <c:pt idx="513">
                  <c:v>82.545918999999998</c:v>
                </c:pt>
                <c:pt idx="514">
                  <c:v>118.61335757704707</c:v>
                </c:pt>
                <c:pt idx="515">
                  <c:v>112.52333</c:v>
                </c:pt>
                <c:pt idx="516">
                  <c:v>87.990116</c:v>
                </c:pt>
                <c:pt idx="517">
                  <c:v>61.562010999999998</c:v>
                </c:pt>
                <c:pt idx="518">
                  <c:v>40.777362000000004</c:v>
                </c:pt>
                <c:pt idx="519">
                  <c:v>58.136489000000005</c:v>
                </c:pt>
                <c:pt idx="520">
                  <c:v>84.467686</c:v>
                </c:pt>
                <c:pt idx="521">
                  <c:v>60.281048000000006</c:v>
                </c:pt>
                <c:pt idx="522">
                  <c:v>83.488789999999995</c:v>
                </c:pt>
                <c:pt idx="523">
                  <c:v>62.668112000000001</c:v>
                </c:pt>
                <c:pt idx="524">
                  <c:v>54.038618</c:v>
                </c:pt>
                <c:pt idx="525">
                  <c:v>98.114784999999998</c:v>
                </c:pt>
                <c:pt idx="526">
                  <c:v>90.544323999999989</c:v>
                </c:pt>
                <c:pt idx="527">
                  <c:v>98.459049999999991</c:v>
                </c:pt>
                <c:pt idx="528">
                  <c:v>93.512199999999993</c:v>
                </c:pt>
                <c:pt idx="529">
                  <c:v>66.299849000000009</c:v>
                </c:pt>
                <c:pt idx="530">
                  <c:v>107.785329</c:v>
                </c:pt>
                <c:pt idx="531">
                  <c:v>137.40190799999999</c:v>
                </c:pt>
                <c:pt idx="532">
                  <c:v>108.75729900000002</c:v>
                </c:pt>
                <c:pt idx="533">
                  <c:v>75.413554000000005</c:v>
                </c:pt>
                <c:pt idx="534">
                  <c:v>78.426657999999989</c:v>
                </c:pt>
                <c:pt idx="535">
                  <c:v>112.69196099999999</c:v>
                </c:pt>
                <c:pt idx="536">
                  <c:v>84.921132</c:v>
                </c:pt>
                <c:pt idx="537">
                  <c:v>83.106803999999997</c:v>
                </c:pt>
                <c:pt idx="538">
                  <c:v>90.167477999999988</c:v>
                </c:pt>
                <c:pt idx="539">
                  <c:v>106.983361</c:v>
                </c:pt>
                <c:pt idx="540">
                  <c:v>138.94322861851279</c:v>
                </c:pt>
                <c:pt idx="541">
                  <c:v>138.56414699999999</c:v>
                </c:pt>
                <c:pt idx="542">
                  <c:v>138.94322861851279</c:v>
                </c:pt>
                <c:pt idx="543">
                  <c:v>138.94322861851279</c:v>
                </c:pt>
                <c:pt idx="544">
                  <c:v>138.70959500000001</c:v>
                </c:pt>
                <c:pt idx="545">
                  <c:v>133.23231199999998</c:v>
                </c:pt>
                <c:pt idx="546">
                  <c:v>122.53919599999999</c:v>
                </c:pt>
                <c:pt idx="547">
                  <c:v>138.94322861851279</c:v>
                </c:pt>
                <c:pt idx="548">
                  <c:v>139.47802799999999</c:v>
                </c:pt>
                <c:pt idx="549">
                  <c:v>106.33242000000001</c:v>
                </c:pt>
                <c:pt idx="550">
                  <c:v>79.403873000000004</c:v>
                </c:pt>
                <c:pt idx="551">
                  <c:v>102.99581500000001</c:v>
                </c:pt>
                <c:pt idx="552">
                  <c:v>126.00872100000001</c:v>
                </c:pt>
                <c:pt idx="553">
                  <c:v>117.960182</c:v>
                </c:pt>
                <c:pt idx="554">
                  <c:v>161.05741041683874</c:v>
                </c:pt>
                <c:pt idx="555">
                  <c:v>161.05741041683874</c:v>
                </c:pt>
                <c:pt idx="556">
                  <c:v>161.05741041683874</c:v>
                </c:pt>
                <c:pt idx="557">
                  <c:v>137.782105</c:v>
                </c:pt>
                <c:pt idx="558">
                  <c:v>94.444496999999998</c:v>
                </c:pt>
                <c:pt idx="559">
                  <c:v>88.855200999999994</c:v>
                </c:pt>
                <c:pt idx="560">
                  <c:v>124.598106</c:v>
                </c:pt>
                <c:pt idx="561">
                  <c:v>111.33362200000001</c:v>
                </c:pt>
                <c:pt idx="562">
                  <c:v>138.04849900000002</c:v>
                </c:pt>
                <c:pt idx="563">
                  <c:v>148.94772700000001</c:v>
                </c:pt>
                <c:pt idx="564">
                  <c:v>153.23601300000001</c:v>
                </c:pt>
                <c:pt idx="565">
                  <c:v>114.01772800000001</c:v>
                </c:pt>
                <c:pt idx="566">
                  <c:v>112.27030500000001</c:v>
                </c:pt>
                <c:pt idx="567">
                  <c:v>117.751141</c:v>
                </c:pt>
                <c:pt idx="568">
                  <c:v>161.05741041683874</c:v>
                </c:pt>
                <c:pt idx="569">
                  <c:v>161.05741041683874</c:v>
                </c:pt>
                <c:pt idx="570">
                  <c:v>161.05741041683874</c:v>
                </c:pt>
                <c:pt idx="571">
                  <c:v>161.05741041683874</c:v>
                </c:pt>
                <c:pt idx="572">
                  <c:v>161.05741041683874</c:v>
                </c:pt>
                <c:pt idx="573">
                  <c:v>161.05741041683874</c:v>
                </c:pt>
                <c:pt idx="574">
                  <c:v>131.6669</c:v>
                </c:pt>
                <c:pt idx="575">
                  <c:v>70.383803</c:v>
                </c:pt>
                <c:pt idx="576">
                  <c:v>89.600320999999994</c:v>
                </c:pt>
                <c:pt idx="577">
                  <c:v>104.38399700000001</c:v>
                </c:pt>
                <c:pt idx="578">
                  <c:v>115.74727</c:v>
                </c:pt>
                <c:pt idx="579">
                  <c:v>100.823173</c:v>
                </c:pt>
                <c:pt idx="580">
                  <c:v>135.01266200000001</c:v>
                </c:pt>
                <c:pt idx="581">
                  <c:v>112.41585600000001</c:v>
                </c:pt>
                <c:pt idx="582">
                  <c:v>120.00466400000001</c:v>
                </c:pt>
                <c:pt idx="583">
                  <c:v>134.54842500000001</c:v>
                </c:pt>
                <c:pt idx="584">
                  <c:v>164.236514</c:v>
                </c:pt>
                <c:pt idx="585">
                  <c:v>128.951571</c:v>
                </c:pt>
                <c:pt idx="586">
                  <c:v>146.80645100000001</c:v>
                </c:pt>
                <c:pt idx="587">
                  <c:v>111.88610899999999</c:v>
                </c:pt>
                <c:pt idx="588">
                  <c:v>115.4772</c:v>
                </c:pt>
                <c:pt idx="589">
                  <c:v>162.20896500000001</c:v>
                </c:pt>
                <c:pt idx="590">
                  <c:v>151.83476099999999</c:v>
                </c:pt>
                <c:pt idx="591">
                  <c:v>158.30367199999998</c:v>
                </c:pt>
                <c:pt idx="592">
                  <c:v>137.30244300000001</c:v>
                </c:pt>
                <c:pt idx="593">
                  <c:v>158.61347499999997</c:v>
                </c:pt>
                <c:pt idx="594">
                  <c:v>155.76477700000001</c:v>
                </c:pt>
                <c:pt idx="595">
                  <c:v>143.92953699999998</c:v>
                </c:pt>
                <c:pt idx="596">
                  <c:v>162.59295699999998</c:v>
                </c:pt>
                <c:pt idx="597">
                  <c:v>174.37386799999999</c:v>
                </c:pt>
                <c:pt idx="598">
                  <c:v>188.28306836915701</c:v>
                </c:pt>
                <c:pt idx="599">
                  <c:v>172.10612700000001</c:v>
                </c:pt>
                <c:pt idx="600">
                  <c:v>171.74784299999999</c:v>
                </c:pt>
                <c:pt idx="601">
                  <c:v>163.75109</c:v>
                </c:pt>
                <c:pt idx="602">
                  <c:v>149.07814199999999</c:v>
                </c:pt>
                <c:pt idx="603">
                  <c:v>188.28306836915701</c:v>
                </c:pt>
                <c:pt idx="604">
                  <c:v>188.28306836915701</c:v>
                </c:pt>
                <c:pt idx="605">
                  <c:v>188.28306836915701</c:v>
                </c:pt>
                <c:pt idx="606">
                  <c:v>188.28306836915701</c:v>
                </c:pt>
                <c:pt idx="607">
                  <c:v>188.28306836915701</c:v>
                </c:pt>
                <c:pt idx="608">
                  <c:v>173.94020900000001</c:v>
                </c:pt>
                <c:pt idx="609">
                  <c:v>147.61089599999997</c:v>
                </c:pt>
                <c:pt idx="610">
                  <c:v>177.80748299999999</c:v>
                </c:pt>
                <c:pt idx="611">
                  <c:v>157.96417500000001</c:v>
                </c:pt>
                <c:pt idx="612">
                  <c:v>193.37064331944424</c:v>
                </c:pt>
                <c:pt idx="613">
                  <c:v>193.37064331944424</c:v>
                </c:pt>
                <c:pt idx="614">
                  <c:v>193.37064331944424</c:v>
                </c:pt>
                <c:pt idx="615">
                  <c:v>193.37064331944424</c:v>
                </c:pt>
                <c:pt idx="616">
                  <c:v>168.30374399999999</c:v>
                </c:pt>
                <c:pt idx="617">
                  <c:v>192.72122399999998</c:v>
                </c:pt>
                <c:pt idx="618">
                  <c:v>164.80872799999997</c:v>
                </c:pt>
                <c:pt idx="619">
                  <c:v>174.60366300000001</c:v>
                </c:pt>
                <c:pt idx="620">
                  <c:v>193.37064331944424</c:v>
                </c:pt>
                <c:pt idx="621">
                  <c:v>193.37064331944424</c:v>
                </c:pt>
                <c:pt idx="622">
                  <c:v>193.37064331944424</c:v>
                </c:pt>
                <c:pt idx="623">
                  <c:v>172.63308800000001</c:v>
                </c:pt>
                <c:pt idx="624">
                  <c:v>193.37064331944424</c:v>
                </c:pt>
                <c:pt idx="625">
                  <c:v>193.37064331944424</c:v>
                </c:pt>
                <c:pt idx="626">
                  <c:v>193.37064331944424</c:v>
                </c:pt>
                <c:pt idx="627">
                  <c:v>185.98578700000002</c:v>
                </c:pt>
                <c:pt idx="628">
                  <c:v>193.37064331944424</c:v>
                </c:pt>
                <c:pt idx="629">
                  <c:v>193.37064331944424</c:v>
                </c:pt>
                <c:pt idx="630">
                  <c:v>182.764929</c:v>
                </c:pt>
                <c:pt idx="631">
                  <c:v>192.61489499999999</c:v>
                </c:pt>
                <c:pt idx="632">
                  <c:v>178.55502999999999</c:v>
                </c:pt>
                <c:pt idx="633">
                  <c:v>193.37064331944424</c:v>
                </c:pt>
                <c:pt idx="634">
                  <c:v>193.37064331944424</c:v>
                </c:pt>
                <c:pt idx="635">
                  <c:v>193.37064331944424</c:v>
                </c:pt>
                <c:pt idx="636">
                  <c:v>193.37064331944424</c:v>
                </c:pt>
                <c:pt idx="637">
                  <c:v>193.37064331944424</c:v>
                </c:pt>
                <c:pt idx="638">
                  <c:v>193.37064331944424</c:v>
                </c:pt>
                <c:pt idx="639">
                  <c:v>200.02189858801364</c:v>
                </c:pt>
                <c:pt idx="640">
                  <c:v>200.02189858801364</c:v>
                </c:pt>
                <c:pt idx="641">
                  <c:v>200.02189858801364</c:v>
                </c:pt>
                <c:pt idx="642">
                  <c:v>200.02189858801364</c:v>
                </c:pt>
                <c:pt idx="643">
                  <c:v>200.02189858801364</c:v>
                </c:pt>
                <c:pt idx="644">
                  <c:v>199.57184900000001</c:v>
                </c:pt>
                <c:pt idx="645">
                  <c:v>200.02189858801364</c:v>
                </c:pt>
                <c:pt idx="646">
                  <c:v>200.02189858801364</c:v>
                </c:pt>
                <c:pt idx="647">
                  <c:v>199.059191</c:v>
                </c:pt>
                <c:pt idx="648">
                  <c:v>200.02189858801364</c:v>
                </c:pt>
                <c:pt idx="649">
                  <c:v>200.02189858801364</c:v>
                </c:pt>
                <c:pt idx="650">
                  <c:v>172.47162400000002</c:v>
                </c:pt>
                <c:pt idx="651">
                  <c:v>200.02189858801364</c:v>
                </c:pt>
                <c:pt idx="652">
                  <c:v>200.02189858801364</c:v>
                </c:pt>
                <c:pt idx="653">
                  <c:v>200.02189858801364</c:v>
                </c:pt>
                <c:pt idx="654">
                  <c:v>200.02189858801364</c:v>
                </c:pt>
                <c:pt idx="655">
                  <c:v>200.02189858801364</c:v>
                </c:pt>
                <c:pt idx="656">
                  <c:v>200.02189858801364</c:v>
                </c:pt>
                <c:pt idx="657">
                  <c:v>187.651252</c:v>
                </c:pt>
                <c:pt idx="658">
                  <c:v>165.63003499999999</c:v>
                </c:pt>
                <c:pt idx="659">
                  <c:v>200.02189858801364</c:v>
                </c:pt>
                <c:pt idx="660">
                  <c:v>200.02189858801364</c:v>
                </c:pt>
                <c:pt idx="661">
                  <c:v>172.893992</c:v>
                </c:pt>
                <c:pt idx="662">
                  <c:v>179.531012</c:v>
                </c:pt>
                <c:pt idx="663">
                  <c:v>194.69191999999998</c:v>
                </c:pt>
                <c:pt idx="664">
                  <c:v>198.72278900000001</c:v>
                </c:pt>
                <c:pt idx="665">
                  <c:v>180.45922100000001</c:v>
                </c:pt>
                <c:pt idx="666">
                  <c:v>197.223859</c:v>
                </c:pt>
                <c:pt idx="667">
                  <c:v>180.407545</c:v>
                </c:pt>
                <c:pt idx="668">
                  <c:v>197.93939800000001</c:v>
                </c:pt>
                <c:pt idx="669">
                  <c:v>200.02189858801364</c:v>
                </c:pt>
                <c:pt idx="670">
                  <c:v>185.40648522506032</c:v>
                </c:pt>
                <c:pt idx="671">
                  <c:v>185.40648522506032</c:v>
                </c:pt>
                <c:pt idx="672">
                  <c:v>173.05847800000001</c:v>
                </c:pt>
                <c:pt idx="673">
                  <c:v>185.40648522506032</c:v>
                </c:pt>
                <c:pt idx="674">
                  <c:v>185.40648522506032</c:v>
                </c:pt>
                <c:pt idx="675">
                  <c:v>185.40648522506032</c:v>
                </c:pt>
                <c:pt idx="676">
                  <c:v>185.40648522506032</c:v>
                </c:pt>
                <c:pt idx="677">
                  <c:v>185.40648522506032</c:v>
                </c:pt>
                <c:pt idx="678">
                  <c:v>185.40648522506032</c:v>
                </c:pt>
                <c:pt idx="679">
                  <c:v>181.33185599999999</c:v>
                </c:pt>
                <c:pt idx="680">
                  <c:v>185.40648522506032</c:v>
                </c:pt>
                <c:pt idx="681">
                  <c:v>182.962986</c:v>
                </c:pt>
                <c:pt idx="682">
                  <c:v>175.88231400000001</c:v>
                </c:pt>
                <c:pt idx="683">
                  <c:v>185.40648522506032</c:v>
                </c:pt>
                <c:pt idx="684">
                  <c:v>185.40648522506032</c:v>
                </c:pt>
                <c:pt idx="685">
                  <c:v>185.40648522506032</c:v>
                </c:pt>
                <c:pt idx="686">
                  <c:v>179.20480600000002</c:v>
                </c:pt>
                <c:pt idx="687">
                  <c:v>145.831773</c:v>
                </c:pt>
                <c:pt idx="688">
                  <c:v>183.48675900000001</c:v>
                </c:pt>
                <c:pt idx="689">
                  <c:v>176.32563499999998</c:v>
                </c:pt>
                <c:pt idx="690">
                  <c:v>185.40648522506032</c:v>
                </c:pt>
                <c:pt idx="691">
                  <c:v>185.40648522506032</c:v>
                </c:pt>
                <c:pt idx="692">
                  <c:v>185.40648522506032</c:v>
                </c:pt>
                <c:pt idx="693">
                  <c:v>163.31229999999999</c:v>
                </c:pt>
                <c:pt idx="694">
                  <c:v>167.09845500000003</c:v>
                </c:pt>
                <c:pt idx="695">
                  <c:v>172.65194399999999</c:v>
                </c:pt>
                <c:pt idx="696">
                  <c:v>175.675882</c:v>
                </c:pt>
                <c:pt idx="697">
                  <c:v>170.85877099999999</c:v>
                </c:pt>
                <c:pt idx="698">
                  <c:v>163.48676800000001</c:v>
                </c:pt>
                <c:pt idx="699">
                  <c:v>184.79747599999999</c:v>
                </c:pt>
                <c:pt idx="700">
                  <c:v>137.86453700000001</c:v>
                </c:pt>
                <c:pt idx="701">
                  <c:v>157.57488269760745</c:v>
                </c:pt>
                <c:pt idx="702">
                  <c:v>157.57488269760745</c:v>
                </c:pt>
                <c:pt idx="703">
                  <c:v>157.57488269760745</c:v>
                </c:pt>
                <c:pt idx="704">
                  <c:v>157.57488269760745</c:v>
                </c:pt>
                <c:pt idx="705">
                  <c:v>157.57488269760745</c:v>
                </c:pt>
                <c:pt idx="706">
                  <c:v>146.36757900000001</c:v>
                </c:pt>
                <c:pt idx="707">
                  <c:v>118.2949</c:v>
                </c:pt>
                <c:pt idx="708">
                  <c:v>157.57488269760745</c:v>
                </c:pt>
                <c:pt idx="709">
                  <c:v>157.57488269760745</c:v>
                </c:pt>
                <c:pt idx="710">
                  <c:v>148.94729199999998</c:v>
                </c:pt>
                <c:pt idx="711">
                  <c:v>157.57488269760745</c:v>
                </c:pt>
                <c:pt idx="712">
                  <c:v>157.57488269760745</c:v>
                </c:pt>
                <c:pt idx="713">
                  <c:v>157.57488269760745</c:v>
                </c:pt>
                <c:pt idx="714">
                  <c:v>157.57488269760745</c:v>
                </c:pt>
                <c:pt idx="715">
                  <c:v>157.57488269760745</c:v>
                </c:pt>
                <c:pt idx="716">
                  <c:v>157.57488269760745</c:v>
                </c:pt>
                <c:pt idx="717">
                  <c:v>157.57488269760745</c:v>
                </c:pt>
                <c:pt idx="718">
                  <c:v>157.57488269760745</c:v>
                </c:pt>
                <c:pt idx="719">
                  <c:v>144.19576800000002</c:v>
                </c:pt>
                <c:pt idx="720">
                  <c:v>157.06750399999999</c:v>
                </c:pt>
                <c:pt idx="721">
                  <c:v>128.74927700000001</c:v>
                </c:pt>
                <c:pt idx="722">
                  <c:v>157.57488269760745</c:v>
                </c:pt>
                <c:pt idx="723">
                  <c:v>157.57488269760745</c:v>
                </c:pt>
                <c:pt idx="724">
                  <c:v>157.57488269760745</c:v>
                </c:pt>
                <c:pt idx="725">
                  <c:v>157.57488269760745</c:v>
                </c:pt>
                <c:pt idx="726">
                  <c:v>157.57488269760745</c:v>
                </c:pt>
                <c:pt idx="727">
                  <c:v>139.77950600000003</c:v>
                </c:pt>
                <c:pt idx="728">
                  <c:v>90.597994999999997</c:v>
                </c:pt>
                <c:pt idx="729">
                  <c:v>113.38989199999999</c:v>
                </c:pt>
                <c:pt idx="730">
                  <c:v>148.46694199999999</c:v>
                </c:pt>
                <c:pt idx="731">
                  <c:v>120.40105743218382</c:v>
                </c:pt>
                <c:pt idx="732">
                  <c:v>120.40105743218382</c:v>
                </c:pt>
                <c:pt idx="733">
                  <c:v>120.40105743218382</c:v>
                </c:pt>
                <c:pt idx="734">
                  <c:v>120.40105743218382</c:v>
                </c:pt>
                <c:pt idx="735">
                  <c:v>120.40105743218382</c:v>
                </c:pt>
                <c:pt idx="736">
                  <c:v>120.40105743218382</c:v>
                </c:pt>
                <c:pt idx="737">
                  <c:v>120.40105743218382</c:v>
                </c:pt>
                <c:pt idx="738">
                  <c:v>120.40105743218382</c:v>
                </c:pt>
                <c:pt idx="739">
                  <c:v>120.40105743218382</c:v>
                </c:pt>
                <c:pt idx="740">
                  <c:v>120.40105743218382</c:v>
                </c:pt>
                <c:pt idx="741">
                  <c:v>120.40105743218382</c:v>
                </c:pt>
                <c:pt idx="742">
                  <c:v>120.40105743218382</c:v>
                </c:pt>
                <c:pt idx="743">
                  <c:v>120.40105743218382</c:v>
                </c:pt>
                <c:pt idx="744">
                  <c:v>120.40105743218382</c:v>
                </c:pt>
                <c:pt idx="745">
                  <c:v>120.40105743218382</c:v>
                </c:pt>
                <c:pt idx="746">
                  <c:v>120.40105743218382</c:v>
                </c:pt>
                <c:pt idx="747">
                  <c:v>120.40105743218382</c:v>
                </c:pt>
                <c:pt idx="748">
                  <c:v>120.40105743218382</c:v>
                </c:pt>
                <c:pt idx="749">
                  <c:v>108.36172885699999</c:v>
                </c:pt>
                <c:pt idx="750">
                  <c:v>111.42447447800001</c:v>
                </c:pt>
                <c:pt idx="751">
                  <c:v>93.088636910999995</c:v>
                </c:pt>
                <c:pt idx="752">
                  <c:v>102.413408893</c:v>
                </c:pt>
                <c:pt idx="753">
                  <c:v>120.40105743218382</c:v>
                </c:pt>
                <c:pt idx="754">
                  <c:v>120.40105743218382</c:v>
                </c:pt>
                <c:pt idx="755">
                  <c:v>110.191832198</c:v>
                </c:pt>
                <c:pt idx="756">
                  <c:v>100.36125177599999</c:v>
                </c:pt>
                <c:pt idx="757">
                  <c:v>120.40105743218382</c:v>
                </c:pt>
                <c:pt idx="758">
                  <c:v>120.124676596</c:v>
                </c:pt>
                <c:pt idx="759">
                  <c:v>57.283782973000001</c:v>
                </c:pt>
                <c:pt idx="760">
                  <c:v>99.834632038999985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multiLvlStrRef>
              <c:f>'Data 5'!$F$2:$G$761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</c:v>
                  </c:pt>
                  <c:pt idx="92">
                    <c:v>2024</c:v>
                  </c:pt>
                  <c:pt idx="458">
                    <c:v>2025</c:v>
                  </c:pt>
                </c:lvl>
              </c:multiLvlStrCache>
            </c:multiLvlStrRef>
          </c:cat>
          <c:val>
            <c:numRef>
              <c:f>'Data 5'!$H$2:$H$762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'Data 6'!$C$50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 </c:v>
                  </c:pt>
                  <c:pt idx="92">
                    <c:v>2024 </c:v>
                  </c:pt>
                  <c:pt idx="458">
                    <c:v>2025 </c:v>
                  </c:pt>
                </c:lvl>
              </c:multiLvlStrCache>
            </c:multiLvlStrRef>
          </c:cat>
          <c:val>
            <c:numRef>
              <c:f>'Data 6'!$C$52:$C$811</c:f>
              <c:numCache>
                <c:formatCode>#,##0</c:formatCode>
                <c:ptCount val="760"/>
                <c:pt idx="0">
                  <c:v>2.1056485495590422</c:v>
                </c:pt>
                <c:pt idx="1">
                  <c:v>2.635984137558109</c:v>
                </c:pt>
                <c:pt idx="2">
                  <c:v>3.8150691695590395</c:v>
                </c:pt>
                <c:pt idx="3">
                  <c:v>8.2569853218427092</c:v>
                </c:pt>
                <c:pt idx="4">
                  <c:v>20.672574646844573</c:v>
                </c:pt>
                <c:pt idx="5">
                  <c:v>22.144515225843644</c:v>
                </c:pt>
                <c:pt idx="6">
                  <c:v>5.1140933218445719</c:v>
                </c:pt>
                <c:pt idx="7">
                  <c:v>3.4750962828436425</c:v>
                </c:pt>
                <c:pt idx="8">
                  <c:v>22.509661284844572</c:v>
                </c:pt>
                <c:pt idx="9">
                  <c:v>24.315748561843641</c:v>
                </c:pt>
                <c:pt idx="10">
                  <c:v>16.618847536526957</c:v>
                </c:pt>
                <c:pt idx="11">
                  <c:v>8.7665859895250904</c:v>
                </c:pt>
                <c:pt idx="12">
                  <c:v>4.0539202715278808</c:v>
                </c:pt>
                <c:pt idx="13">
                  <c:v>11.487250864526956</c:v>
                </c:pt>
                <c:pt idx="14">
                  <c:v>5.1308790605269534</c:v>
                </c:pt>
                <c:pt idx="15">
                  <c:v>27.555892200526948</c:v>
                </c:pt>
                <c:pt idx="16">
                  <c:v>5.8518849325269544</c:v>
                </c:pt>
                <c:pt idx="17">
                  <c:v>70.60312873297741</c:v>
                </c:pt>
                <c:pt idx="18">
                  <c:v>78.534630715978338</c:v>
                </c:pt>
                <c:pt idx="19">
                  <c:v>90.890940400979275</c:v>
                </c:pt>
                <c:pt idx="20">
                  <c:v>96.171797856979282</c:v>
                </c:pt>
                <c:pt idx="21">
                  <c:v>104.0859269489774</c:v>
                </c:pt>
                <c:pt idx="22">
                  <c:v>122.76917567297927</c:v>
                </c:pt>
                <c:pt idx="23">
                  <c:v>101.42940740097833</c:v>
                </c:pt>
                <c:pt idx="24">
                  <c:v>155.50635443682236</c:v>
                </c:pt>
                <c:pt idx="25">
                  <c:v>161.22304439982139</c:v>
                </c:pt>
                <c:pt idx="26">
                  <c:v>173.31285210182233</c:v>
                </c:pt>
                <c:pt idx="27">
                  <c:v>167.54062048382141</c:v>
                </c:pt>
                <c:pt idx="28">
                  <c:v>177.79013328882235</c:v>
                </c:pt>
                <c:pt idx="29">
                  <c:v>178.86842101782236</c:v>
                </c:pt>
                <c:pt idx="30">
                  <c:v>219.01297562782048</c:v>
                </c:pt>
                <c:pt idx="31">
                  <c:v>253.6148215318982</c:v>
                </c:pt>
                <c:pt idx="32">
                  <c:v>254.10288048389819</c:v>
                </c:pt>
                <c:pt idx="33">
                  <c:v>263.87942528789819</c:v>
                </c:pt>
                <c:pt idx="34">
                  <c:v>260.97814761189818</c:v>
                </c:pt>
                <c:pt idx="35">
                  <c:v>260.26990864389916</c:v>
                </c:pt>
                <c:pt idx="36">
                  <c:v>271.86419665289731</c:v>
                </c:pt>
                <c:pt idx="37">
                  <c:v>288.43707496989913</c:v>
                </c:pt>
                <c:pt idx="38">
                  <c:v>201.7189202797035</c:v>
                </c:pt>
                <c:pt idx="39">
                  <c:v>192.57401201370166</c:v>
                </c:pt>
                <c:pt idx="40">
                  <c:v>190.53594786770165</c:v>
                </c:pt>
                <c:pt idx="41">
                  <c:v>165.43634698970351</c:v>
                </c:pt>
                <c:pt idx="42">
                  <c:v>171.5012587987035</c:v>
                </c:pt>
                <c:pt idx="43">
                  <c:v>186.9203967267035</c:v>
                </c:pt>
                <c:pt idx="44">
                  <c:v>195.15432373870163</c:v>
                </c:pt>
                <c:pt idx="45">
                  <c:v>136.88150827041906</c:v>
                </c:pt>
                <c:pt idx="46">
                  <c:v>137.88263202641906</c:v>
                </c:pt>
                <c:pt idx="47">
                  <c:v>154.00726435041909</c:v>
                </c:pt>
                <c:pt idx="48">
                  <c:v>147.38477178242093</c:v>
                </c:pt>
                <c:pt idx="49">
                  <c:v>113.46929277041906</c:v>
                </c:pt>
                <c:pt idx="50">
                  <c:v>133.41938511441907</c:v>
                </c:pt>
                <c:pt idx="51">
                  <c:v>96.503505298420933</c:v>
                </c:pt>
                <c:pt idx="52">
                  <c:v>54.502371812797733</c:v>
                </c:pt>
                <c:pt idx="53">
                  <c:v>69.862290128795863</c:v>
                </c:pt>
                <c:pt idx="54">
                  <c:v>82.498538988797733</c:v>
                </c:pt>
                <c:pt idx="55">
                  <c:v>78.329930240797736</c:v>
                </c:pt>
                <c:pt idx="56">
                  <c:v>119.80415644079773</c:v>
                </c:pt>
                <c:pt idx="57">
                  <c:v>116.94519380879588</c:v>
                </c:pt>
                <c:pt idx="58">
                  <c:v>112.09005923679774</c:v>
                </c:pt>
                <c:pt idx="59">
                  <c:v>138.81680317065374</c:v>
                </c:pt>
                <c:pt idx="60">
                  <c:v>161.78593439865745</c:v>
                </c:pt>
                <c:pt idx="61">
                  <c:v>161.11846028265373</c:v>
                </c:pt>
                <c:pt idx="62">
                  <c:v>157.50765632665559</c:v>
                </c:pt>
                <c:pt idx="63">
                  <c:v>164.27959961465373</c:v>
                </c:pt>
                <c:pt idx="64">
                  <c:v>172.60810895065745</c:v>
                </c:pt>
                <c:pt idx="65">
                  <c:v>201.47537958265372</c:v>
                </c:pt>
                <c:pt idx="66">
                  <c:v>204.49060813522718</c:v>
                </c:pt>
                <c:pt idx="67">
                  <c:v>176.03838892322719</c:v>
                </c:pt>
                <c:pt idx="68">
                  <c:v>131.1346977272253</c:v>
                </c:pt>
                <c:pt idx="69">
                  <c:v>134.04051455122718</c:v>
                </c:pt>
                <c:pt idx="70">
                  <c:v>140.68438737922534</c:v>
                </c:pt>
                <c:pt idx="71">
                  <c:v>161.31594569722719</c:v>
                </c:pt>
                <c:pt idx="72">
                  <c:v>173.59638009122719</c:v>
                </c:pt>
                <c:pt idx="73">
                  <c:v>144.47361120657493</c:v>
                </c:pt>
                <c:pt idx="74">
                  <c:v>142.99797357457305</c:v>
                </c:pt>
                <c:pt idx="75">
                  <c:v>155.57880703057305</c:v>
                </c:pt>
                <c:pt idx="76">
                  <c:v>156.43636204257305</c:v>
                </c:pt>
                <c:pt idx="77">
                  <c:v>163.83536717457494</c:v>
                </c:pt>
                <c:pt idx="78">
                  <c:v>189.10055625057305</c:v>
                </c:pt>
                <c:pt idx="79">
                  <c:v>184.65076205057304</c:v>
                </c:pt>
                <c:pt idx="80">
                  <c:v>91.702290069493571</c:v>
                </c:pt>
                <c:pt idx="81">
                  <c:v>96.763374213493563</c:v>
                </c:pt>
                <c:pt idx="82">
                  <c:v>85.367497525495438</c:v>
                </c:pt>
                <c:pt idx="83">
                  <c:v>83.527756937491702</c:v>
                </c:pt>
                <c:pt idx="84">
                  <c:v>107.22605843349544</c:v>
                </c:pt>
                <c:pt idx="85">
                  <c:v>88.17712642549543</c:v>
                </c:pt>
                <c:pt idx="86">
                  <c:v>122.90049378949357</c:v>
                </c:pt>
                <c:pt idx="87">
                  <c:v>132.85878955014627</c:v>
                </c:pt>
                <c:pt idx="88">
                  <c:v>128.13222722614813</c:v>
                </c:pt>
                <c:pt idx="89">
                  <c:v>139.02115590614628</c:v>
                </c:pt>
                <c:pt idx="90">
                  <c:v>82.876341482146259</c:v>
                </c:pt>
                <c:pt idx="91">
                  <c:v>60.706967374148121</c:v>
                </c:pt>
                <c:pt idx="92">
                  <c:v>46.317331766148129</c:v>
                </c:pt>
                <c:pt idx="93">
                  <c:v>55.940354536146259</c:v>
                </c:pt>
                <c:pt idx="94">
                  <c:v>96.347034938338027</c:v>
                </c:pt>
                <c:pt idx="95">
                  <c:v>142.08962147033802</c:v>
                </c:pt>
                <c:pt idx="96">
                  <c:v>85.95209914233989</c:v>
                </c:pt>
                <c:pt idx="97">
                  <c:v>80.384418654339882</c:v>
                </c:pt>
                <c:pt idx="98">
                  <c:v>91.604318702336172</c:v>
                </c:pt>
                <c:pt idx="99">
                  <c:v>147.70257932633987</c:v>
                </c:pt>
                <c:pt idx="100">
                  <c:v>174.70871064133988</c:v>
                </c:pt>
                <c:pt idx="101">
                  <c:v>128.66585141382532</c:v>
                </c:pt>
                <c:pt idx="102">
                  <c:v>122.48400734982721</c:v>
                </c:pt>
                <c:pt idx="103">
                  <c:v>90.921518729827213</c:v>
                </c:pt>
                <c:pt idx="104">
                  <c:v>101.59093457382534</c:v>
                </c:pt>
                <c:pt idx="105">
                  <c:v>73.273675441827208</c:v>
                </c:pt>
                <c:pt idx="106">
                  <c:v>101.80176113382535</c:v>
                </c:pt>
                <c:pt idx="107">
                  <c:v>76.844781177829063</c:v>
                </c:pt>
                <c:pt idx="108">
                  <c:v>291.9973854933985</c:v>
                </c:pt>
                <c:pt idx="109">
                  <c:v>306.61460094139846</c:v>
                </c:pt>
                <c:pt idx="110">
                  <c:v>324.74468462540034</c:v>
                </c:pt>
                <c:pt idx="111">
                  <c:v>325.35613808940036</c:v>
                </c:pt>
                <c:pt idx="112">
                  <c:v>326.47416605340038</c:v>
                </c:pt>
                <c:pt idx="113">
                  <c:v>330.81129340239846</c:v>
                </c:pt>
                <c:pt idx="114">
                  <c:v>336.56841545240036</c:v>
                </c:pt>
                <c:pt idx="115">
                  <c:v>174.25858186489705</c:v>
                </c:pt>
                <c:pt idx="116">
                  <c:v>189.73486431289888</c:v>
                </c:pt>
                <c:pt idx="117">
                  <c:v>199.20515662889332</c:v>
                </c:pt>
                <c:pt idx="118">
                  <c:v>156.98031956089889</c:v>
                </c:pt>
                <c:pt idx="119">
                  <c:v>144.3194687128989</c:v>
                </c:pt>
                <c:pt idx="120">
                  <c:v>168.74329450889704</c:v>
                </c:pt>
                <c:pt idx="121">
                  <c:v>193.72112196889518</c:v>
                </c:pt>
                <c:pt idx="122">
                  <c:v>127.45307729313772</c:v>
                </c:pt>
                <c:pt idx="123">
                  <c:v>115.24412592513586</c:v>
                </c:pt>
                <c:pt idx="124">
                  <c:v>88.351072877137739</c:v>
                </c:pt>
                <c:pt idx="125">
                  <c:v>70.321336005135862</c:v>
                </c:pt>
                <c:pt idx="126">
                  <c:v>56.144467513139595</c:v>
                </c:pt>
                <c:pt idx="127">
                  <c:v>107.72370077713774</c:v>
                </c:pt>
                <c:pt idx="128">
                  <c:v>102.96022487713586</c:v>
                </c:pt>
                <c:pt idx="129">
                  <c:v>125.23253068134586</c:v>
                </c:pt>
                <c:pt idx="130">
                  <c:v>121.74336943334959</c:v>
                </c:pt>
                <c:pt idx="131">
                  <c:v>122.85423017734398</c:v>
                </c:pt>
                <c:pt idx="132">
                  <c:v>82.009763521347722</c:v>
                </c:pt>
                <c:pt idx="133">
                  <c:v>92.096768257349581</c:v>
                </c:pt>
                <c:pt idx="134">
                  <c:v>104.74626892534584</c:v>
                </c:pt>
                <c:pt idx="135">
                  <c:v>155.0008602853477</c:v>
                </c:pt>
                <c:pt idx="136">
                  <c:v>155.40752792467583</c:v>
                </c:pt>
                <c:pt idx="137">
                  <c:v>145.30744173267769</c:v>
                </c:pt>
                <c:pt idx="138">
                  <c:v>133.63674514867583</c:v>
                </c:pt>
                <c:pt idx="139">
                  <c:v>119.15370997267397</c:v>
                </c:pt>
                <c:pt idx="140">
                  <c:v>111.38864493667769</c:v>
                </c:pt>
                <c:pt idx="141">
                  <c:v>103.97121753667584</c:v>
                </c:pt>
                <c:pt idx="142">
                  <c:v>141.12725004467583</c:v>
                </c:pt>
                <c:pt idx="143">
                  <c:v>180.11611496162033</c:v>
                </c:pt>
                <c:pt idx="144">
                  <c:v>124.62648388562218</c:v>
                </c:pt>
                <c:pt idx="145">
                  <c:v>111.29172475362031</c:v>
                </c:pt>
                <c:pt idx="146">
                  <c:v>105.35793837762031</c:v>
                </c:pt>
                <c:pt idx="147">
                  <c:v>103.96632681762031</c:v>
                </c:pt>
                <c:pt idx="148">
                  <c:v>135.15554449762405</c:v>
                </c:pt>
                <c:pt idx="149">
                  <c:v>145.6437247416203</c:v>
                </c:pt>
                <c:pt idx="150">
                  <c:v>204.59404648474109</c:v>
                </c:pt>
                <c:pt idx="151">
                  <c:v>210.08763446474481</c:v>
                </c:pt>
                <c:pt idx="152">
                  <c:v>211.9660497607392</c:v>
                </c:pt>
                <c:pt idx="153">
                  <c:v>211.88002381274293</c:v>
                </c:pt>
                <c:pt idx="154">
                  <c:v>197.66541324074106</c:v>
                </c:pt>
                <c:pt idx="155">
                  <c:v>214.30620139274293</c:v>
                </c:pt>
                <c:pt idx="156">
                  <c:v>238.23071474874106</c:v>
                </c:pt>
                <c:pt idx="157">
                  <c:v>234.32867166482279</c:v>
                </c:pt>
                <c:pt idx="158">
                  <c:v>215.8372478448228</c:v>
                </c:pt>
                <c:pt idx="159">
                  <c:v>221.93362245282464</c:v>
                </c:pt>
                <c:pt idx="160">
                  <c:v>218.76776825682276</c:v>
                </c:pt>
                <c:pt idx="161">
                  <c:v>202.10173770882093</c:v>
                </c:pt>
                <c:pt idx="162">
                  <c:v>221.20131164882466</c:v>
                </c:pt>
                <c:pt idx="163">
                  <c:v>234.67890028482466</c:v>
                </c:pt>
                <c:pt idx="164">
                  <c:v>211.53238243101572</c:v>
                </c:pt>
                <c:pt idx="165">
                  <c:v>216.07462333901569</c:v>
                </c:pt>
                <c:pt idx="166">
                  <c:v>223.02256256701943</c:v>
                </c:pt>
                <c:pt idx="167">
                  <c:v>206.91598158701569</c:v>
                </c:pt>
                <c:pt idx="168">
                  <c:v>208.01399140701571</c:v>
                </c:pt>
                <c:pt idx="169">
                  <c:v>227.33454118701758</c:v>
                </c:pt>
                <c:pt idx="170">
                  <c:v>233.93777666701945</c:v>
                </c:pt>
                <c:pt idx="171">
                  <c:v>197.96447342418341</c:v>
                </c:pt>
                <c:pt idx="172">
                  <c:v>176.85543021218712</c:v>
                </c:pt>
                <c:pt idx="173">
                  <c:v>184.05906138818526</c:v>
                </c:pt>
                <c:pt idx="174">
                  <c:v>144.84861818018339</c:v>
                </c:pt>
                <c:pt idx="175">
                  <c:v>136.00949461218897</c:v>
                </c:pt>
                <c:pt idx="176">
                  <c:v>188.86417784818713</c:v>
                </c:pt>
                <c:pt idx="177">
                  <c:v>178.12515757218523</c:v>
                </c:pt>
                <c:pt idx="178">
                  <c:v>224.35234708788724</c:v>
                </c:pt>
                <c:pt idx="179">
                  <c:v>230.37488433589098</c:v>
                </c:pt>
                <c:pt idx="180">
                  <c:v>244.73744427988726</c:v>
                </c:pt>
                <c:pt idx="181">
                  <c:v>252.09877540788537</c:v>
                </c:pt>
                <c:pt idx="182">
                  <c:v>244.49603375188912</c:v>
                </c:pt>
                <c:pt idx="183">
                  <c:v>243.29348493988911</c:v>
                </c:pt>
                <c:pt idx="184">
                  <c:v>255.81591222788725</c:v>
                </c:pt>
                <c:pt idx="185">
                  <c:v>263.57349480166044</c:v>
                </c:pt>
                <c:pt idx="186">
                  <c:v>262.71526991366233</c:v>
                </c:pt>
                <c:pt idx="187">
                  <c:v>257.32151106966046</c:v>
                </c:pt>
                <c:pt idx="188">
                  <c:v>259.32376841766046</c:v>
                </c:pt>
                <c:pt idx="189">
                  <c:v>267.06073969766044</c:v>
                </c:pt>
                <c:pt idx="190">
                  <c:v>270.21304680165861</c:v>
                </c:pt>
                <c:pt idx="191">
                  <c:v>262.92823013066044</c:v>
                </c:pt>
                <c:pt idx="192">
                  <c:v>193.9214722451166</c:v>
                </c:pt>
                <c:pt idx="193">
                  <c:v>173.92818561711846</c:v>
                </c:pt>
                <c:pt idx="194">
                  <c:v>194.95258946511288</c:v>
                </c:pt>
                <c:pt idx="195">
                  <c:v>178.18745186911846</c:v>
                </c:pt>
                <c:pt idx="196">
                  <c:v>165.4526508811166</c:v>
                </c:pt>
                <c:pt idx="197">
                  <c:v>160.50314996911476</c:v>
                </c:pt>
                <c:pt idx="198">
                  <c:v>146.16653191711848</c:v>
                </c:pt>
                <c:pt idx="199">
                  <c:v>123.48102182233816</c:v>
                </c:pt>
                <c:pt idx="200">
                  <c:v>121.8189959663419</c:v>
                </c:pt>
                <c:pt idx="201">
                  <c:v>136.99538842733818</c:v>
                </c:pt>
                <c:pt idx="202">
                  <c:v>111.19103276633818</c:v>
                </c:pt>
                <c:pt idx="203">
                  <c:v>88.599454134340036</c:v>
                </c:pt>
                <c:pt idx="204">
                  <c:v>93.381547750340033</c:v>
                </c:pt>
                <c:pt idx="205">
                  <c:v>96.421928146338175</c:v>
                </c:pt>
                <c:pt idx="206">
                  <c:v>73.047796928215917</c:v>
                </c:pt>
                <c:pt idx="207">
                  <c:v>124.15125314421218</c:v>
                </c:pt>
                <c:pt idx="208">
                  <c:v>131.74439060321961</c:v>
                </c:pt>
                <c:pt idx="209">
                  <c:v>71.896353268219642</c:v>
                </c:pt>
                <c:pt idx="210">
                  <c:v>74.042449444215919</c:v>
                </c:pt>
                <c:pt idx="211">
                  <c:v>109.42936759621591</c:v>
                </c:pt>
                <c:pt idx="212">
                  <c:v>64.354226576215908</c:v>
                </c:pt>
                <c:pt idx="213">
                  <c:v>79.571888342601397</c:v>
                </c:pt>
                <c:pt idx="214">
                  <c:v>89.119704002601381</c:v>
                </c:pt>
                <c:pt idx="215">
                  <c:v>103.91496643460138</c:v>
                </c:pt>
                <c:pt idx="216">
                  <c:v>105.90095924659767</c:v>
                </c:pt>
                <c:pt idx="217">
                  <c:v>104.83254937960325</c:v>
                </c:pt>
                <c:pt idx="218">
                  <c:v>137.12204992159764</c:v>
                </c:pt>
                <c:pt idx="219">
                  <c:v>114.43662242259953</c:v>
                </c:pt>
                <c:pt idx="220">
                  <c:v>95.868914238072179</c:v>
                </c:pt>
                <c:pt idx="221">
                  <c:v>109.52223605407217</c:v>
                </c:pt>
                <c:pt idx="222">
                  <c:v>109.76794713007031</c:v>
                </c:pt>
                <c:pt idx="223">
                  <c:v>87.082563798072187</c:v>
                </c:pt>
                <c:pt idx="224">
                  <c:v>92.097228806070319</c:v>
                </c:pt>
                <c:pt idx="225">
                  <c:v>98.382952402070316</c:v>
                </c:pt>
                <c:pt idx="226">
                  <c:v>86.890977494070313</c:v>
                </c:pt>
                <c:pt idx="227">
                  <c:v>104.96816724701439</c:v>
                </c:pt>
                <c:pt idx="228">
                  <c:v>120.74001667101626</c:v>
                </c:pt>
                <c:pt idx="229">
                  <c:v>147.09440886701253</c:v>
                </c:pt>
                <c:pt idx="230">
                  <c:v>102.0620866310144</c:v>
                </c:pt>
                <c:pt idx="231">
                  <c:v>91.921238147018116</c:v>
                </c:pt>
                <c:pt idx="232">
                  <c:v>105.46814395901252</c:v>
                </c:pt>
                <c:pt idx="233">
                  <c:v>118.7190386380144</c:v>
                </c:pt>
                <c:pt idx="234">
                  <c:v>113.49101006372031</c:v>
                </c:pt>
                <c:pt idx="235">
                  <c:v>118.66739578072031</c:v>
                </c:pt>
                <c:pt idx="236">
                  <c:v>113.69286175571845</c:v>
                </c:pt>
                <c:pt idx="237">
                  <c:v>98.955515526716582</c:v>
                </c:pt>
                <c:pt idx="238">
                  <c:v>91.834740247716596</c:v>
                </c:pt>
                <c:pt idx="239">
                  <c:v>100.30185118772404</c:v>
                </c:pt>
                <c:pt idx="240">
                  <c:v>110.34457240771658</c:v>
                </c:pt>
                <c:pt idx="241">
                  <c:v>92.284333513554529</c:v>
                </c:pt>
                <c:pt idx="242">
                  <c:v>78.878956994548943</c:v>
                </c:pt>
                <c:pt idx="243">
                  <c:v>65.694582402552669</c:v>
                </c:pt>
                <c:pt idx="244">
                  <c:v>40.377900895550802</c:v>
                </c:pt>
                <c:pt idx="245">
                  <c:v>37.02979080555081</c:v>
                </c:pt>
                <c:pt idx="246">
                  <c:v>67.751569642548944</c:v>
                </c:pt>
                <c:pt idx="247">
                  <c:v>98.805928746552667</c:v>
                </c:pt>
                <c:pt idx="248">
                  <c:v>79.432074932758439</c:v>
                </c:pt>
                <c:pt idx="249">
                  <c:v>69.188575634758436</c:v>
                </c:pt>
                <c:pt idx="250">
                  <c:v>70.878695622756581</c:v>
                </c:pt>
                <c:pt idx="251">
                  <c:v>50.981575186758434</c:v>
                </c:pt>
                <c:pt idx="252">
                  <c:v>20.362609987756571</c:v>
                </c:pt>
                <c:pt idx="253">
                  <c:v>36.739903890758434</c:v>
                </c:pt>
                <c:pt idx="254">
                  <c:v>39.157048026758439</c:v>
                </c:pt>
                <c:pt idx="255">
                  <c:v>60.845410224167765</c:v>
                </c:pt>
                <c:pt idx="256">
                  <c:v>66.206468161169624</c:v>
                </c:pt>
                <c:pt idx="257">
                  <c:v>57.264168413165898</c:v>
                </c:pt>
                <c:pt idx="258">
                  <c:v>31.127024317171482</c:v>
                </c:pt>
                <c:pt idx="259">
                  <c:v>37.974406523165896</c:v>
                </c:pt>
                <c:pt idx="260">
                  <c:v>59.228509084169623</c:v>
                </c:pt>
                <c:pt idx="261">
                  <c:v>81.494912965169632</c:v>
                </c:pt>
                <c:pt idx="262">
                  <c:v>86.923513643855273</c:v>
                </c:pt>
                <c:pt idx="263">
                  <c:v>75.492146505858997</c:v>
                </c:pt>
                <c:pt idx="264">
                  <c:v>73.267400409853408</c:v>
                </c:pt>
                <c:pt idx="265">
                  <c:v>49.069099326860858</c:v>
                </c:pt>
                <c:pt idx="266">
                  <c:v>35.045765844855275</c:v>
                </c:pt>
                <c:pt idx="267">
                  <c:v>54.089537297859003</c:v>
                </c:pt>
                <c:pt idx="268">
                  <c:v>69.452281835855274</c:v>
                </c:pt>
                <c:pt idx="269">
                  <c:v>62.754375802933225</c:v>
                </c:pt>
                <c:pt idx="270">
                  <c:v>58.297634420935076</c:v>
                </c:pt>
                <c:pt idx="271">
                  <c:v>52.009208182935076</c:v>
                </c:pt>
                <c:pt idx="272">
                  <c:v>34.695431029936955</c:v>
                </c:pt>
                <c:pt idx="273">
                  <c:v>31.637069029933219</c:v>
                </c:pt>
                <c:pt idx="274">
                  <c:v>21.495916996933222</c:v>
                </c:pt>
                <c:pt idx="275">
                  <c:v>34.492029538935078</c:v>
                </c:pt>
                <c:pt idx="276">
                  <c:v>52.16376323260716</c:v>
                </c:pt>
                <c:pt idx="277">
                  <c:v>44.163039307609026</c:v>
                </c:pt>
                <c:pt idx="278">
                  <c:v>45.345475433607163</c:v>
                </c:pt>
                <c:pt idx="279">
                  <c:v>15.12081097160717</c:v>
                </c:pt>
                <c:pt idx="280">
                  <c:v>19.39214861760717</c:v>
                </c:pt>
                <c:pt idx="281">
                  <c:v>35.733574139609033</c:v>
                </c:pt>
                <c:pt idx="282">
                  <c:v>42.921010012607162</c:v>
                </c:pt>
                <c:pt idx="283">
                  <c:v>42.444933230845052</c:v>
                </c:pt>
                <c:pt idx="284">
                  <c:v>42.768076100841327</c:v>
                </c:pt>
                <c:pt idx="285">
                  <c:v>27.577513094843191</c:v>
                </c:pt>
                <c:pt idx="286">
                  <c:v>13.606924256841332</c:v>
                </c:pt>
                <c:pt idx="287">
                  <c:v>5.4347649878450541</c:v>
                </c:pt>
                <c:pt idx="288">
                  <c:v>11.368316333841328</c:v>
                </c:pt>
                <c:pt idx="289">
                  <c:v>34.957289322846918</c:v>
                </c:pt>
                <c:pt idx="290">
                  <c:v>27.107350574998883</c:v>
                </c:pt>
                <c:pt idx="291">
                  <c:v>47.384967555000735</c:v>
                </c:pt>
                <c:pt idx="292">
                  <c:v>32.610105791002596</c:v>
                </c:pt>
                <c:pt idx="293">
                  <c:v>2.8838368070007419</c:v>
                </c:pt>
                <c:pt idx="294">
                  <c:v>2.773625599002604</c:v>
                </c:pt>
                <c:pt idx="295">
                  <c:v>2.6918520630007405</c:v>
                </c:pt>
                <c:pt idx="296">
                  <c:v>4.8173808750007447</c:v>
                </c:pt>
                <c:pt idx="297">
                  <c:v>28.556996525535084</c:v>
                </c:pt>
                <c:pt idx="298">
                  <c:v>14.895582087538802</c:v>
                </c:pt>
                <c:pt idx="299">
                  <c:v>13.942140612535077</c:v>
                </c:pt>
                <c:pt idx="300">
                  <c:v>8.5909319685369407</c:v>
                </c:pt>
                <c:pt idx="301">
                  <c:v>2.8758978345369397</c:v>
                </c:pt>
                <c:pt idx="302">
                  <c:v>19.15130785353508</c:v>
                </c:pt>
                <c:pt idx="303">
                  <c:v>16.346622300538801</c:v>
                </c:pt>
                <c:pt idx="304">
                  <c:v>24.35939520223344</c:v>
                </c:pt>
                <c:pt idx="305">
                  <c:v>3.2914033582334379</c:v>
                </c:pt>
                <c:pt idx="306">
                  <c:v>1.8560847702352985</c:v>
                </c:pt>
                <c:pt idx="307">
                  <c:v>3.1090699312334329</c:v>
                </c:pt>
                <c:pt idx="308">
                  <c:v>2.4807760832334314</c:v>
                </c:pt>
                <c:pt idx="309">
                  <c:v>3.27927523323716</c:v>
                </c:pt>
                <c:pt idx="310">
                  <c:v>3.0810359062334318</c:v>
                </c:pt>
                <c:pt idx="311">
                  <c:v>3.19426276293696</c:v>
                </c:pt>
                <c:pt idx="312">
                  <c:v>3.3697791099406897</c:v>
                </c:pt>
                <c:pt idx="313">
                  <c:v>3.9030743759388278</c:v>
                </c:pt>
                <c:pt idx="314">
                  <c:v>2.8245451479388213</c:v>
                </c:pt>
                <c:pt idx="315">
                  <c:v>3.2445350539369611</c:v>
                </c:pt>
                <c:pt idx="316">
                  <c:v>2.3591191749406861</c:v>
                </c:pt>
                <c:pt idx="317">
                  <c:v>6.1163461269388204</c:v>
                </c:pt>
                <c:pt idx="318">
                  <c:v>11.974662251003625</c:v>
                </c:pt>
                <c:pt idx="319">
                  <c:v>2.313891444005487</c:v>
                </c:pt>
                <c:pt idx="320">
                  <c:v>2.7889215240073537</c:v>
                </c:pt>
                <c:pt idx="321">
                  <c:v>3.6637183840073484</c:v>
                </c:pt>
                <c:pt idx="322">
                  <c:v>3.1426225090036239</c:v>
                </c:pt>
                <c:pt idx="323">
                  <c:v>2.7647522880036268</c:v>
                </c:pt>
                <c:pt idx="324">
                  <c:v>8.3475346870073484</c:v>
                </c:pt>
                <c:pt idx="325">
                  <c:v>13.457443864621782</c:v>
                </c:pt>
                <c:pt idx="326">
                  <c:v>17.84504337562737</c:v>
                </c:pt>
                <c:pt idx="327">
                  <c:v>13.587899395625515</c:v>
                </c:pt>
                <c:pt idx="328">
                  <c:v>3.139176939625504</c:v>
                </c:pt>
                <c:pt idx="329">
                  <c:v>3.6239849436255063</c:v>
                </c:pt>
                <c:pt idx="330">
                  <c:v>18.695398971623646</c:v>
                </c:pt>
                <c:pt idx="331">
                  <c:v>19.764271587625508</c:v>
                </c:pt>
                <c:pt idx="332">
                  <c:v>25.071713284847881</c:v>
                </c:pt>
                <c:pt idx="333">
                  <c:v>17.686682008849747</c:v>
                </c:pt>
                <c:pt idx="334">
                  <c:v>20.918469743849744</c:v>
                </c:pt>
                <c:pt idx="335">
                  <c:v>2.742251960849746</c:v>
                </c:pt>
                <c:pt idx="336">
                  <c:v>3.3861522168516096</c:v>
                </c:pt>
                <c:pt idx="337">
                  <c:v>3.4677666688497486</c:v>
                </c:pt>
                <c:pt idx="338">
                  <c:v>2.9788258928478828</c:v>
                </c:pt>
                <c:pt idx="339">
                  <c:v>13.350197940835489</c:v>
                </c:pt>
                <c:pt idx="340">
                  <c:v>44.858035183837345</c:v>
                </c:pt>
                <c:pt idx="341">
                  <c:v>39.888847947835487</c:v>
                </c:pt>
                <c:pt idx="342">
                  <c:v>44.693236418833621</c:v>
                </c:pt>
                <c:pt idx="343">
                  <c:v>24.864796343835486</c:v>
                </c:pt>
                <c:pt idx="344">
                  <c:v>34.384552203833621</c:v>
                </c:pt>
                <c:pt idx="345">
                  <c:v>31.774274239835488</c:v>
                </c:pt>
                <c:pt idx="346">
                  <c:v>28.271422682858041</c:v>
                </c:pt>
                <c:pt idx="347">
                  <c:v>31.615490350856177</c:v>
                </c:pt>
                <c:pt idx="348">
                  <c:v>19.226709610854318</c:v>
                </c:pt>
                <c:pt idx="349">
                  <c:v>10.20638647585618</c:v>
                </c:pt>
                <c:pt idx="350">
                  <c:v>4.7013636978543181</c:v>
                </c:pt>
                <c:pt idx="351">
                  <c:v>8.5534986828543182</c:v>
                </c:pt>
                <c:pt idx="352">
                  <c:v>9.7971874988580421</c:v>
                </c:pt>
                <c:pt idx="353">
                  <c:v>29.041916538356869</c:v>
                </c:pt>
                <c:pt idx="354">
                  <c:v>60.274292950355012</c:v>
                </c:pt>
                <c:pt idx="355">
                  <c:v>63.832625350356871</c:v>
                </c:pt>
                <c:pt idx="356">
                  <c:v>50.197664322356871</c:v>
                </c:pt>
                <c:pt idx="357">
                  <c:v>43.917412422356882</c:v>
                </c:pt>
                <c:pt idx="358">
                  <c:v>42.279065178355012</c:v>
                </c:pt>
                <c:pt idx="359">
                  <c:v>43.818669830356868</c:v>
                </c:pt>
                <c:pt idx="360">
                  <c:v>49.660390897962571</c:v>
                </c:pt>
                <c:pt idx="361">
                  <c:v>36.476566837960704</c:v>
                </c:pt>
                <c:pt idx="362">
                  <c:v>37.369163633964433</c:v>
                </c:pt>
                <c:pt idx="363">
                  <c:v>45.754677949964432</c:v>
                </c:pt>
                <c:pt idx="364">
                  <c:v>37.675193005962569</c:v>
                </c:pt>
                <c:pt idx="365">
                  <c:v>63.93063872696257</c:v>
                </c:pt>
                <c:pt idx="366">
                  <c:v>70.068381224962565</c:v>
                </c:pt>
                <c:pt idx="367">
                  <c:v>58.052029492615212</c:v>
                </c:pt>
                <c:pt idx="368">
                  <c:v>63.437394593613355</c:v>
                </c:pt>
                <c:pt idx="369">
                  <c:v>75.007707163617084</c:v>
                </c:pt>
                <c:pt idx="370">
                  <c:v>63.616250232613353</c:v>
                </c:pt>
                <c:pt idx="371">
                  <c:v>32.810350096617086</c:v>
                </c:pt>
                <c:pt idx="372">
                  <c:v>54.122171761615213</c:v>
                </c:pt>
                <c:pt idx="373">
                  <c:v>44.16330611961336</c:v>
                </c:pt>
                <c:pt idx="374">
                  <c:v>108.57079895363435</c:v>
                </c:pt>
                <c:pt idx="375">
                  <c:v>142.66093879663435</c:v>
                </c:pt>
                <c:pt idx="376">
                  <c:v>165.5278694396325</c:v>
                </c:pt>
                <c:pt idx="377">
                  <c:v>154.03467495263436</c:v>
                </c:pt>
                <c:pt idx="378">
                  <c:v>138.60919570463437</c:v>
                </c:pt>
                <c:pt idx="379">
                  <c:v>174.22466010063437</c:v>
                </c:pt>
                <c:pt idx="380">
                  <c:v>159.80809982463248</c:v>
                </c:pt>
                <c:pt idx="381">
                  <c:v>125.8817006946114</c:v>
                </c:pt>
                <c:pt idx="382">
                  <c:v>121.5447070726114</c:v>
                </c:pt>
                <c:pt idx="383">
                  <c:v>130.54230420161514</c:v>
                </c:pt>
                <c:pt idx="384">
                  <c:v>125.60238285760954</c:v>
                </c:pt>
                <c:pt idx="385">
                  <c:v>114.77731400161326</c:v>
                </c:pt>
                <c:pt idx="386">
                  <c:v>146.65737781060952</c:v>
                </c:pt>
                <c:pt idx="387">
                  <c:v>144.62549306961139</c:v>
                </c:pt>
                <c:pt idx="388">
                  <c:v>99.303005761531949</c:v>
                </c:pt>
                <c:pt idx="389">
                  <c:v>89.790892455530084</c:v>
                </c:pt>
                <c:pt idx="390">
                  <c:v>108.95479519853195</c:v>
                </c:pt>
                <c:pt idx="391">
                  <c:v>104.75625435853009</c:v>
                </c:pt>
                <c:pt idx="392">
                  <c:v>100.9805895135338</c:v>
                </c:pt>
                <c:pt idx="393">
                  <c:v>85.280425566530084</c:v>
                </c:pt>
                <c:pt idx="394">
                  <c:v>107.49838493853008</c:v>
                </c:pt>
                <c:pt idx="395">
                  <c:v>114.20029164982061</c:v>
                </c:pt>
                <c:pt idx="396">
                  <c:v>120.56744921381875</c:v>
                </c:pt>
                <c:pt idx="397">
                  <c:v>108.72068790582061</c:v>
                </c:pt>
                <c:pt idx="398">
                  <c:v>109.19724974981874</c:v>
                </c:pt>
                <c:pt idx="399">
                  <c:v>95.714585525818748</c:v>
                </c:pt>
                <c:pt idx="400">
                  <c:v>119.13054744981875</c:v>
                </c:pt>
                <c:pt idx="401">
                  <c:v>129.5196712458206</c:v>
                </c:pt>
                <c:pt idx="402">
                  <c:v>87.747738995033558</c:v>
                </c:pt>
                <c:pt idx="403">
                  <c:v>88.905466919029848</c:v>
                </c:pt>
                <c:pt idx="404">
                  <c:v>102.83224174303358</c:v>
                </c:pt>
                <c:pt idx="405">
                  <c:v>68.936405255031715</c:v>
                </c:pt>
                <c:pt idx="406">
                  <c:v>48.757162151029846</c:v>
                </c:pt>
                <c:pt idx="407">
                  <c:v>48.689695399035436</c:v>
                </c:pt>
                <c:pt idx="408">
                  <c:v>40.047803227031707</c:v>
                </c:pt>
                <c:pt idx="409">
                  <c:v>68.855309445166483</c:v>
                </c:pt>
                <c:pt idx="410">
                  <c:v>75.299004657168354</c:v>
                </c:pt>
                <c:pt idx="411">
                  <c:v>68.215954553168345</c:v>
                </c:pt>
                <c:pt idx="412">
                  <c:v>58.871465425168338</c:v>
                </c:pt>
                <c:pt idx="413">
                  <c:v>58.597059901168336</c:v>
                </c:pt>
                <c:pt idx="414">
                  <c:v>72.038170989168336</c:v>
                </c:pt>
                <c:pt idx="415">
                  <c:v>61.939732837168343</c:v>
                </c:pt>
                <c:pt idx="416">
                  <c:v>57.604023443207126</c:v>
                </c:pt>
                <c:pt idx="417">
                  <c:v>54.52021600720898</c:v>
                </c:pt>
                <c:pt idx="418">
                  <c:v>77.539787579208976</c:v>
                </c:pt>
                <c:pt idx="419">
                  <c:v>43.110696247205254</c:v>
                </c:pt>
                <c:pt idx="420">
                  <c:v>43.692276563208978</c:v>
                </c:pt>
                <c:pt idx="421">
                  <c:v>66.915898435208973</c:v>
                </c:pt>
                <c:pt idx="422">
                  <c:v>92.756794711207121</c:v>
                </c:pt>
                <c:pt idx="423">
                  <c:v>88.907669110948547</c:v>
                </c:pt>
                <c:pt idx="424">
                  <c:v>87.877523222946678</c:v>
                </c:pt>
                <c:pt idx="425">
                  <c:v>83.668051382946686</c:v>
                </c:pt>
                <c:pt idx="426">
                  <c:v>75.554168506946681</c:v>
                </c:pt>
                <c:pt idx="427">
                  <c:v>83.351727374948538</c:v>
                </c:pt>
                <c:pt idx="428">
                  <c:v>89.505745218946672</c:v>
                </c:pt>
                <c:pt idx="429">
                  <c:v>85.303495534948539</c:v>
                </c:pt>
                <c:pt idx="430">
                  <c:v>79.086734727937156</c:v>
                </c:pt>
                <c:pt idx="431">
                  <c:v>78.93060100793528</c:v>
                </c:pt>
                <c:pt idx="432">
                  <c:v>64.088982263935293</c:v>
                </c:pt>
                <c:pt idx="433">
                  <c:v>40.162962339937152</c:v>
                </c:pt>
                <c:pt idx="434">
                  <c:v>38.804149971937157</c:v>
                </c:pt>
                <c:pt idx="435">
                  <c:v>63.322006991937151</c:v>
                </c:pt>
                <c:pt idx="436">
                  <c:v>102.49785781593529</c:v>
                </c:pt>
                <c:pt idx="437">
                  <c:v>108.2293404624332</c:v>
                </c:pt>
                <c:pt idx="438">
                  <c:v>113.80277490243134</c:v>
                </c:pt>
                <c:pt idx="439">
                  <c:v>110.82258629043135</c:v>
                </c:pt>
                <c:pt idx="440">
                  <c:v>80.227083350431329</c:v>
                </c:pt>
                <c:pt idx="441">
                  <c:v>39.7176590744332</c:v>
                </c:pt>
                <c:pt idx="442">
                  <c:v>64.088950914433198</c:v>
                </c:pt>
                <c:pt idx="443">
                  <c:v>70.47621098243134</c:v>
                </c:pt>
                <c:pt idx="444">
                  <c:v>92.598211698818446</c:v>
                </c:pt>
                <c:pt idx="445">
                  <c:v>75.712627666816587</c:v>
                </c:pt>
                <c:pt idx="446">
                  <c:v>92.45569500281843</c:v>
                </c:pt>
                <c:pt idx="447">
                  <c:v>78.206707970816581</c:v>
                </c:pt>
                <c:pt idx="448">
                  <c:v>61.799051530818438</c:v>
                </c:pt>
                <c:pt idx="449">
                  <c:v>57.386626711818444</c:v>
                </c:pt>
                <c:pt idx="450">
                  <c:v>52.449582449816582</c:v>
                </c:pt>
                <c:pt idx="451">
                  <c:v>61.08341566762121</c:v>
                </c:pt>
                <c:pt idx="452">
                  <c:v>89.46091912362121</c:v>
                </c:pt>
                <c:pt idx="453">
                  <c:v>90.775996751621207</c:v>
                </c:pt>
                <c:pt idx="454">
                  <c:v>93.651292132621208</c:v>
                </c:pt>
                <c:pt idx="455">
                  <c:v>85.887283035621209</c:v>
                </c:pt>
                <c:pt idx="456">
                  <c:v>98.553430639621212</c:v>
                </c:pt>
                <c:pt idx="457">
                  <c:v>93.224963215623077</c:v>
                </c:pt>
                <c:pt idx="458">
                  <c:v>53.764441277254129</c:v>
                </c:pt>
                <c:pt idx="459">
                  <c:v>69.234749627254118</c:v>
                </c:pt>
                <c:pt idx="460">
                  <c:v>66.199535153254118</c:v>
                </c:pt>
                <c:pt idx="461">
                  <c:v>75.288390178257842</c:v>
                </c:pt>
                <c:pt idx="462">
                  <c:v>41.450572590254126</c:v>
                </c:pt>
                <c:pt idx="463">
                  <c:v>49.20759138225413</c:v>
                </c:pt>
                <c:pt idx="464">
                  <c:v>67.076790990255986</c:v>
                </c:pt>
                <c:pt idx="465">
                  <c:v>136.52447012135673</c:v>
                </c:pt>
                <c:pt idx="466">
                  <c:v>137.15978352435482</c:v>
                </c:pt>
                <c:pt idx="467">
                  <c:v>160.75150758735668</c:v>
                </c:pt>
                <c:pt idx="468">
                  <c:v>126.24398214435671</c:v>
                </c:pt>
                <c:pt idx="469">
                  <c:v>111.39764761635669</c:v>
                </c:pt>
                <c:pt idx="470">
                  <c:v>151.45372460435669</c:v>
                </c:pt>
                <c:pt idx="471">
                  <c:v>166.9272434003567</c:v>
                </c:pt>
                <c:pt idx="472">
                  <c:v>102.28984713263283</c:v>
                </c:pt>
                <c:pt idx="473">
                  <c:v>105.35180540863281</c:v>
                </c:pt>
                <c:pt idx="474">
                  <c:v>109.97886628463283</c:v>
                </c:pt>
                <c:pt idx="475">
                  <c:v>105.25200464463283</c:v>
                </c:pt>
                <c:pt idx="476">
                  <c:v>91.644863272630957</c:v>
                </c:pt>
                <c:pt idx="477">
                  <c:v>106.65338957663282</c:v>
                </c:pt>
                <c:pt idx="478">
                  <c:v>91.819980448634681</c:v>
                </c:pt>
                <c:pt idx="479">
                  <c:v>168.19282105444529</c:v>
                </c:pt>
                <c:pt idx="480">
                  <c:v>178.56540373044342</c:v>
                </c:pt>
                <c:pt idx="481">
                  <c:v>159.96776198644716</c:v>
                </c:pt>
                <c:pt idx="482">
                  <c:v>138.24897072644342</c:v>
                </c:pt>
                <c:pt idx="483">
                  <c:v>126.93350439844528</c:v>
                </c:pt>
                <c:pt idx="484">
                  <c:v>133.60649396244344</c:v>
                </c:pt>
                <c:pt idx="485">
                  <c:v>163.06880287044345</c:v>
                </c:pt>
                <c:pt idx="486">
                  <c:v>294.44144330035601</c:v>
                </c:pt>
                <c:pt idx="487">
                  <c:v>284.45562372035045</c:v>
                </c:pt>
                <c:pt idx="488">
                  <c:v>315.41940095635044</c:v>
                </c:pt>
                <c:pt idx="489">
                  <c:v>307.08398144835604</c:v>
                </c:pt>
                <c:pt idx="490">
                  <c:v>331.94847694435225</c:v>
                </c:pt>
                <c:pt idx="491">
                  <c:v>338.42124530435234</c:v>
                </c:pt>
                <c:pt idx="492">
                  <c:v>349.82128388435046</c:v>
                </c:pt>
                <c:pt idx="493">
                  <c:v>158.4682391612061</c:v>
                </c:pt>
                <c:pt idx="494">
                  <c:v>163.97102183720796</c:v>
                </c:pt>
                <c:pt idx="495">
                  <c:v>156.45654961720609</c:v>
                </c:pt>
                <c:pt idx="496">
                  <c:v>132.35781980120794</c:v>
                </c:pt>
                <c:pt idx="497">
                  <c:v>141.77497368120981</c:v>
                </c:pt>
                <c:pt idx="498">
                  <c:v>161.20363822520611</c:v>
                </c:pt>
                <c:pt idx="499">
                  <c:v>157.23944000920611</c:v>
                </c:pt>
                <c:pt idx="500">
                  <c:v>153.16354308996853</c:v>
                </c:pt>
                <c:pt idx="501">
                  <c:v>153.18490336197038</c:v>
                </c:pt>
                <c:pt idx="502">
                  <c:v>159.65514007396663</c:v>
                </c:pt>
                <c:pt idx="503">
                  <c:v>145.27400540197038</c:v>
                </c:pt>
                <c:pt idx="504">
                  <c:v>139.34013846196666</c:v>
                </c:pt>
                <c:pt idx="505">
                  <c:v>152.65729966597038</c:v>
                </c:pt>
                <c:pt idx="506">
                  <c:v>136.08142172996853</c:v>
                </c:pt>
                <c:pt idx="507">
                  <c:v>141.03594522971258</c:v>
                </c:pt>
                <c:pt idx="508">
                  <c:v>121.78872529771444</c:v>
                </c:pt>
                <c:pt idx="509">
                  <c:v>87.441745705710716</c:v>
                </c:pt>
                <c:pt idx="510">
                  <c:v>114.18028520971816</c:v>
                </c:pt>
                <c:pt idx="511">
                  <c:v>83.092447149710722</c:v>
                </c:pt>
                <c:pt idx="512">
                  <c:v>99.209965373714439</c:v>
                </c:pt>
                <c:pt idx="513">
                  <c:v>110.7750313257107</c:v>
                </c:pt>
                <c:pt idx="514">
                  <c:v>124.45546917880809</c:v>
                </c:pt>
                <c:pt idx="515">
                  <c:v>138.90708472280625</c:v>
                </c:pt>
                <c:pt idx="516">
                  <c:v>131.33949614280809</c:v>
                </c:pt>
                <c:pt idx="517">
                  <c:v>80.179807062808095</c:v>
                </c:pt>
                <c:pt idx="518">
                  <c:v>73.149780046808075</c:v>
                </c:pt>
                <c:pt idx="519">
                  <c:v>121.22998893080623</c:v>
                </c:pt>
                <c:pt idx="520">
                  <c:v>119.62776690280809</c:v>
                </c:pt>
                <c:pt idx="521">
                  <c:v>186.19269156423655</c:v>
                </c:pt>
                <c:pt idx="522">
                  <c:v>177.18801422823657</c:v>
                </c:pt>
                <c:pt idx="523">
                  <c:v>163.07393469623472</c:v>
                </c:pt>
                <c:pt idx="524">
                  <c:v>125.74691929223842</c:v>
                </c:pt>
                <c:pt idx="525">
                  <c:v>150.77340681623468</c:v>
                </c:pt>
                <c:pt idx="526">
                  <c:v>203.40770216823654</c:v>
                </c:pt>
                <c:pt idx="527">
                  <c:v>206.67058230423282</c:v>
                </c:pt>
                <c:pt idx="528">
                  <c:v>260.66490308219272</c:v>
                </c:pt>
                <c:pt idx="529">
                  <c:v>279.58197524218531</c:v>
                </c:pt>
                <c:pt idx="530">
                  <c:v>268.99954767018897</c:v>
                </c:pt>
                <c:pt idx="531">
                  <c:v>259.33307406618712</c:v>
                </c:pt>
                <c:pt idx="532">
                  <c:v>258.50382549818897</c:v>
                </c:pt>
                <c:pt idx="533">
                  <c:v>274.61169779018712</c:v>
                </c:pt>
                <c:pt idx="534">
                  <c:v>268.36891911018898</c:v>
                </c:pt>
                <c:pt idx="535">
                  <c:v>253.39516285485877</c:v>
                </c:pt>
                <c:pt idx="536">
                  <c:v>244.56696613085688</c:v>
                </c:pt>
                <c:pt idx="537">
                  <c:v>248.87512723485875</c:v>
                </c:pt>
                <c:pt idx="538">
                  <c:v>257.39827158285874</c:v>
                </c:pt>
                <c:pt idx="539">
                  <c:v>264.16365084285877</c:v>
                </c:pt>
                <c:pt idx="540">
                  <c:v>287.02376599486064</c:v>
                </c:pt>
                <c:pt idx="541">
                  <c:v>303.68461539086059</c:v>
                </c:pt>
                <c:pt idx="542">
                  <c:v>243.07513922999721</c:v>
                </c:pt>
                <c:pt idx="543">
                  <c:v>244.10366804599909</c:v>
                </c:pt>
                <c:pt idx="544">
                  <c:v>231.19215472199534</c:v>
                </c:pt>
                <c:pt idx="545">
                  <c:v>192.08118007399906</c:v>
                </c:pt>
                <c:pt idx="546">
                  <c:v>163.67780198999907</c:v>
                </c:pt>
                <c:pt idx="547">
                  <c:v>194.65612216599908</c:v>
                </c:pt>
                <c:pt idx="548">
                  <c:v>220.91609711799907</c:v>
                </c:pt>
                <c:pt idx="549">
                  <c:v>180.20444293612357</c:v>
                </c:pt>
                <c:pt idx="550">
                  <c:v>180.65194961611985</c:v>
                </c:pt>
                <c:pt idx="551">
                  <c:v>167.7407860641236</c:v>
                </c:pt>
                <c:pt idx="552">
                  <c:v>159.5159401401236</c:v>
                </c:pt>
                <c:pt idx="553">
                  <c:v>156.28354039611989</c:v>
                </c:pt>
                <c:pt idx="554">
                  <c:v>182.49534861212356</c:v>
                </c:pt>
                <c:pt idx="555">
                  <c:v>187.70822462812171</c:v>
                </c:pt>
                <c:pt idx="556">
                  <c:v>173.59555560485555</c:v>
                </c:pt>
                <c:pt idx="557">
                  <c:v>155.95361372885742</c:v>
                </c:pt>
                <c:pt idx="558">
                  <c:v>162.01836914885556</c:v>
                </c:pt>
                <c:pt idx="559">
                  <c:v>167.19396951285557</c:v>
                </c:pt>
                <c:pt idx="560">
                  <c:v>150.14649389685371</c:v>
                </c:pt>
                <c:pt idx="561">
                  <c:v>157.91851472486115</c:v>
                </c:pt>
                <c:pt idx="562">
                  <c:v>143.22710196885558</c:v>
                </c:pt>
                <c:pt idx="563">
                  <c:v>199.31030269631856</c:v>
                </c:pt>
                <c:pt idx="564">
                  <c:v>196.35778235632415</c:v>
                </c:pt>
                <c:pt idx="565">
                  <c:v>192.44321123632042</c:v>
                </c:pt>
                <c:pt idx="566">
                  <c:v>184.22701234032232</c:v>
                </c:pt>
                <c:pt idx="567">
                  <c:v>200.55065833632415</c:v>
                </c:pt>
                <c:pt idx="568">
                  <c:v>230.44826107632042</c:v>
                </c:pt>
                <c:pt idx="569">
                  <c:v>246.66486100432601</c:v>
                </c:pt>
                <c:pt idx="570">
                  <c:v>197.83856872807988</c:v>
                </c:pt>
                <c:pt idx="571">
                  <c:v>180.858270072078</c:v>
                </c:pt>
                <c:pt idx="572">
                  <c:v>183.52461616008173</c:v>
                </c:pt>
                <c:pt idx="573">
                  <c:v>149.31526525208361</c:v>
                </c:pt>
                <c:pt idx="574">
                  <c:v>134.77316206808359</c:v>
                </c:pt>
                <c:pt idx="575">
                  <c:v>135.23444620407614</c:v>
                </c:pt>
                <c:pt idx="576">
                  <c:v>199.08417822908359</c:v>
                </c:pt>
                <c:pt idx="577">
                  <c:v>157.86412479189696</c:v>
                </c:pt>
                <c:pt idx="578">
                  <c:v>140.12949234489508</c:v>
                </c:pt>
                <c:pt idx="579">
                  <c:v>142.79682454489509</c:v>
                </c:pt>
                <c:pt idx="580">
                  <c:v>143.09792462089322</c:v>
                </c:pt>
                <c:pt idx="581">
                  <c:v>135.55519349689322</c:v>
                </c:pt>
                <c:pt idx="582">
                  <c:v>149.29507635689694</c:v>
                </c:pt>
                <c:pt idx="583">
                  <c:v>157.60283116089511</c:v>
                </c:pt>
                <c:pt idx="584">
                  <c:v>154.75608242813192</c:v>
                </c:pt>
                <c:pt idx="585">
                  <c:v>172.86082193213193</c:v>
                </c:pt>
                <c:pt idx="586">
                  <c:v>172.2103047571338</c:v>
                </c:pt>
                <c:pt idx="587">
                  <c:v>137.90163502413006</c:v>
                </c:pt>
                <c:pt idx="588">
                  <c:v>125.87049791913192</c:v>
                </c:pt>
                <c:pt idx="589">
                  <c:v>153.65334054513377</c:v>
                </c:pt>
                <c:pt idx="590">
                  <c:v>153.22896172713376</c:v>
                </c:pt>
                <c:pt idx="591">
                  <c:v>161.94604865030593</c:v>
                </c:pt>
                <c:pt idx="592">
                  <c:v>154.06951616230779</c:v>
                </c:pt>
                <c:pt idx="593">
                  <c:v>146.44976514230964</c:v>
                </c:pt>
                <c:pt idx="594">
                  <c:v>148.80771684230777</c:v>
                </c:pt>
                <c:pt idx="595">
                  <c:v>134.18698635830592</c:v>
                </c:pt>
                <c:pt idx="596">
                  <c:v>140.97652798630779</c:v>
                </c:pt>
                <c:pt idx="597">
                  <c:v>136.81608433430964</c:v>
                </c:pt>
                <c:pt idx="598">
                  <c:v>138.75881396202365</c:v>
                </c:pt>
                <c:pt idx="599">
                  <c:v>125.05323810602178</c:v>
                </c:pt>
                <c:pt idx="600">
                  <c:v>115.11808362602363</c:v>
                </c:pt>
                <c:pt idx="601">
                  <c:v>102.25645997402549</c:v>
                </c:pt>
                <c:pt idx="602">
                  <c:v>89.735088242023636</c:v>
                </c:pt>
                <c:pt idx="603">
                  <c:v>113.46330176602363</c:v>
                </c:pt>
                <c:pt idx="604">
                  <c:v>108.28544203402365</c:v>
                </c:pt>
                <c:pt idx="605">
                  <c:v>85.334210380966525</c:v>
                </c:pt>
                <c:pt idx="606">
                  <c:v>82.878699856966534</c:v>
                </c:pt>
                <c:pt idx="607">
                  <c:v>81.314931692968401</c:v>
                </c:pt>
                <c:pt idx="608">
                  <c:v>67.374158356966518</c:v>
                </c:pt>
                <c:pt idx="609">
                  <c:v>58.598271992964669</c:v>
                </c:pt>
                <c:pt idx="610">
                  <c:v>68.619776628966534</c:v>
                </c:pt>
                <c:pt idx="611">
                  <c:v>77.949065616968397</c:v>
                </c:pt>
                <c:pt idx="612">
                  <c:v>81.672736388919745</c:v>
                </c:pt>
                <c:pt idx="613">
                  <c:v>71.523855384919756</c:v>
                </c:pt>
                <c:pt idx="614">
                  <c:v>77.406571172919755</c:v>
                </c:pt>
                <c:pt idx="615">
                  <c:v>59.633907156917878</c:v>
                </c:pt>
                <c:pt idx="616">
                  <c:v>45.355526304921611</c:v>
                </c:pt>
                <c:pt idx="617">
                  <c:v>71.81890005291973</c:v>
                </c:pt>
                <c:pt idx="618">
                  <c:v>94.682567192919748</c:v>
                </c:pt>
                <c:pt idx="619">
                  <c:v>57.259591085395691</c:v>
                </c:pt>
                <c:pt idx="620">
                  <c:v>55.325938405397551</c:v>
                </c:pt>
                <c:pt idx="621">
                  <c:v>57.616556809397558</c:v>
                </c:pt>
                <c:pt idx="622">
                  <c:v>35.94605839339755</c:v>
                </c:pt>
                <c:pt idx="623">
                  <c:v>27.055958057395692</c:v>
                </c:pt>
                <c:pt idx="624">
                  <c:v>41.623953953399415</c:v>
                </c:pt>
                <c:pt idx="625">
                  <c:v>66.71431773339755</c:v>
                </c:pt>
                <c:pt idx="626">
                  <c:v>54.761214226402402</c:v>
                </c:pt>
                <c:pt idx="627">
                  <c:v>56.422797154402403</c:v>
                </c:pt>
                <c:pt idx="628">
                  <c:v>50.235002274402405</c:v>
                </c:pt>
                <c:pt idx="629">
                  <c:v>26.709860526407983</c:v>
                </c:pt>
                <c:pt idx="630">
                  <c:v>14.960270526402397</c:v>
                </c:pt>
                <c:pt idx="631">
                  <c:v>32.597704998404254</c:v>
                </c:pt>
                <c:pt idx="632">
                  <c:v>31.534556734404266</c:v>
                </c:pt>
                <c:pt idx="633">
                  <c:v>35.72570145258446</c:v>
                </c:pt>
                <c:pt idx="634">
                  <c:v>33.965078324582585</c:v>
                </c:pt>
                <c:pt idx="635">
                  <c:v>46.323746096584451</c:v>
                </c:pt>
                <c:pt idx="636">
                  <c:v>25.447826728584463</c:v>
                </c:pt>
                <c:pt idx="637">
                  <c:v>20.981961452582588</c:v>
                </c:pt>
                <c:pt idx="638">
                  <c:v>52.456011008584447</c:v>
                </c:pt>
                <c:pt idx="639">
                  <c:v>32.060659492584456</c:v>
                </c:pt>
                <c:pt idx="640">
                  <c:v>33.614730920549135</c:v>
                </c:pt>
                <c:pt idx="641">
                  <c:v>30.485046448547276</c:v>
                </c:pt>
                <c:pt idx="642">
                  <c:v>27.580826840551001</c:v>
                </c:pt>
                <c:pt idx="643">
                  <c:v>11.098656220543555</c:v>
                </c:pt>
                <c:pt idx="644">
                  <c:v>1.3804881365510009</c:v>
                </c:pt>
                <c:pt idx="645">
                  <c:v>1.5454278285491383</c:v>
                </c:pt>
                <c:pt idx="646">
                  <c:v>1.0118280485472788</c:v>
                </c:pt>
                <c:pt idx="647">
                  <c:v>14.250646552055375</c:v>
                </c:pt>
                <c:pt idx="648">
                  <c:v>32.821704648055366</c:v>
                </c:pt>
                <c:pt idx="649">
                  <c:v>27.025926548053512</c:v>
                </c:pt>
                <c:pt idx="650">
                  <c:v>18.573618852053507</c:v>
                </c:pt>
                <c:pt idx="651">
                  <c:v>4.7647492440572314</c:v>
                </c:pt>
                <c:pt idx="652">
                  <c:v>14.383819348053505</c:v>
                </c:pt>
                <c:pt idx="653">
                  <c:v>14.840918868053508</c:v>
                </c:pt>
                <c:pt idx="654">
                  <c:v>20.66964009515906</c:v>
                </c:pt>
                <c:pt idx="655">
                  <c:v>17.906403759159062</c:v>
                </c:pt>
                <c:pt idx="656">
                  <c:v>17.513657111160924</c:v>
                </c:pt>
                <c:pt idx="657">
                  <c:v>8.71834746716093</c:v>
                </c:pt>
                <c:pt idx="658">
                  <c:v>1.1173188071572004</c:v>
                </c:pt>
                <c:pt idx="659">
                  <c:v>8.8596250631609283</c:v>
                </c:pt>
                <c:pt idx="660">
                  <c:v>20.741516907159063</c:v>
                </c:pt>
                <c:pt idx="661">
                  <c:v>19.196713277743299</c:v>
                </c:pt>
                <c:pt idx="662">
                  <c:v>13.86639805774144</c:v>
                </c:pt>
                <c:pt idx="663">
                  <c:v>1.5784588417451668</c:v>
                </c:pt>
                <c:pt idx="664">
                  <c:v>2.4869694217433063</c:v>
                </c:pt>
                <c:pt idx="665">
                  <c:v>1.0667147097433045</c:v>
                </c:pt>
                <c:pt idx="666">
                  <c:v>1.4001761737470297</c:v>
                </c:pt>
                <c:pt idx="667">
                  <c:v>1.4504057937414401</c:v>
                </c:pt>
                <c:pt idx="668">
                  <c:v>13.403058501467727</c:v>
                </c:pt>
                <c:pt idx="669">
                  <c:v>16.69949162046214</c:v>
                </c:pt>
                <c:pt idx="670">
                  <c:v>13.888081484471455</c:v>
                </c:pt>
                <c:pt idx="671">
                  <c:v>8.5812111465864288E-2</c:v>
                </c:pt>
                <c:pt idx="672">
                  <c:v>0.15275280546400608</c:v>
                </c:pt>
                <c:pt idx="673">
                  <c:v>26.230543111465863</c:v>
                </c:pt>
                <c:pt idx="674">
                  <c:v>20.573646892469593</c:v>
                </c:pt>
                <c:pt idx="675">
                  <c:v>12.787871789703015</c:v>
                </c:pt>
                <c:pt idx="676">
                  <c:v>7.8448586297086003</c:v>
                </c:pt>
                <c:pt idx="677">
                  <c:v>11.806797509703014</c:v>
                </c:pt>
                <c:pt idx="678">
                  <c:v>0.29030902171046907</c:v>
                </c:pt>
                <c:pt idx="679">
                  <c:v>0.25155645370487761</c:v>
                </c:pt>
                <c:pt idx="680">
                  <c:v>9.6037572017030186</c:v>
                </c:pt>
                <c:pt idx="681">
                  <c:v>9.000305205708603</c:v>
                </c:pt>
                <c:pt idx="682">
                  <c:v>11.558907459160705</c:v>
                </c:pt>
                <c:pt idx="683">
                  <c:v>2.9691311511588427</c:v>
                </c:pt>
                <c:pt idx="684">
                  <c:v>0.95445991916070494</c:v>
                </c:pt>
                <c:pt idx="685">
                  <c:v>1.2213465361607085</c:v>
                </c:pt>
                <c:pt idx="686">
                  <c:v>0.7617259021625723</c:v>
                </c:pt>
                <c:pt idx="687">
                  <c:v>0.99938219916071103</c:v>
                </c:pt>
                <c:pt idx="688">
                  <c:v>1.1949965271569818</c:v>
                </c:pt>
                <c:pt idx="689">
                  <c:v>7.6044234437322231</c:v>
                </c:pt>
                <c:pt idx="690">
                  <c:v>8.306834943735943</c:v>
                </c:pt>
                <c:pt idx="691">
                  <c:v>10.12004469673222</c:v>
                </c:pt>
                <c:pt idx="692">
                  <c:v>18.177359034732216</c:v>
                </c:pt>
                <c:pt idx="693">
                  <c:v>13.580027154734081</c:v>
                </c:pt>
                <c:pt idx="694">
                  <c:v>8.3417917397322157</c:v>
                </c:pt>
                <c:pt idx="695">
                  <c:v>8.6844866127322167</c:v>
                </c:pt>
                <c:pt idx="696">
                  <c:v>12.330491062076938</c:v>
                </c:pt>
                <c:pt idx="697">
                  <c:v>1.4327027120769418</c:v>
                </c:pt>
                <c:pt idx="698">
                  <c:v>8.5578855480750793</c:v>
                </c:pt>
                <c:pt idx="699">
                  <c:v>11.674487226073216</c:v>
                </c:pt>
                <c:pt idx="700">
                  <c:v>5.8377010440769448</c:v>
                </c:pt>
                <c:pt idx="701">
                  <c:v>5.3697709075080639E-2</c:v>
                </c:pt>
                <c:pt idx="702">
                  <c:v>0.36050568907507841</c:v>
                </c:pt>
                <c:pt idx="703">
                  <c:v>3.8739321071034718</c:v>
                </c:pt>
                <c:pt idx="704">
                  <c:v>19.066637347101612</c:v>
                </c:pt>
                <c:pt idx="705">
                  <c:v>24.277832320103474</c:v>
                </c:pt>
                <c:pt idx="706">
                  <c:v>7.1113163381034754</c:v>
                </c:pt>
                <c:pt idx="707">
                  <c:v>14.431599771103473</c:v>
                </c:pt>
                <c:pt idx="708">
                  <c:v>35.067888651101612</c:v>
                </c:pt>
                <c:pt idx="709">
                  <c:v>31.536839963101606</c:v>
                </c:pt>
                <c:pt idx="710">
                  <c:v>12.969246855678655</c:v>
                </c:pt>
                <c:pt idx="711">
                  <c:v>15.327467231673065</c:v>
                </c:pt>
                <c:pt idx="712">
                  <c:v>34.588256312676791</c:v>
                </c:pt>
                <c:pt idx="713">
                  <c:v>21.264824958676794</c:v>
                </c:pt>
                <c:pt idx="714">
                  <c:v>13.399805775674926</c:v>
                </c:pt>
                <c:pt idx="715">
                  <c:v>18.213449891676792</c:v>
                </c:pt>
                <c:pt idx="716">
                  <c:v>19.13413580867493</c:v>
                </c:pt>
                <c:pt idx="717">
                  <c:v>13.690997182199659</c:v>
                </c:pt>
                <c:pt idx="718">
                  <c:v>9.2431778151996546</c:v>
                </c:pt>
                <c:pt idx="719">
                  <c:v>6.2823044591977961</c:v>
                </c:pt>
                <c:pt idx="720">
                  <c:v>3.1145610751977948</c:v>
                </c:pt>
                <c:pt idx="721">
                  <c:v>2.5861794472015207</c:v>
                </c:pt>
                <c:pt idx="722">
                  <c:v>1.4251420391977954</c:v>
                </c:pt>
                <c:pt idx="723">
                  <c:v>1.7883082552015257</c:v>
                </c:pt>
                <c:pt idx="724">
                  <c:v>11.920882709065394</c:v>
                </c:pt>
                <c:pt idx="725">
                  <c:v>29.771581229065394</c:v>
                </c:pt>
                <c:pt idx="726">
                  <c:v>37.543243065067259</c:v>
                </c:pt>
                <c:pt idx="727">
                  <c:v>26.490858717067262</c:v>
                </c:pt>
                <c:pt idx="728">
                  <c:v>5.630432829065394</c:v>
                </c:pt>
                <c:pt idx="729">
                  <c:v>17.630909821067259</c:v>
                </c:pt>
                <c:pt idx="730">
                  <c:v>30.835724041067259</c:v>
                </c:pt>
                <c:pt idx="731">
                  <c:v>27.612288014657359</c:v>
                </c:pt>
                <c:pt idx="732">
                  <c:v>29.546072014657359</c:v>
                </c:pt>
                <c:pt idx="733">
                  <c:v>31.593936014657395</c:v>
                </c:pt>
                <c:pt idx="734">
                  <c:v>0.85775501465736304</c:v>
                </c:pt>
                <c:pt idx="735">
                  <c:v>3.6786500146573964</c:v>
                </c:pt>
                <c:pt idx="736">
                  <c:v>17.845458014657392</c:v>
                </c:pt>
                <c:pt idx="737">
                  <c:v>42.799380014657366</c:v>
                </c:pt>
                <c:pt idx="738">
                  <c:v>37.039900689980414</c:v>
                </c:pt>
                <c:pt idx="739">
                  <c:v>8.5368846899804041</c:v>
                </c:pt>
                <c:pt idx="740">
                  <c:v>5.6381446899804066</c:v>
                </c:pt>
                <c:pt idx="741">
                  <c:v>4.5240996899804014</c:v>
                </c:pt>
                <c:pt idx="742">
                  <c:v>1.9573636899804041</c:v>
                </c:pt>
                <c:pt idx="743">
                  <c:v>12.225653689980405</c:v>
                </c:pt>
                <c:pt idx="744">
                  <c:v>16.737806689980395</c:v>
                </c:pt>
                <c:pt idx="745">
                  <c:v>21.284614570018459</c:v>
                </c:pt>
                <c:pt idx="746">
                  <c:v>13.450961570018503</c:v>
                </c:pt>
                <c:pt idx="747">
                  <c:v>14.515561570018493</c:v>
                </c:pt>
                <c:pt idx="748">
                  <c:v>12.328661570018498</c:v>
                </c:pt>
                <c:pt idx="749">
                  <c:v>1.3023615700185001</c:v>
                </c:pt>
                <c:pt idx="750">
                  <c:v>2.1778615700184965</c:v>
                </c:pt>
                <c:pt idx="751">
                  <c:v>6.0851615700184993</c:v>
                </c:pt>
                <c:pt idx="752">
                  <c:v>10.749830802430898</c:v>
                </c:pt>
                <c:pt idx="753">
                  <c:v>8.1420308024309023</c:v>
                </c:pt>
                <c:pt idx="754">
                  <c:v>38.5486308024309</c:v>
                </c:pt>
                <c:pt idx="755">
                  <c:v>34.435730802430903</c:v>
                </c:pt>
                <c:pt idx="756">
                  <c:v>13.617730802430899</c:v>
                </c:pt>
                <c:pt idx="757">
                  <c:v>33.994730802430901</c:v>
                </c:pt>
                <c:pt idx="758">
                  <c:v>34.509230802430899</c:v>
                </c:pt>
                <c:pt idx="759">
                  <c:v>43.297759148791698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tx>
            <c:strRef>
              <c:f>'Data 6'!$D$50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 </c:v>
                  </c:pt>
                  <c:pt idx="92">
                    <c:v>2024 </c:v>
                  </c:pt>
                  <c:pt idx="458">
                    <c:v>2025 </c:v>
                  </c:pt>
                </c:lvl>
              </c:multiLvlStrCache>
            </c:multiLvlStrRef>
          </c:cat>
          <c:val>
            <c:numRef>
              <c:f>'Data 6'!$D$52:$D$811</c:f>
              <c:numCache>
                <c:formatCode>#,##0</c:formatCode>
                <c:ptCount val="760"/>
                <c:pt idx="0">
                  <c:v>40.400211353346023</c:v>
                </c:pt>
                <c:pt idx="1">
                  <c:v>40.400211353346023</c:v>
                </c:pt>
                <c:pt idx="2">
                  <c:v>40.400211353346023</c:v>
                </c:pt>
                <c:pt idx="3">
                  <c:v>40.400211353346023</c:v>
                </c:pt>
                <c:pt idx="4">
                  <c:v>40.400211353346023</c:v>
                </c:pt>
                <c:pt idx="5">
                  <c:v>40.400211353346023</c:v>
                </c:pt>
                <c:pt idx="6">
                  <c:v>40.400211353346023</c:v>
                </c:pt>
                <c:pt idx="7">
                  <c:v>40.400211353346023</c:v>
                </c:pt>
                <c:pt idx="8">
                  <c:v>40.400211353346023</c:v>
                </c:pt>
                <c:pt idx="9">
                  <c:v>40.400211353346023</c:v>
                </c:pt>
                <c:pt idx="10">
                  <c:v>40.400211353346023</c:v>
                </c:pt>
                <c:pt idx="11">
                  <c:v>40.400211353346023</c:v>
                </c:pt>
                <c:pt idx="12">
                  <c:v>40.400211353346023</c:v>
                </c:pt>
                <c:pt idx="13">
                  <c:v>40.400211353346023</c:v>
                </c:pt>
                <c:pt idx="14">
                  <c:v>40.400211353346023</c:v>
                </c:pt>
                <c:pt idx="15">
                  <c:v>40.400211353346023</c:v>
                </c:pt>
                <c:pt idx="16">
                  <c:v>40.400211353346023</c:v>
                </c:pt>
                <c:pt idx="17">
                  <c:v>40.400211353346023</c:v>
                </c:pt>
                <c:pt idx="18">
                  <c:v>40.400211353346023</c:v>
                </c:pt>
                <c:pt idx="19">
                  <c:v>40.400211353346023</c:v>
                </c:pt>
                <c:pt idx="20">
                  <c:v>40.400211353346023</c:v>
                </c:pt>
                <c:pt idx="21">
                  <c:v>40.400211353346023</c:v>
                </c:pt>
                <c:pt idx="22">
                  <c:v>40.400211353346023</c:v>
                </c:pt>
                <c:pt idx="23">
                  <c:v>40.400211353346023</c:v>
                </c:pt>
                <c:pt idx="24">
                  <c:v>40.400211353346023</c:v>
                </c:pt>
                <c:pt idx="25">
                  <c:v>40.400211353346023</c:v>
                </c:pt>
                <c:pt idx="26">
                  <c:v>40.400211353346023</c:v>
                </c:pt>
                <c:pt idx="27">
                  <c:v>40.400211353346023</c:v>
                </c:pt>
                <c:pt idx="28">
                  <c:v>40.400211353346023</c:v>
                </c:pt>
                <c:pt idx="29">
                  <c:v>40.400211353346023</c:v>
                </c:pt>
                <c:pt idx="30">
                  <c:v>40.400211353346023</c:v>
                </c:pt>
                <c:pt idx="31">
                  <c:v>80.938788836501317</c:v>
                </c:pt>
                <c:pt idx="32">
                  <c:v>80.938788836501317</c:v>
                </c:pt>
                <c:pt idx="33">
                  <c:v>80.938788836501317</c:v>
                </c:pt>
                <c:pt idx="34">
                  <c:v>80.938788836501317</c:v>
                </c:pt>
                <c:pt idx="35">
                  <c:v>80.938788836501317</c:v>
                </c:pt>
                <c:pt idx="36">
                  <c:v>80.938788836501317</c:v>
                </c:pt>
                <c:pt idx="37">
                  <c:v>80.938788836501317</c:v>
                </c:pt>
                <c:pt idx="38">
                  <c:v>80.938788836501317</c:v>
                </c:pt>
                <c:pt idx="39">
                  <c:v>80.938788836501317</c:v>
                </c:pt>
                <c:pt idx="40">
                  <c:v>80.938788836501317</c:v>
                </c:pt>
                <c:pt idx="41">
                  <c:v>80.938788836501317</c:v>
                </c:pt>
                <c:pt idx="42">
                  <c:v>80.938788836501317</c:v>
                </c:pt>
                <c:pt idx="43">
                  <c:v>80.938788836501317</c:v>
                </c:pt>
                <c:pt idx="44">
                  <c:v>80.938788836501317</c:v>
                </c:pt>
                <c:pt idx="45">
                  <c:v>80.938788836501317</c:v>
                </c:pt>
                <c:pt idx="46">
                  <c:v>80.938788836501317</c:v>
                </c:pt>
                <c:pt idx="47">
                  <c:v>80.938788836501317</c:v>
                </c:pt>
                <c:pt idx="48">
                  <c:v>80.938788836501317</c:v>
                </c:pt>
                <c:pt idx="49">
                  <c:v>80.938788836501317</c:v>
                </c:pt>
                <c:pt idx="50">
                  <c:v>80.938788836501317</c:v>
                </c:pt>
                <c:pt idx="51">
                  <c:v>80.938788836501317</c:v>
                </c:pt>
                <c:pt idx="52">
                  <c:v>80.938788836501317</c:v>
                </c:pt>
                <c:pt idx="53">
                  <c:v>80.938788836501317</c:v>
                </c:pt>
                <c:pt idx="54">
                  <c:v>80.938788836501317</c:v>
                </c:pt>
                <c:pt idx="55">
                  <c:v>80.938788836501317</c:v>
                </c:pt>
                <c:pt idx="56">
                  <c:v>80.938788836501317</c:v>
                </c:pt>
                <c:pt idx="57">
                  <c:v>80.938788836501317</c:v>
                </c:pt>
                <c:pt idx="58">
                  <c:v>80.938788836501317</c:v>
                </c:pt>
                <c:pt idx="59">
                  <c:v>80.938788836501317</c:v>
                </c:pt>
                <c:pt idx="60">
                  <c:v>80.938788836501317</c:v>
                </c:pt>
                <c:pt idx="61">
                  <c:v>105.77564059458246</c:v>
                </c:pt>
                <c:pt idx="62">
                  <c:v>105.77564059458246</c:v>
                </c:pt>
                <c:pt idx="63">
                  <c:v>105.77564059458246</c:v>
                </c:pt>
                <c:pt idx="64">
                  <c:v>105.77564059458246</c:v>
                </c:pt>
                <c:pt idx="65">
                  <c:v>105.77564059458246</c:v>
                </c:pt>
                <c:pt idx="66">
                  <c:v>105.77564059458246</c:v>
                </c:pt>
                <c:pt idx="67">
                  <c:v>105.77564059458246</c:v>
                </c:pt>
                <c:pt idx="68">
                  <c:v>105.77564059458246</c:v>
                </c:pt>
                <c:pt idx="69">
                  <c:v>105.77564059458246</c:v>
                </c:pt>
                <c:pt idx="70">
                  <c:v>105.77564059458246</c:v>
                </c:pt>
                <c:pt idx="71">
                  <c:v>105.77564059458246</c:v>
                </c:pt>
                <c:pt idx="72">
                  <c:v>105.77564059458246</c:v>
                </c:pt>
                <c:pt idx="73">
                  <c:v>105.77564059458246</c:v>
                </c:pt>
                <c:pt idx="74">
                  <c:v>105.77564059458246</c:v>
                </c:pt>
                <c:pt idx="75">
                  <c:v>105.77564059458246</c:v>
                </c:pt>
                <c:pt idx="76">
                  <c:v>105.77564059458246</c:v>
                </c:pt>
                <c:pt idx="77">
                  <c:v>105.77564059458246</c:v>
                </c:pt>
                <c:pt idx="78">
                  <c:v>105.77564059458246</c:v>
                </c:pt>
                <c:pt idx="79">
                  <c:v>105.77564059458246</c:v>
                </c:pt>
                <c:pt idx="80">
                  <c:v>105.77564059458246</c:v>
                </c:pt>
                <c:pt idx="81">
                  <c:v>105.77564059458246</c:v>
                </c:pt>
                <c:pt idx="82">
                  <c:v>105.77564059458246</c:v>
                </c:pt>
                <c:pt idx="83">
                  <c:v>105.77564059458246</c:v>
                </c:pt>
                <c:pt idx="84">
                  <c:v>105.77564059458246</c:v>
                </c:pt>
                <c:pt idx="85">
                  <c:v>105.77564059458246</c:v>
                </c:pt>
                <c:pt idx="86">
                  <c:v>105.77564059458246</c:v>
                </c:pt>
                <c:pt idx="87">
                  <c:v>105.77564059458246</c:v>
                </c:pt>
                <c:pt idx="88">
                  <c:v>105.77564059458246</c:v>
                </c:pt>
                <c:pt idx="89">
                  <c:v>105.77564059458246</c:v>
                </c:pt>
                <c:pt idx="90">
                  <c:v>105.77564059458246</c:v>
                </c:pt>
                <c:pt idx="91">
                  <c:v>105.77564059458246</c:v>
                </c:pt>
                <c:pt idx="92">
                  <c:v>117.80762382080276</c:v>
                </c:pt>
                <c:pt idx="93">
                  <c:v>117.80762382080276</c:v>
                </c:pt>
                <c:pt idx="94">
                  <c:v>117.80762382080276</c:v>
                </c:pt>
                <c:pt idx="95">
                  <c:v>117.80762382080276</c:v>
                </c:pt>
                <c:pt idx="96">
                  <c:v>117.80762382080276</c:v>
                </c:pt>
                <c:pt idx="97">
                  <c:v>117.80762382080276</c:v>
                </c:pt>
                <c:pt idx="98">
                  <c:v>117.80762382080276</c:v>
                </c:pt>
                <c:pt idx="99">
                  <c:v>117.80762382080276</c:v>
                </c:pt>
                <c:pt idx="100">
                  <c:v>117.80762382080276</c:v>
                </c:pt>
                <c:pt idx="101">
                  <c:v>117.80762382080276</c:v>
                </c:pt>
                <c:pt idx="102">
                  <c:v>117.80762382080276</c:v>
                </c:pt>
                <c:pt idx="103">
                  <c:v>117.80762382080276</c:v>
                </c:pt>
                <c:pt idx="104">
                  <c:v>117.80762382080276</c:v>
                </c:pt>
                <c:pt idx="105">
                  <c:v>117.80762382080276</c:v>
                </c:pt>
                <c:pt idx="106">
                  <c:v>117.80762382080276</c:v>
                </c:pt>
                <c:pt idx="107">
                  <c:v>117.80762382080276</c:v>
                </c:pt>
                <c:pt idx="108">
                  <c:v>117.80762382080276</c:v>
                </c:pt>
                <c:pt idx="109">
                  <c:v>117.80762382080276</c:v>
                </c:pt>
                <c:pt idx="110">
                  <c:v>117.80762382080276</c:v>
                </c:pt>
                <c:pt idx="111">
                  <c:v>117.80762382080276</c:v>
                </c:pt>
                <c:pt idx="112">
                  <c:v>117.80762382080276</c:v>
                </c:pt>
                <c:pt idx="113">
                  <c:v>117.80762382080276</c:v>
                </c:pt>
                <c:pt idx="114">
                  <c:v>117.80762382080276</c:v>
                </c:pt>
                <c:pt idx="115">
                  <c:v>117.80762382080276</c:v>
                </c:pt>
                <c:pt idx="116">
                  <c:v>117.80762382080276</c:v>
                </c:pt>
                <c:pt idx="117">
                  <c:v>117.80762382080276</c:v>
                </c:pt>
                <c:pt idx="118">
                  <c:v>117.80762382080276</c:v>
                </c:pt>
                <c:pt idx="119">
                  <c:v>117.80762382080276</c:v>
                </c:pt>
                <c:pt idx="120">
                  <c:v>117.80762382080276</c:v>
                </c:pt>
                <c:pt idx="121">
                  <c:v>117.80762382080276</c:v>
                </c:pt>
                <c:pt idx="122">
                  <c:v>117.80762382080276</c:v>
                </c:pt>
                <c:pt idx="123">
                  <c:v>123.31777659525035</c:v>
                </c:pt>
                <c:pt idx="124">
                  <c:v>123.31777659525035</c:v>
                </c:pt>
                <c:pt idx="125">
                  <c:v>123.31777659525035</c:v>
                </c:pt>
                <c:pt idx="126">
                  <c:v>123.31777659525035</c:v>
                </c:pt>
                <c:pt idx="127">
                  <c:v>123.31777659525035</c:v>
                </c:pt>
                <c:pt idx="128">
                  <c:v>123.31777659525035</c:v>
                </c:pt>
                <c:pt idx="129">
                  <c:v>123.31777659525035</c:v>
                </c:pt>
                <c:pt idx="130">
                  <c:v>123.31777659525035</c:v>
                </c:pt>
                <c:pt idx="131">
                  <c:v>123.31777659525035</c:v>
                </c:pt>
                <c:pt idx="132">
                  <c:v>123.31777659525035</c:v>
                </c:pt>
                <c:pt idx="133">
                  <c:v>123.31777659525035</c:v>
                </c:pt>
                <c:pt idx="134">
                  <c:v>123.31777659525035</c:v>
                </c:pt>
                <c:pt idx="135">
                  <c:v>123.31777659525035</c:v>
                </c:pt>
                <c:pt idx="136">
                  <c:v>123.31777659525035</c:v>
                </c:pt>
                <c:pt idx="137">
                  <c:v>123.31777659525035</c:v>
                </c:pt>
                <c:pt idx="138">
                  <c:v>123.31777659525035</c:v>
                </c:pt>
                <c:pt idx="139">
                  <c:v>123.31777659525035</c:v>
                </c:pt>
                <c:pt idx="140">
                  <c:v>123.31777659525035</c:v>
                </c:pt>
                <c:pt idx="141">
                  <c:v>123.31777659525035</c:v>
                </c:pt>
                <c:pt idx="142">
                  <c:v>123.31777659525035</c:v>
                </c:pt>
                <c:pt idx="143">
                  <c:v>123.31777659525035</c:v>
                </c:pt>
                <c:pt idx="144">
                  <c:v>123.31777659525035</c:v>
                </c:pt>
                <c:pt idx="145">
                  <c:v>123.31777659525035</c:v>
                </c:pt>
                <c:pt idx="146">
                  <c:v>123.31777659525035</c:v>
                </c:pt>
                <c:pt idx="147">
                  <c:v>123.31777659525035</c:v>
                </c:pt>
                <c:pt idx="148">
                  <c:v>123.31777659525035</c:v>
                </c:pt>
                <c:pt idx="149">
                  <c:v>123.31777659525035</c:v>
                </c:pt>
                <c:pt idx="150">
                  <c:v>123.31777659525035</c:v>
                </c:pt>
                <c:pt idx="151">
                  <c:v>123.31777659525035</c:v>
                </c:pt>
                <c:pt idx="152">
                  <c:v>124.28094877902988</c:v>
                </c:pt>
                <c:pt idx="153">
                  <c:v>124.28094877902988</c:v>
                </c:pt>
                <c:pt idx="154">
                  <c:v>124.28094877902988</c:v>
                </c:pt>
                <c:pt idx="155">
                  <c:v>124.28094877902988</c:v>
                </c:pt>
                <c:pt idx="156">
                  <c:v>124.28094877902988</c:v>
                </c:pt>
                <c:pt idx="157">
                  <c:v>124.28094877902988</c:v>
                </c:pt>
                <c:pt idx="158">
                  <c:v>124.28094877902988</c:v>
                </c:pt>
                <c:pt idx="159">
                  <c:v>124.28094877902988</c:v>
                </c:pt>
                <c:pt idx="160">
                  <c:v>124.28094877902988</c:v>
                </c:pt>
                <c:pt idx="161">
                  <c:v>124.28094877902988</c:v>
                </c:pt>
                <c:pt idx="162">
                  <c:v>124.28094877902988</c:v>
                </c:pt>
                <c:pt idx="163">
                  <c:v>124.28094877902988</c:v>
                </c:pt>
                <c:pt idx="164">
                  <c:v>124.28094877902988</c:v>
                </c:pt>
                <c:pt idx="165">
                  <c:v>124.28094877902988</c:v>
                </c:pt>
                <c:pt idx="166">
                  <c:v>124.28094877902988</c:v>
                </c:pt>
                <c:pt idx="167">
                  <c:v>124.28094877902988</c:v>
                </c:pt>
                <c:pt idx="168">
                  <c:v>124.28094877902988</c:v>
                </c:pt>
                <c:pt idx="169">
                  <c:v>124.28094877902988</c:v>
                </c:pt>
                <c:pt idx="170">
                  <c:v>124.28094877902988</c:v>
                </c:pt>
                <c:pt idx="171">
                  <c:v>124.28094877902988</c:v>
                </c:pt>
                <c:pt idx="172">
                  <c:v>124.28094877902988</c:v>
                </c:pt>
                <c:pt idx="173">
                  <c:v>124.28094877902988</c:v>
                </c:pt>
                <c:pt idx="174">
                  <c:v>124.28094877902988</c:v>
                </c:pt>
                <c:pt idx="175">
                  <c:v>124.28094877902988</c:v>
                </c:pt>
                <c:pt idx="176">
                  <c:v>124.28094877902988</c:v>
                </c:pt>
                <c:pt idx="177">
                  <c:v>124.28094877902988</c:v>
                </c:pt>
                <c:pt idx="178">
                  <c:v>124.28094877902988</c:v>
                </c:pt>
                <c:pt idx="179">
                  <c:v>124.28094877902988</c:v>
                </c:pt>
                <c:pt idx="180">
                  <c:v>124.28094877902988</c:v>
                </c:pt>
                <c:pt idx="181">
                  <c:v>124.28094877902988</c:v>
                </c:pt>
                <c:pt idx="182">
                  <c:v>124.28094877902988</c:v>
                </c:pt>
                <c:pt idx="183">
                  <c:v>120.54288292781465</c:v>
                </c:pt>
                <c:pt idx="184">
                  <c:v>120.54288292781465</c:v>
                </c:pt>
                <c:pt idx="185">
                  <c:v>120.54288292781465</c:v>
                </c:pt>
                <c:pt idx="186">
                  <c:v>120.54288292781465</c:v>
                </c:pt>
                <c:pt idx="187">
                  <c:v>120.54288292781465</c:v>
                </c:pt>
                <c:pt idx="188">
                  <c:v>120.54288292781465</c:v>
                </c:pt>
                <c:pt idx="189">
                  <c:v>120.54288292781465</c:v>
                </c:pt>
                <c:pt idx="190">
                  <c:v>120.54288292781465</c:v>
                </c:pt>
                <c:pt idx="191">
                  <c:v>120.54288292781465</c:v>
                </c:pt>
                <c:pt idx="192">
                  <c:v>120.54288292781465</c:v>
                </c:pt>
                <c:pt idx="193">
                  <c:v>120.54288292781465</c:v>
                </c:pt>
                <c:pt idx="194">
                  <c:v>120.54288292781465</c:v>
                </c:pt>
                <c:pt idx="195">
                  <c:v>120.54288292781465</c:v>
                </c:pt>
                <c:pt idx="196">
                  <c:v>120.54288292781465</c:v>
                </c:pt>
                <c:pt idx="197">
                  <c:v>120.54288292781465</c:v>
                </c:pt>
                <c:pt idx="198">
                  <c:v>120.54288292781465</c:v>
                </c:pt>
                <c:pt idx="199">
                  <c:v>120.54288292781465</c:v>
                </c:pt>
                <c:pt idx="200">
                  <c:v>120.54288292781465</c:v>
                </c:pt>
                <c:pt idx="201">
                  <c:v>120.54288292781465</c:v>
                </c:pt>
                <c:pt idx="202">
                  <c:v>120.54288292781465</c:v>
                </c:pt>
                <c:pt idx="203">
                  <c:v>120.54288292781465</c:v>
                </c:pt>
                <c:pt idx="204">
                  <c:v>120.54288292781465</c:v>
                </c:pt>
                <c:pt idx="205">
                  <c:v>120.54288292781465</c:v>
                </c:pt>
                <c:pt idx="206">
                  <c:v>120.54288292781465</c:v>
                </c:pt>
                <c:pt idx="207">
                  <c:v>120.54288292781465</c:v>
                </c:pt>
                <c:pt idx="208">
                  <c:v>120.54288292781465</c:v>
                </c:pt>
                <c:pt idx="209">
                  <c:v>120.54288292781465</c:v>
                </c:pt>
                <c:pt idx="210">
                  <c:v>120.54288292781465</c:v>
                </c:pt>
                <c:pt idx="211">
                  <c:v>120.54288292781465</c:v>
                </c:pt>
                <c:pt idx="212">
                  <c:v>120.54288292781465</c:v>
                </c:pt>
                <c:pt idx="213">
                  <c:v>94.661389583977851</c:v>
                </c:pt>
                <c:pt idx="214">
                  <c:v>94.661389583977851</c:v>
                </c:pt>
                <c:pt idx="215">
                  <c:v>94.661389583977851</c:v>
                </c:pt>
                <c:pt idx="216">
                  <c:v>94.661389583977851</c:v>
                </c:pt>
                <c:pt idx="217">
                  <c:v>94.661389583977851</c:v>
                </c:pt>
                <c:pt idx="218">
                  <c:v>94.661389583977851</c:v>
                </c:pt>
                <c:pt idx="219">
                  <c:v>94.661389583977851</c:v>
                </c:pt>
                <c:pt idx="220">
                  <c:v>94.661389583977851</c:v>
                </c:pt>
                <c:pt idx="221">
                  <c:v>94.661389583977851</c:v>
                </c:pt>
                <c:pt idx="222">
                  <c:v>94.661389583977851</c:v>
                </c:pt>
                <c:pt idx="223">
                  <c:v>94.661389583977851</c:v>
                </c:pt>
                <c:pt idx="224">
                  <c:v>94.661389583977851</c:v>
                </c:pt>
                <c:pt idx="225">
                  <c:v>94.661389583977851</c:v>
                </c:pt>
                <c:pt idx="226">
                  <c:v>94.661389583977851</c:v>
                </c:pt>
                <c:pt idx="227">
                  <c:v>94.661389583977851</c:v>
                </c:pt>
                <c:pt idx="228">
                  <c:v>94.661389583977851</c:v>
                </c:pt>
                <c:pt idx="229">
                  <c:v>94.661389583977851</c:v>
                </c:pt>
                <c:pt idx="230">
                  <c:v>94.661389583977851</c:v>
                </c:pt>
                <c:pt idx="231">
                  <c:v>94.661389583977851</c:v>
                </c:pt>
                <c:pt idx="232">
                  <c:v>94.661389583977851</c:v>
                </c:pt>
                <c:pt idx="233">
                  <c:v>94.661389583977851</c:v>
                </c:pt>
                <c:pt idx="234">
                  <c:v>94.661389583977851</c:v>
                </c:pt>
                <c:pt idx="235">
                  <c:v>94.661389583977851</c:v>
                </c:pt>
                <c:pt idx="236">
                  <c:v>94.661389583977851</c:v>
                </c:pt>
                <c:pt idx="237">
                  <c:v>94.661389583977851</c:v>
                </c:pt>
                <c:pt idx="238">
                  <c:v>94.661389583977851</c:v>
                </c:pt>
                <c:pt idx="239">
                  <c:v>94.661389583977851</c:v>
                </c:pt>
                <c:pt idx="240">
                  <c:v>94.661389583977851</c:v>
                </c:pt>
                <c:pt idx="241">
                  <c:v>94.661389583977851</c:v>
                </c:pt>
                <c:pt idx="242">
                  <c:v>94.661389583977851</c:v>
                </c:pt>
                <c:pt idx="243">
                  <c:v>94.661389583977851</c:v>
                </c:pt>
                <c:pt idx="244">
                  <c:v>62.145020957620687</c:v>
                </c:pt>
                <c:pt idx="245">
                  <c:v>62.145020957620687</c:v>
                </c:pt>
                <c:pt idx="246">
                  <c:v>62.145020957620687</c:v>
                </c:pt>
                <c:pt idx="247">
                  <c:v>62.145020957620687</c:v>
                </c:pt>
                <c:pt idx="248">
                  <c:v>62.145020957620687</c:v>
                </c:pt>
                <c:pt idx="249">
                  <c:v>62.145020957620687</c:v>
                </c:pt>
                <c:pt idx="250">
                  <c:v>62.145020957620687</c:v>
                </c:pt>
                <c:pt idx="251">
                  <c:v>62.145020957620687</c:v>
                </c:pt>
                <c:pt idx="252">
                  <c:v>62.145020957620687</c:v>
                </c:pt>
                <c:pt idx="253">
                  <c:v>62.145020957620687</c:v>
                </c:pt>
                <c:pt idx="254">
                  <c:v>62.145020957620687</c:v>
                </c:pt>
                <c:pt idx="255">
                  <c:v>62.145020957620687</c:v>
                </c:pt>
                <c:pt idx="256">
                  <c:v>62.145020957620687</c:v>
                </c:pt>
                <c:pt idx="257">
                  <c:v>62.145020957620687</c:v>
                </c:pt>
                <c:pt idx="258">
                  <c:v>62.145020957620687</c:v>
                </c:pt>
                <c:pt idx="259">
                  <c:v>62.145020957620687</c:v>
                </c:pt>
                <c:pt idx="260">
                  <c:v>62.145020957620687</c:v>
                </c:pt>
                <c:pt idx="261">
                  <c:v>62.145020957620687</c:v>
                </c:pt>
                <c:pt idx="262">
                  <c:v>62.145020957620687</c:v>
                </c:pt>
                <c:pt idx="263">
                  <c:v>62.145020957620687</c:v>
                </c:pt>
                <c:pt idx="264">
                  <c:v>62.145020957620687</c:v>
                </c:pt>
                <c:pt idx="265">
                  <c:v>62.145020957620687</c:v>
                </c:pt>
                <c:pt idx="266">
                  <c:v>62.145020957620687</c:v>
                </c:pt>
                <c:pt idx="267">
                  <c:v>62.145020957620687</c:v>
                </c:pt>
                <c:pt idx="268">
                  <c:v>62.145020957620687</c:v>
                </c:pt>
                <c:pt idx="269">
                  <c:v>62.145020957620687</c:v>
                </c:pt>
                <c:pt idx="270">
                  <c:v>62.145020957620687</c:v>
                </c:pt>
                <c:pt idx="271">
                  <c:v>62.145020957620687</c:v>
                </c:pt>
                <c:pt idx="272">
                  <c:v>62.145020957620687</c:v>
                </c:pt>
                <c:pt idx="273">
                  <c:v>62.145020957620687</c:v>
                </c:pt>
                <c:pt idx="274">
                  <c:v>25.910326049029329</c:v>
                </c:pt>
                <c:pt idx="275">
                  <c:v>25.910326049029329</c:v>
                </c:pt>
                <c:pt idx="276">
                  <c:v>25.910326049029329</c:v>
                </c:pt>
                <c:pt idx="277">
                  <c:v>25.910326049029329</c:v>
                </c:pt>
                <c:pt idx="278">
                  <c:v>25.910326049029329</c:v>
                </c:pt>
                <c:pt idx="279">
                  <c:v>25.910326049029329</c:v>
                </c:pt>
                <c:pt idx="280">
                  <c:v>25.910326049029329</c:v>
                </c:pt>
                <c:pt idx="281">
                  <c:v>25.910326049029329</c:v>
                </c:pt>
                <c:pt idx="282">
                  <c:v>25.910326049029329</c:v>
                </c:pt>
                <c:pt idx="283">
                  <c:v>25.910326049029329</c:v>
                </c:pt>
                <c:pt idx="284">
                  <c:v>25.910326049029329</c:v>
                </c:pt>
                <c:pt idx="285">
                  <c:v>25.910326049029329</c:v>
                </c:pt>
                <c:pt idx="286">
                  <c:v>25.910326049029329</c:v>
                </c:pt>
                <c:pt idx="287">
                  <c:v>25.910326049029329</c:v>
                </c:pt>
                <c:pt idx="288">
                  <c:v>25.910326049029329</c:v>
                </c:pt>
                <c:pt idx="289">
                  <c:v>25.910326049029329</c:v>
                </c:pt>
                <c:pt idx="290">
                  <c:v>25.910326049029329</c:v>
                </c:pt>
                <c:pt idx="291">
                  <c:v>25.910326049029329</c:v>
                </c:pt>
                <c:pt idx="292">
                  <c:v>25.910326049029329</c:v>
                </c:pt>
                <c:pt idx="293">
                  <c:v>25.910326049029329</c:v>
                </c:pt>
                <c:pt idx="294">
                  <c:v>25.910326049029329</c:v>
                </c:pt>
                <c:pt idx="295">
                  <c:v>25.910326049029329</c:v>
                </c:pt>
                <c:pt idx="296">
                  <c:v>25.910326049029329</c:v>
                </c:pt>
                <c:pt idx="297">
                  <c:v>25.910326049029329</c:v>
                </c:pt>
                <c:pt idx="298">
                  <c:v>25.910326049029329</c:v>
                </c:pt>
                <c:pt idx="299">
                  <c:v>25.910326049029329</c:v>
                </c:pt>
                <c:pt idx="300">
                  <c:v>25.910326049029329</c:v>
                </c:pt>
                <c:pt idx="301">
                  <c:v>25.910326049029329</c:v>
                </c:pt>
                <c:pt idx="302">
                  <c:v>25.910326049029329</c:v>
                </c:pt>
                <c:pt idx="303">
                  <c:v>25.910326049029329</c:v>
                </c:pt>
                <c:pt idx="304">
                  <c:v>25.910326049029329</c:v>
                </c:pt>
                <c:pt idx="305">
                  <c:v>15.363630405709555</c:v>
                </c:pt>
                <c:pt idx="306">
                  <c:v>15.363630405709555</c:v>
                </c:pt>
                <c:pt idx="307">
                  <c:v>15.363630405709555</c:v>
                </c:pt>
                <c:pt idx="308">
                  <c:v>15.363630405709555</c:v>
                </c:pt>
                <c:pt idx="309">
                  <c:v>15.363630405709555</c:v>
                </c:pt>
                <c:pt idx="310">
                  <c:v>15.363630405709555</c:v>
                </c:pt>
                <c:pt idx="311">
                  <c:v>15.363630405709555</c:v>
                </c:pt>
                <c:pt idx="312">
                  <c:v>15.363630405709555</c:v>
                </c:pt>
                <c:pt idx="313">
                  <c:v>15.363630405709555</c:v>
                </c:pt>
                <c:pt idx="314">
                  <c:v>15.363630405709555</c:v>
                </c:pt>
                <c:pt idx="315">
                  <c:v>15.363630405709555</c:v>
                </c:pt>
                <c:pt idx="316">
                  <c:v>15.363630405709555</c:v>
                </c:pt>
                <c:pt idx="317">
                  <c:v>15.363630405709555</c:v>
                </c:pt>
                <c:pt idx="318">
                  <c:v>15.363630405709555</c:v>
                </c:pt>
                <c:pt idx="319">
                  <c:v>15.363630405709555</c:v>
                </c:pt>
                <c:pt idx="320">
                  <c:v>15.363630405709555</c:v>
                </c:pt>
                <c:pt idx="321">
                  <c:v>15.363630405709555</c:v>
                </c:pt>
                <c:pt idx="322">
                  <c:v>15.363630405709555</c:v>
                </c:pt>
                <c:pt idx="323">
                  <c:v>15.363630405709555</c:v>
                </c:pt>
                <c:pt idx="324">
                  <c:v>15.363630405709555</c:v>
                </c:pt>
                <c:pt idx="325">
                  <c:v>15.363630405709555</c:v>
                </c:pt>
                <c:pt idx="326">
                  <c:v>15.363630405709555</c:v>
                </c:pt>
                <c:pt idx="327">
                  <c:v>15.363630405709555</c:v>
                </c:pt>
                <c:pt idx="328">
                  <c:v>15.363630405709555</c:v>
                </c:pt>
                <c:pt idx="329">
                  <c:v>15.363630405709555</c:v>
                </c:pt>
                <c:pt idx="330">
                  <c:v>15.363630405709555</c:v>
                </c:pt>
                <c:pt idx="331">
                  <c:v>15.363630405709555</c:v>
                </c:pt>
                <c:pt idx="332">
                  <c:v>15.363630405709555</c:v>
                </c:pt>
                <c:pt idx="333">
                  <c:v>15.363630405709555</c:v>
                </c:pt>
                <c:pt idx="334">
                  <c:v>15.363630405709555</c:v>
                </c:pt>
                <c:pt idx="335">
                  <c:v>15.363630405709555</c:v>
                </c:pt>
                <c:pt idx="336">
                  <c:v>19.885734840413747</c:v>
                </c:pt>
                <c:pt idx="337">
                  <c:v>19.885734840413747</c:v>
                </c:pt>
                <c:pt idx="338">
                  <c:v>19.885734840413747</c:v>
                </c:pt>
                <c:pt idx="339">
                  <c:v>19.885734840413747</c:v>
                </c:pt>
                <c:pt idx="340">
                  <c:v>19.885734840413747</c:v>
                </c:pt>
                <c:pt idx="341">
                  <c:v>19.885734840413747</c:v>
                </c:pt>
                <c:pt idx="342">
                  <c:v>19.885734840413747</c:v>
                </c:pt>
                <c:pt idx="343">
                  <c:v>19.885734840413747</c:v>
                </c:pt>
                <c:pt idx="344">
                  <c:v>19.885734840413747</c:v>
                </c:pt>
                <c:pt idx="345">
                  <c:v>19.885734840413747</c:v>
                </c:pt>
                <c:pt idx="346">
                  <c:v>19.885734840413747</c:v>
                </c:pt>
                <c:pt idx="347">
                  <c:v>19.885734840413747</c:v>
                </c:pt>
                <c:pt idx="348">
                  <c:v>19.885734840413747</c:v>
                </c:pt>
                <c:pt idx="349">
                  <c:v>19.885734840413747</c:v>
                </c:pt>
                <c:pt idx="350">
                  <c:v>19.885734840413747</c:v>
                </c:pt>
                <c:pt idx="351">
                  <c:v>19.885734840413747</c:v>
                </c:pt>
                <c:pt idx="352">
                  <c:v>19.885734840413747</c:v>
                </c:pt>
                <c:pt idx="353">
                  <c:v>19.885734840413747</c:v>
                </c:pt>
                <c:pt idx="354">
                  <c:v>19.885734840413747</c:v>
                </c:pt>
                <c:pt idx="355">
                  <c:v>19.885734840413747</c:v>
                </c:pt>
                <c:pt idx="356">
                  <c:v>19.885734840413747</c:v>
                </c:pt>
                <c:pt idx="357">
                  <c:v>19.885734840413747</c:v>
                </c:pt>
                <c:pt idx="358">
                  <c:v>19.885734840413747</c:v>
                </c:pt>
                <c:pt idx="359">
                  <c:v>19.885734840413747</c:v>
                </c:pt>
                <c:pt idx="360">
                  <c:v>19.885734840413747</c:v>
                </c:pt>
                <c:pt idx="361">
                  <c:v>19.885734840413747</c:v>
                </c:pt>
                <c:pt idx="362">
                  <c:v>19.885734840413747</c:v>
                </c:pt>
                <c:pt idx="363">
                  <c:v>19.885734840413747</c:v>
                </c:pt>
                <c:pt idx="364">
                  <c:v>19.885734840413747</c:v>
                </c:pt>
                <c:pt idx="365">
                  <c:v>19.885734840413747</c:v>
                </c:pt>
                <c:pt idx="366">
                  <c:v>40.505689176644211</c:v>
                </c:pt>
                <c:pt idx="367">
                  <c:v>40.505689176644211</c:v>
                </c:pt>
                <c:pt idx="368">
                  <c:v>40.505689176644211</c:v>
                </c:pt>
                <c:pt idx="369">
                  <c:v>40.505689176644211</c:v>
                </c:pt>
                <c:pt idx="370">
                  <c:v>40.505689176644211</c:v>
                </c:pt>
                <c:pt idx="371">
                  <c:v>40.505689176644211</c:v>
                </c:pt>
                <c:pt idx="372">
                  <c:v>40.505689176644211</c:v>
                </c:pt>
                <c:pt idx="373">
                  <c:v>40.505689176644211</c:v>
                </c:pt>
                <c:pt idx="374">
                  <c:v>40.505689176644211</c:v>
                </c:pt>
                <c:pt idx="375">
                  <c:v>40.505689176644211</c:v>
                </c:pt>
                <c:pt idx="376">
                  <c:v>40.505689176644211</c:v>
                </c:pt>
                <c:pt idx="377">
                  <c:v>40.505689176644211</c:v>
                </c:pt>
                <c:pt idx="378">
                  <c:v>40.505689176644211</c:v>
                </c:pt>
                <c:pt idx="379">
                  <c:v>40.505689176644211</c:v>
                </c:pt>
                <c:pt idx="380">
                  <c:v>40.505689176644211</c:v>
                </c:pt>
                <c:pt idx="381">
                  <c:v>40.505689176644211</c:v>
                </c:pt>
                <c:pt idx="382">
                  <c:v>40.505689176644211</c:v>
                </c:pt>
                <c:pt idx="383">
                  <c:v>40.505689176644211</c:v>
                </c:pt>
                <c:pt idx="384">
                  <c:v>40.505689176644211</c:v>
                </c:pt>
                <c:pt idx="385">
                  <c:v>40.505689176644211</c:v>
                </c:pt>
                <c:pt idx="386">
                  <c:v>40.505689176644211</c:v>
                </c:pt>
                <c:pt idx="387">
                  <c:v>40.505689176644211</c:v>
                </c:pt>
                <c:pt idx="388">
                  <c:v>40.505689176644211</c:v>
                </c:pt>
                <c:pt idx="389">
                  <c:v>40.505689176644211</c:v>
                </c:pt>
                <c:pt idx="390">
                  <c:v>40.505689176644211</c:v>
                </c:pt>
                <c:pt idx="391">
                  <c:v>40.505689176644211</c:v>
                </c:pt>
                <c:pt idx="392">
                  <c:v>40.505689176644211</c:v>
                </c:pt>
                <c:pt idx="393">
                  <c:v>40.505689176644211</c:v>
                </c:pt>
                <c:pt idx="394">
                  <c:v>40.505689176644211</c:v>
                </c:pt>
                <c:pt idx="395">
                  <c:v>40.505689176644211</c:v>
                </c:pt>
                <c:pt idx="396">
                  <c:v>40.505689176644211</c:v>
                </c:pt>
                <c:pt idx="397">
                  <c:v>82.040549235563063</c:v>
                </c:pt>
                <c:pt idx="398">
                  <c:v>82.040549235563063</c:v>
                </c:pt>
                <c:pt idx="399">
                  <c:v>82.040549235563063</c:v>
                </c:pt>
                <c:pt idx="400">
                  <c:v>82.040549235563063</c:v>
                </c:pt>
                <c:pt idx="401">
                  <c:v>82.040549235563063</c:v>
                </c:pt>
                <c:pt idx="402">
                  <c:v>82.040549235563063</c:v>
                </c:pt>
                <c:pt idx="403">
                  <c:v>82.040549235563063</c:v>
                </c:pt>
                <c:pt idx="404">
                  <c:v>82.040549235563063</c:v>
                </c:pt>
                <c:pt idx="405">
                  <c:v>82.040549235563063</c:v>
                </c:pt>
                <c:pt idx="406">
                  <c:v>82.040549235563063</c:v>
                </c:pt>
                <c:pt idx="407">
                  <c:v>82.040549235563063</c:v>
                </c:pt>
                <c:pt idx="408">
                  <c:v>82.040549235563063</c:v>
                </c:pt>
                <c:pt idx="409">
                  <c:v>82.040549235563063</c:v>
                </c:pt>
                <c:pt idx="410">
                  <c:v>82.040549235563063</c:v>
                </c:pt>
                <c:pt idx="411">
                  <c:v>82.040549235563063</c:v>
                </c:pt>
                <c:pt idx="412">
                  <c:v>82.040549235563063</c:v>
                </c:pt>
                <c:pt idx="413">
                  <c:v>82.040549235563063</c:v>
                </c:pt>
                <c:pt idx="414">
                  <c:v>82.040549235563063</c:v>
                </c:pt>
                <c:pt idx="415">
                  <c:v>82.040549235563063</c:v>
                </c:pt>
                <c:pt idx="416">
                  <c:v>82.040549235563063</c:v>
                </c:pt>
                <c:pt idx="417">
                  <c:v>82.040549235563063</c:v>
                </c:pt>
                <c:pt idx="418">
                  <c:v>82.040549235563063</c:v>
                </c:pt>
                <c:pt idx="419">
                  <c:v>82.040549235563063</c:v>
                </c:pt>
                <c:pt idx="420">
                  <c:v>82.040549235563063</c:v>
                </c:pt>
                <c:pt idx="421">
                  <c:v>82.040549235563063</c:v>
                </c:pt>
                <c:pt idx="422">
                  <c:v>82.040549235563063</c:v>
                </c:pt>
                <c:pt idx="423">
                  <c:v>82.040549235563063</c:v>
                </c:pt>
                <c:pt idx="424">
                  <c:v>82.040549235563063</c:v>
                </c:pt>
                <c:pt idx="425">
                  <c:v>82.040549235563063</c:v>
                </c:pt>
                <c:pt idx="426">
                  <c:v>82.040549235563063</c:v>
                </c:pt>
                <c:pt idx="427">
                  <c:v>104.34579689704225</c:v>
                </c:pt>
                <c:pt idx="428">
                  <c:v>104.34579689704225</c:v>
                </c:pt>
                <c:pt idx="429">
                  <c:v>104.34579689704225</c:v>
                </c:pt>
                <c:pt idx="430">
                  <c:v>104.34579689704225</c:v>
                </c:pt>
                <c:pt idx="431">
                  <c:v>104.34579689704225</c:v>
                </c:pt>
                <c:pt idx="432">
                  <c:v>104.34579689704225</c:v>
                </c:pt>
                <c:pt idx="433">
                  <c:v>104.34579689704225</c:v>
                </c:pt>
                <c:pt idx="434">
                  <c:v>104.34579689704225</c:v>
                </c:pt>
                <c:pt idx="435">
                  <c:v>104.34579689704225</c:v>
                </c:pt>
                <c:pt idx="436">
                  <c:v>104.34579689704225</c:v>
                </c:pt>
                <c:pt idx="437">
                  <c:v>104.34579689704225</c:v>
                </c:pt>
                <c:pt idx="438">
                  <c:v>104.34579689704225</c:v>
                </c:pt>
                <c:pt idx="439">
                  <c:v>104.34579689704225</c:v>
                </c:pt>
                <c:pt idx="440">
                  <c:v>104.34579689704225</c:v>
                </c:pt>
                <c:pt idx="441">
                  <c:v>104.34579689704225</c:v>
                </c:pt>
                <c:pt idx="442">
                  <c:v>104.34579689704225</c:v>
                </c:pt>
                <c:pt idx="443">
                  <c:v>104.34579689704225</c:v>
                </c:pt>
                <c:pt idx="444">
                  <c:v>104.34579689704225</c:v>
                </c:pt>
                <c:pt idx="445">
                  <c:v>104.34579689704225</c:v>
                </c:pt>
                <c:pt idx="446">
                  <c:v>104.34579689704225</c:v>
                </c:pt>
                <c:pt idx="447">
                  <c:v>104.34579689704225</c:v>
                </c:pt>
                <c:pt idx="448">
                  <c:v>104.34579689704225</c:v>
                </c:pt>
                <c:pt idx="449">
                  <c:v>104.34579689704225</c:v>
                </c:pt>
                <c:pt idx="450">
                  <c:v>104.34579689704225</c:v>
                </c:pt>
                <c:pt idx="451">
                  <c:v>104.34579689704225</c:v>
                </c:pt>
                <c:pt idx="452">
                  <c:v>104.34579689704225</c:v>
                </c:pt>
                <c:pt idx="453">
                  <c:v>104.34579689704225</c:v>
                </c:pt>
                <c:pt idx="454">
                  <c:v>104.34579689704225</c:v>
                </c:pt>
                <c:pt idx="455">
                  <c:v>104.34579689704225</c:v>
                </c:pt>
                <c:pt idx="456">
                  <c:v>104.34579689704225</c:v>
                </c:pt>
                <c:pt idx="457">
                  <c:v>104.34579689704225</c:v>
                </c:pt>
                <c:pt idx="458">
                  <c:v>119.24912559323448</c:v>
                </c:pt>
                <c:pt idx="459">
                  <c:v>119.24912559323448</c:v>
                </c:pt>
                <c:pt idx="460">
                  <c:v>119.24912559323448</c:v>
                </c:pt>
                <c:pt idx="461">
                  <c:v>119.24912559323448</c:v>
                </c:pt>
                <c:pt idx="462">
                  <c:v>119.24912559323448</c:v>
                </c:pt>
                <c:pt idx="463">
                  <c:v>119.24912559323448</c:v>
                </c:pt>
                <c:pt idx="464">
                  <c:v>119.24912559323448</c:v>
                </c:pt>
                <c:pt idx="465">
                  <c:v>119.24912559323448</c:v>
                </c:pt>
                <c:pt idx="466">
                  <c:v>119.24912559323448</c:v>
                </c:pt>
                <c:pt idx="467">
                  <c:v>119.24912559323448</c:v>
                </c:pt>
                <c:pt idx="468">
                  <c:v>119.24912559323448</c:v>
                </c:pt>
                <c:pt idx="469">
                  <c:v>119.24912559323448</c:v>
                </c:pt>
                <c:pt idx="470">
                  <c:v>119.24912559323448</c:v>
                </c:pt>
                <c:pt idx="471">
                  <c:v>119.24912559323448</c:v>
                </c:pt>
                <c:pt idx="472">
                  <c:v>119.24912559323448</c:v>
                </c:pt>
                <c:pt idx="473">
                  <c:v>119.24912559323448</c:v>
                </c:pt>
                <c:pt idx="474">
                  <c:v>119.24912559323448</c:v>
                </c:pt>
                <c:pt idx="475">
                  <c:v>119.24912559323448</c:v>
                </c:pt>
                <c:pt idx="476">
                  <c:v>119.24912559323448</c:v>
                </c:pt>
                <c:pt idx="477">
                  <c:v>119.24912559323448</c:v>
                </c:pt>
                <c:pt idx="478">
                  <c:v>119.24912559323448</c:v>
                </c:pt>
                <c:pt idx="479">
                  <c:v>119.24912559323448</c:v>
                </c:pt>
                <c:pt idx="480">
                  <c:v>119.24912559323448</c:v>
                </c:pt>
                <c:pt idx="481">
                  <c:v>119.24912559323448</c:v>
                </c:pt>
                <c:pt idx="482">
                  <c:v>119.24912559323448</c:v>
                </c:pt>
                <c:pt idx="483">
                  <c:v>119.24912559323448</c:v>
                </c:pt>
                <c:pt idx="484">
                  <c:v>119.24912559323448</c:v>
                </c:pt>
                <c:pt idx="485">
                  <c:v>119.24912559323448</c:v>
                </c:pt>
                <c:pt idx="486">
                  <c:v>119.24912559323448</c:v>
                </c:pt>
                <c:pt idx="487">
                  <c:v>119.24912559323448</c:v>
                </c:pt>
                <c:pt idx="488">
                  <c:v>119.24912559323448</c:v>
                </c:pt>
                <c:pt idx="489">
                  <c:v>124.45770390135006</c:v>
                </c:pt>
                <c:pt idx="490">
                  <c:v>124.45770390135006</c:v>
                </c:pt>
                <c:pt idx="491">
                  <c:v>124.45770390135006</c:v>
                </c:pt>
                <c:pt idx="492">
                  <c:v>124.45770390135006</c:v>
                </c:pt>
                <c:pt idx="493">
                  <c:v>124.45770390135006</c:v>
                </c:pt>
                <c:pt idx="494">
                  <c:v>124.45770390135006</c:v>
                </c:pt>
                <c:pt idx="495">
                  <c:v>124.45770390135006</c:v>
                </c:pt>
                <c:pt idx="496">
                  <c:v>124.45770390135006</c:v>
                </c:pt>
                <c:pt idx="497">
                  <c:v>124.45770390135006</c:v>
                </c:pt>
                <c:pt idx="498">
                  <c:v>124.45770390135006</c:v>
                </c:pt>
                <c:pt idx="499">
                  <c:v>124.45770390135006</c:v>
                </c:pt>
                <c:pt idx="500">
                  <c:v>124.45770390135006</c:v>
                </c:pt>
                <c:pt idx="501">
                  <c:v>124.45770390135006</c:v>
                </c:pt>
                <c:pt idx="502">
                  <c:v>124.45770390135006</c:v>
                </c:pt>
                <c:pt idx="503">
                  <c:v>124.45770390135006</c:v>
                </c:pt>
                <c:pt idx="504">
                  <c:v>124.45770390135006</c:v>
                </c:pt>
                <c:pt idx="505">
                  <c:v>124.45770390135006</c:v>
                </c:pt>
                <c:pt idx="506">
                  <c:v>124.45770390135006</c:v>
                </c:pt>
                <c:pt idx="507">
                  <c:v>124.45770390135006</c:v>
                </c:pt>
                <c:pt idx="508">
                  <c:v>124.45770390135006</c:v>
                </c:pt>
                <c:pt idx="509">
                  <c:v>124.45770390135006</c:v>
                </c:pt>
                <c:pt idx="510">
                  <c:v>124.45770390135006</c:v>
                </c:pt>
                <c:pt idx="511">
                  <c:v>124.45770390135006</c:v>
                </c:pt>
                <c:pt idx="512">
                  <c:v>124.45770390135006</c:v>
                </c:pt>
                <c:pt idx="513">
                  <c:v>124.45770390135006</c:v>
                </c:pt>
                <c:pt idx="514">
                  <c:v>124.45770390135006</c:v>
                </c:pt>
                <c:pt idx="515">
                  <c:v>124.45770390135006</c:v>
                </c:pt>
                <c:pt idx="516">
                  <c:v>124.45770390135006</c:v>
                </c:pt>
                <c:pt idx="517">
                  <c:v>129.67177197597073</c:v>
                </c:pt>
                <c:pt idx="518">
                  <c:v>129.67177197597073</c:v>
                </c:pt>
                <c:pt idx="519">
                  <c:v>129.67177197597073</c:v>
                </c:pt>
                <c:pt idx="520">
                  <c:v>129.67177197597073</c:v>
                </c:pt>
                <c:pt idx="521">
                  <c:v>129.67177197597073</c:v>
                </c:pt>
                <c:pt idx="522">
                  <c:v>129.67177197597073</c:v>
                </c:pt>
                <c:pt idx="523">
                  <c:v>129.67177197597073</c:v>
                </c:pt>
                <c:pt idx="524">
                  <c:v>129.67177197597073</c:v>
                </c:pt>
                <c:pt idx="525">
                  <c:v>129.67177197597073</c:v>
                </c:pt>
                <c:pt idx="526">
                  <c:v>129.67177197597073</c:v>
                </c:pt>
                <c:pt idx="527">
                  <c:v>129.67177197597073</c:v>
                </c:pt>
                <c:pt idx="528">
                  <c:v>129.67177197597073</c:v>
                </c:pt>
                <c:pt idx="529">
                  <c:v>129.67177197597073</c:v>
                </c:pt>
                <c:pt idx="530">
                  <c:v>129.67177197597073</c:v>
                </c:pt>
                <c:pt idx="531">
                  <c:v>129.67177197597073</c:v>
                </c:pt>
                <c:pt idx="532">
                  <c:v>129.67177197597073</c:v>
                </c:pt>
                <c:pt idx="533">
                  <c:v>129.67177197597073</c:v>
                </c:pt>
                <c:pt idx="534">
                  <c:v>129.67177197597073</c:v>
                </c:pt>
                <c:pt idx="535">
                  <c:v>129.67177197597073</c:v>
                </c:pt>
                <c:pt idx="536">
                  <c:v>129.67177197597073</c:v>
                </c:pt>
                <c:pt idx="537">
                  <c:v>129.67177197597073</c:v>
                </c:pt>
                <c:pt idx="538">
                  <c:v>129.67177197597073</c:v>
                </c:pt>
                <c:pt idx="539">
                  <c:v>129.67177197597073</c:v>
                </c:pt>
                <c:pt idx="540">
                  <c:v>129.67177197597073</c:v>
                </c:pt>
                <c:pt idx="541">
                  <c:v>129.67177197597073</c:v>
                </c:pt>
                <c:pt idx="542">
                  <c:v>129.67177197597073</c:v>
                </c:pt>
                <c:pt idx="543">
                  <c:v>129.67177197597073</c:v>
                </c:pt>
                <c:pt idx="544">
                  <c:v>129.67177197597073</c:v>
                </c:pt>
                <c:pt idx="545">
                  <c:v>129.67177197597073</c:v>
                </c:pt>
                <c:pt idx="546">
                  <c:v>129.67177197597073</c:v>
                </c:pt>
                <c:pt idx="547">
                  <c:v>129.67177197597073</c:v>
                </c:pt>
                <c:pt idx="548">
                  <c:v>123.24737037204483</c:v>
                </c:pt>
                <c:pt idx="549">
                  <c:v>123.24737037204483</c:v>
                </c:pt>
                <c:pt idx="550">
                  <c:v>123.24737037204483</c:v>
                </c:pt>
                <c:pt idx="551">
                  <c:v>123.24737037204483</c:v>
                </c:pt>
                <c:pt idx="552">
                  <c:v>123.24737037204483</c:v>
                </c:pt>
                <c:pt idx="553">
                  <c:v>123.24737037204483</c:v>
                </c:pt>
                <c:pt idx="554">
                  <c:v>123.24737037204483</c:v>
                </c:pt>
                <c:pt idx="555">
                  <c:v>123.24737037204483</c:v>
                </c:pt>
                <c:pt idx="556">
                  <c:v>123.24737037204483</c:v>
                </c:pt>
                <c:pt idx="557">
                  <c:v>123.24737037204483</c:v>
                </c:pt>
                <c:pt idx="558">
                  <c:v>123.24737037204483</c:v>
                </c:pt>
                <c:pt idx="559">
                  <c:v>123.24737037204483</c:v>
                </c:pt>
                <c:pt idx="560">
                  <c:v>123.24737037204483</c:v>
                </c:pt>
                <c:pt idx="561">
                  <c:v>123.24737037204483</c:v>
                </c:pt>
                <c:pt idx="562">
                  <c:v>123.24737037204483</c:v>
                </c:pt>
                <c:pt idx="563">
                  <c:v>123.24737037204483</c:v>
                </c:pt>
                <c:pt idx="564">
                  <c:v>123.24737037204483</c:v>
                </c:pt>
                <c:pt idx="565">
                  <c:v>123.24737037204483</c:v>
                </c:pt>
                <c:pt idx="566">
                  <c:v>123.24737037204483</c:v>
                </c:pt>
                <c:pt idx="567">
                  <c:v>123.24737037204483</c:v>
                </c:pt>
                <c:pt idx="568">
                  <c:v>123.24737037204483</c:v>
                </c:pt>
                <c:pt idx="569">
                  <c:v>123.24737037204483</c:v>
                </c:pt>
                <c:pt idx="570">
                  <c:v>123.24737037204483</c:v>
                </c:pt>
                <c:pt idx="571">
                  <c:v>123.24737037204483</c:v>
                </c:pt>
                <c:pt idx="572">
                  <c:v>123.24737037204483</c:v>
                </c:pt>
                <c:pt idx="573">
                  <c:v>123.24737037204483</c:v>
                </c:pt>
                <c:pt idx="574">
                  <c:v>123.24737037204483</c:v>
                </c:pt>
                <c:pt idx="575">
                  <c:v>123.24737037204483</c:v>
                </c:pt>
                <c:pt idx="576">
                  <c:v>123.24737037204483</c:v>
                </c:pt>
                <c:pt idx="577">
                  <c:v>123.24737037204483</c:v>
                </c:pt>
                <c:pt idx="578">
                  <c:v>94.081084096418962</c:v>
                </c:pt>
                <c:pt idx="579">
                  <c:v>94.081084096418962</c:v>
                </c:pt>
                <c:pt idx="580">
                  <c:v>94.081084096418962</c:v>
                </c:pt>
                <c:pt idx="581">
                  <c:v>94.081084096418962</c:v>
                </c:pt>
                <c:pt idx="582">
                  <c:v>94.081084096418962</c:v>
                </c:pt>
                <c:pt idx="583">
                  <c:v>94.081084096418962</c:v>
                </c:pt>
                <c:pt idx="584">
                  <c:v>94.081084096418962</c:v>
                </c:pt>
                <c:pt idx="585">
                  <c:v>94.081084096418962</c:v>
                </c:pt>
                <c:pt idx="586">
                  <c:v>94.081084096418962</c:v>
                </c:pt>
                <c:pt idx="587">
                  <c:v>94.081084096418962</c:v>
                </c:pt>
                <c:pt idx="588">
                  <c:v>94.081084096418962</c:v>
                </c:pt>
                <c:pt idx="589">
                  <c:v>94.081084096418962</c:v>
                </c:pt>
                <c:pt idx="590">
                  <c:v>94.081084096418962</c:v>
                </c:pt>
                <c:pt idx="591">
                  <c:v>94.081084096418962</c:v>
                </c:pt>
                <c:pt idx="592">
                  <c:v>94.081084096418962</c:v>
                </c:pt>
                <c:pt idx="593">
                  <c:v>94.081084096418962</c:v>
                </c:pt>
                <c:pt idx="594">
                  <c:v>94.081084096418962</c:v>
                </c:pt>
                <c:pt idx="595">
                  <c:v>94.081084096418962</c:v>
                </c:pt>
                <c:pt idx="596">
                  <c:v>94.081084096418962</c:v>
                </c:pt>
                <c:pt idx="597">
                  <c:v>94.081084096418962</c:v>
                </c:pt>
                <c:pt idx="598">
                  <c:v>94.081084096418962</c:v>
                </c:pt>
                <c:pt idx="599">
                  <c:v>94.081084096418962</c:v>
                </c:pt>
                <c:pt idx="600">
                  <c:v>94.081084096418962</c:v>
                </c:pt>
                <c:pt idx="601">
                  <c:v>94.081084096418962</c:v>
                </c:pt>
                <c:pt idx="602">
                  <c:v>94.081084096418962</c:v>
                </c:pt>
                <c:pt idx="603">
                  <c:v>94.081084096418962</c:v>
                </c:pt>
                <c:pt idx="604">
                  <c:v>94.081084096418962</c:v>
                </c:pt>
                <c:pt idx="605">
                  <c:v>94.081084096418962</c:v>
                </c:pt>
                <c:pt idx="606">
                  <c:v>94.081084096418962</c:v>
                </c:pt>
                <c:pt idx="607">
                  <c:v>94.081084096418962</c:v>
                </c:pt>
                <c:pt idx="608">
                  <c:v>94.081084096418962</c:v>
                </c:pt>
                <c:pt idx="609">
                  <c:v>61.406867513274626</c:v>
                </c:pt>
                <c:pt idx="610">
                  <c:v>61.406867513274626</c:v>
                </c:pt>
                <c:pt idx="611">
                  <c:v>61.406867513274626</c:v>
                </c:pt>
                <c:pt idx="612">
                  <c:v>61.406867513274626</c:v>
                </c:pt>
                <c:pt idx="613">
                  <c:v>61.406867513274626</c:v>
                </c:pt>
                <c:pt idx="614">
                  <c:v>61.406867513274626</c:v>
                </c:pt>
                <c:pt idx="615">
                  <c:v>61.406867513274626</c:v>
                </c:pt>
                <c:pt idx="616">
                  <c:v>61.406867513274626</c:v>
                </c:pt>
                <c:pt idx="617">
                  <c:v>61.406867513274626</c:v>
                </c:pt>
                <c:pt idx="618">
                  <c:v>61.406867513274626</c:v>
                </c:pt>
                <c:pt idx="619">
                  <c:v>61.406867513274626</c:v>
                </c:pt>
                <c:pt idx="620">
                  <c:v>61.406867513274626</c:v>
                </c:pt>
                <c:pt idx="621">
                  <c:v>61.406867513274626</c:v>
                </c:pt>
                <c:pt idx="622">
                  <c:v>61.406867513274626</c:v>
                </c:pt>
                <c:pt idx="623">
                  <c:v>61.406867513274626</c:v>
                </c:pt>
                <c:pt idx="624">
                  <c:v>61.406867513274626</c:v>
                </c:pt>
                <c:pt idx="625">
                  <c:v>61.406867513274626</c:v>
                </c:pt>
                <c:pt idx="626">
                  <c:v>61.406867513274626</c:v>
                </c:pt>
                <c:pt idx="627">
                  <c:v>61.406867513274626</c:v>
                </c:pt>
                <c:pt idx="628">
                  <c:v>61.406867513274626</c:v>
                </c:pt>
                <c:pt idx="629">
                  <c:v>61.406867513274626</c:v>
                </c:pt>
                <c:pt idx="630">
                  <c:v>61.406867513274626</c:v>
                </c:pt>
                <c:pt idx="631">
                  <c:v>61.406867513274626</c:v>
                </c:pt>
                <c:pt idx="632">
                  <c:v>61.406867513274626</c:v>
                </c:pt>
                <c:pt idx="633">
                  <c:v>61.406867513274626</c:v>
                </c:pt>
                <c:pt idx="634">
                  <c:v>61.406867513274626</c:v>
                </c:pt>
                <c:pt idx="635">
                  <c:v>61.406867513274626</c:v>
                </c:pt>
                <c:pt idx="636">
                  <c:v>61.406867513274626</c:v>
                </c:pt>
                <c:pt idx="637">
                  <c:v>61.406867513274626</c:v>
                </c:pt>
                <c:pt idx="638">
                  <c:v>61.406867513274626</c:v>
                </c:pt>
                <c:pt idx="639">
                  <c:v>25.377234765527756</c:v>
                </c:pt>
                <c:pt idx="640">
                  <c:v>25.377234765527756</c:v>
                </c:pt>
                <c:pt idx="641">
                  <c:v>25.377234765527756</c:v>
                </c:pt>
                <c:pt idx="642">
                  <c:v>25.377234765527756</c:v>
                </c:pt>
                <c:pt idx="643">
                  <c:v>25.377234765527756</c:v>
                </c:pt>
                <c:pt idx="644">
                  <c:v>25.377234765527756</c:v>
                </c:pt>
                <c:pt idx="645">
                  <c:v>25.377234765527756</c:v>
                </c:pt>
                <c:pt idx="646">
                  <c:v>25.377234765527756</c:v>
                </c:pt>
                <c:pt idx="647">
                  <c:v>25.377234765527756</c:v>
                </c:pt>
                <c:pt idx="648">
                  <c:v>25.377234765527756</c:v>
                </c:pt>
                <c:pt idx="649">
                  <c:v>25.377234765527756</c:v>
                </c:pt>
                <c:pt idx="650">
                  <c:v>25.377234765527756</c:v>
                </c:pt>
                <c:pt idx="651">
                  <c:v>25.377234765527756</c:v>
                </c:pt>
                <c:pt idx="652">
                  <c:v>25.377234765527756</c:v>
                </c:pt>
                <c:pt idx="653">
                  <c:v>25.377234765527756</c:v>
                </c:pt>
                <c:pt idx="654">
                  <c:v>25.377234765527756</c:v>
                </c:pt>
                <c:pt idx="655">
                  <c:v>25.377234765527756</c:v>
                </c:pt>
                <c:pt idx="656">
                  <c:v>25.377234765527756</c:v>
                </c:pt>
                <c:pt idx="657">
                  <c:v>25.377234765527756</c:v>
                </c:pt>
                <c:pt idx="658">
                  <c:v>25.377234765527756</c:v>
                </c:pt>
                <c:pt idx="659">
                  <c:v>25.377234765527756</c:v>
                </c:pt>
                <c:pt idx="660">
                  <c:v>25.377234765527756</c:v>
                </c:pt>
                <c:pt idx="661">
                  <c:v>25.377234765527756</c:v>
                </c:pt>
                <c:pt idx="662">
                  <c:v>25.377234765527756</c:v>
                </c:pt>
                <c:pt idx="663">
                  <c:v>25.377234765527756</c:v>
                </c:pt>
                <c:pt idx="664">
                  <c:v>25.377234765527756</c:v>
                </c:pt>
                <c:pt idx="665">
                  <c:v>25.377234765527756</c:v>
                </c:pt>
                <c:pt idx="666">
                  <c:v>25.377234765527756</c:v>
                </c:pt>
                <c:pt idx="667">
                  <c:v>25.377234765527756</c:v>
                </c:pt>
                <c:pt idx="668">
                  <c:v>25.377234765527756</c:v>
                </c:pt>
                <c:pt idx="669">
                  <c:v>25.377234765527756</c:v>
                </c:pt>
                <c:pt idx="670">
                  <c:v>14.606396891514056</c:v>
                </c:pt>
                <c:pt idx="671">
                  <c:v>14.606396891514056</c:v>
                </c:pt>
                <c:pt idx="672">
                  <c:v>14.606396891514056</c:v>
                </c:pt>
                <c:pt idx="673">
                  <c:v>14.606396891514056</c:v>
                </c:pt>
                <c:pt idx="674">
                  <c:v>14.606396891514056</c:v>
                </c:pt>
                <c:pt idx="675">
                  <c:v>14.606396891514056</c:v>
                </c:pt>
                <c:pt idx="676">
                  <c:v>14.606396891514056</c:v>
                </c:pt>
                <c:pt idx="677">
                  <c:v>14.606396891514056</c:v>
                </c:pt>
                <c:pt idx="678">
                  <c:v>14.606396891514056</c:v>
                </c:pt>
                <c:pt idx="679">
                  <c:v>14.606396891514056</c:v>
                </c:pt>
                <c:pt idx="680">
                  <c:v>14.606396891514056</c:v>
                </c:pt>
                <c:pt idx="681">
                  <c:v>14.606396891514056</c:v>
                </c:pt>
                <c:pt idx="682">
                  <c:v>14.606396891514056</c:v>
                </c:pt>
                <c:pt idx="683">
                  <c:v>14.606396891514056</c:v>
                </c:pt>
                <c:pt idx="684">
                  <c:v>14.606396891514056</c:v>
                </c:pt>
                <c:pt idx="685">
                  <c:v>14.606396891514056</c:v>
                </c:pt>
                <c:pt idx="686">
                  <c:v>14.606396891514056</c:v>
                </c:pt>
                <c:pt idx="687">
                  <c:v>14.606396891514056</c:v>
                </c:pt>
                <c:pt idx="688">
                  <c:v>14.606396891514056</c:v>
                </c:pt>
                <c:pt idx="689">
                  <c:v>14.606396891514056</c:v>
                </c:pt>
                <c:pt idx="690">
                  <c:v>14.606396891514056</c:v>
                </c:pt>
                <c:pt idx="691">
                  <c:v>14.606396891514056</c:v>
                </c:pt>
                <c:pt idx="692">
                  <c:v>14.606396891514056</c:v>
                </c:pt>
                <c:pt idx="693">
                  <c:v>14.606396891514056</c:v>
                </c:pt>
                <c:pt idx="694">
                  <c:v>14.606396891514056</c:v>
                </c:pt>
                <c:pt idx="695">
                  <c:v>14.606396891514056</c:v>
                </c:pt>
                <c:pt idx="696">
                  <c:v>14.606396891514056</c:v>
                </c:pt>
                <c:pt idx="697">
                  <c:v>14.606396891514056</c:v>
                </c:pt>
                <c:pt idx="698">
                  <c:v>14.606396891514056</c:v>
                </c:pt>
                <c:pt idx="699">
                  <c:v>14.606396891514056</c:v>
                </c:pt>
                <c:pt idx="700">
                  <c:v>14.606396891514056</c:v>
                </c:pt>
                <c:pt idx="701">
                  <c:v>20.096931654918169</c:v>
                </c:pt>
                <c:pt idx="702">
                  <c:v>20.096931654918169</c:v>
                </c:pt>
                <c:pt idx="703">
                  <c:v>20.096931654918169</c:v>
                </c:pt>
                <c:pt idx="704">
                  <c:v>20.096931654918169</c:v>
                </c:pt>
                <c:pt idx="705">
                  <c:v>20.096931654918169</c:v>
                </c:pt>
                <c:pt idx="706">
                  <c:v>20.096931654918169</c:v>
                </c:pt>
                <c:pt idx="707">
                  <c:v>20.096931654918169</c:v>
                </c:pt>
                <c:pt idx="708">
                  <c:v>20.096931654918169</c:v>
                </c:pt>
                <c:pt idx="709">
                  <c:v>20.096931654918169</c:v>
                </c:pt>
                <c:pt idx="710">
                  <c:v>20.096931654918169</c:v>
                </c:pt>
                <c:pt idx="711">
                  <c:v>20.096931654918169</c:v>
                </c:pt>
                <c:pt idx="712">
                  <c:v>20.096931654918169</c:v>
                </c:pt>
                <c:pt idx="713">
                  <c:v>20.096931654918169</c:v>
                </c:pt>
                <c:pt idx="714">
                  <c:v>20.096931654918169</c:v>
                </c:pt>
                <c:pt idx="715">
                  <c:v>20.096931654918169</c:v>
                </c:pt>
                <c:pt idx="716">
                  <c:v>20.096931654918169</c:v>
                </c:pt>
                <c:pt idx="717">
                  <c:v>20.096931654918169</c:v>
                </c:pt>
                <c:pt idx="718">
                  <c:v>20.096931654918169</c:v>
                </c:pt>
                <c:pt idx="719">
                  <c:v>20.096931654918169</c:v>
                </c:pt>
                <c:pt idx="720">
                  <c:v>20.096931654918169</c:v>
                </c:pt>
                <c:pt idx="721">
                  <c:v>20.096931654918169</c:v>
                </c:pt>
                <c:pt idx="722">
                  <c:v>20.096931654918169</c:v>
                </c:pt>
                <c:pt idx="723">
                  <c:v>20.096931654918169</c:v>
                </c:pt>
                <c:pt idx="724">
                  <c:v>20.096931654918169</c:v>
                </c:pt>
                <c:pt idx="725">
                  <c:v>20.096931654918169</c:v>
                </c:pt>
                <c:pt idx="726">
                  <c:v>20.096931654918169</c:v>
                </c:pt>
                <c:pt idx="727">
                  <c:v>20.096931654918169</c:v>
                </c:pt>
                <c:pt idx="728">
                  <c:v>20.096931654918169</c:v>
                </c:pt>
                <c:pt idx="729">
                  <c:v>20.096931654918169</c:v>
                </c:pt>
                <c:pt idx="730">
                  <c:v>20.096931654918169</c:v>
                </c:pt>
                <c:pt idx="731">
                  <c:v>43.333737750551208</c:v>
                </c:pt>
                <c:pt idx="732">
                  <c:v>43.333737750551208</c:v>
                </c:pt>
                <c:pt idx="733">
                  <c:v>43.333737750551208</c:v>
                </c:pt>
                <c:pt idx="734">
                  <c:v>43.333737750551208</c:v>
                </c:pt>
                <c:pt idx="735">
                  <c:v>43.333737750551208</c:v>
                </c:pt>
                <c:pt idx="736">
                  <c:v>43.333737750551208</c:v>
                </c:pt>
                <c:pt idx="737">
                  <c:v>43.333737750551208</c:v>
                </c:pt>
                <c:pt idx="738">
                  <c:v>43.333737750551208</c:v>
                </c:pt>
                <c:pt idx="739">
                  <c:v>43.333737750551208</c:v>
                </c:pt>
                <c:pt idx="740">
                  <c:v>43.333737750551208</c:v>
                </c:pt>
                <c:pt idx="741">
                  <c:v>43.333737750551208</c:v>
                </c:pt>
                <c:pt idx="742">
                  <c:v>43.333737750551208</c:v>
                </c:pt>
                <c:pt idx="743">
                  <c:v>43.333737750551208</c:v>
                </c:pt>
                <c:pt idx="744">
                  <c:v>43.333737750551208</c:v>
                </c:pt>
                <c:pt idx="745">
                  <c:v>43.333737750551208</c:v>
                </c:pt>
                <c:pt idx="746">
                  <c:v>43.333737750551208</c:v>
                </c:pt>
                <c:pt idx="747">
                  <c:v>43.333737750551208</c:v>
                </c:pt>
                <c:pt idx="748">
                  <c:v>43.333737750551208</c:v>
                </c:pt>
                <c:pt idx="749">
                  <c:v>43.333737750551208</c:v>
                </c:pt>
                <c:pt idx="750">
                  <c:v>43.333737750551208</c:v>
                </c:pt>
                <c:pt idx="751">
                  <c:v>43.333737750551208</c:v>
                </c:pt>
                <c:pt idx="752">
                  <c:v>43.333737750551208</c:v>
                </c:pt>
                <c:pt idx="753">
                  <c:v>43.333737750551208</c:v>
                </c:pt>
                <c:pt idx="754">
                  <c:v>43.333737750551208</c:v>
                </c:pt>
                <c:pt idx="755">
                  <c:v>43.333737750551208</c:v>
                </c:pt>
                <c:pt idx="756">
                  <c:v>43.333737750551208</c:v>
                </c:pt>
                <c:pt idx="757">
                  <c:v>43.333737750551208</c:v>
                </c:pt>
                <c:pt idx="758">
                  <c:v>43.333737750551208</c:v>
                </c:pt>
                <c:pt idx="759">
                  <c:v>43.333737750551208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 </c:v>
                  </c:pt>
                  <c:pt idx="92">
                    <c:v>2024 </c:v>
                  </c:pt>
                  <c:pt idx="458">
                    <c:v>2025 </c:v>
                  </c:pt>
                </c:lvl>
              </c:multiLvlStrCache>
            </c:multiLvlStrRef>
          </c:cat>
          <c:val>
            <c:numRef>
              <c:f>'Data 6'!$E$52:$E$811</c:f>
              <c:numCache>
                <c:formatCode>#,##0</c:formatCode>
                <c:ptCount val="760"/>
                <c:pt idx="0">
                  <c:v>2.1056485495590422</c:v>
                </c:pt>
                <c:pt idx="1">
                  <c:v>2.635984137558109</c:v>
                </c:pt>
                <c:pt idx="2">
                  <c:v>3.8150691695590395</c:v>
                </c:pt>
                <c:pt idx="3">
                  <c:v>8.2569853218427092</c:v>
                </c:pt>
                <c:pt idx="4">
                  <c:v>20.672574646844573</c:v>
                </c:pt>
                <c:pt idx="5">
                  <c:v>22.144515225843644</c:v>
                </c:pt>
                <c:pt idx="6">
                  <c:v>5.1140933218445719</c:v>
                </c:pt>
                <c:pt idx="7">
                  <c:v>3.4750962828436425</c:v>
                </c:pt>
                <c:pt idx="8">
                  <c:v>22.509661284844572</c:v>
                </c:pt>
                <c:pt idx="9">
                  <c:v>24.315748561843641</c:v>
                </c:pt>
                <c:pt idx="10">
                  <c:v>16.618847536526957</c:v>
                </c:pt>
                <c:pt idx="11">
                  <c:v>8.7665859895250904</c:v>
                </c:pt>
                <c:pt idx="12">
                  <c:v>4.0539202715278808</c:v>
                </c:pt>
                <c:pt idx="13">
                  <c:v>11.487250864526956</c:v>
                </c:pt>
                <c:pt idx="14">
                  <c:v>5.1308790605269534</c:v>
                </c:pt>
                <c:pt idx="15">
                  <c:v>27.555892200526948</c:v>
                </c:pt>
                <c:pt idx="16">
                  <c:v>5.8518849325269544</c:v>
                </c:pt>
                <c:pt idx="17">
                  <c:v>40.400211353346023</c:v>
                </c:pt>
                <c:pt idx="18">
                  <c:v>40.400211353346023</c:v>
                </c:pt>
                <c:pt idx="19">
                  <c:v>40.400211353346023</c:v>
                </c:pt>
                <c:pt idx="20">
                  <c:v>40.400211353346023</c:v>
                </c:pt>
                <c:pt idx="21">
                  <c:v>40.400211353346023</c:v>
                </c:pt>
                <c:pt idx="22">
                  <c:v>40.400211353346023</c:v>
                </c:pt>
                <c:pt idx="23">
                  <c:v>40.400211353346023</c:v>
                </c:pt>
                <c:pt idx="24">
                  <c:v>40.400211353346023</c:v>
                </c:pt>
                <c:pt idx="25">
                  <c:v>40.400211353346023</c:v>
                </c:pt>
                <c:pt idx="26">
                  <c:v>40.400211353346023</c:v>
                </c:pt>
                <c:pt idx="27">
                  <c:v>40.400211353346023</c:v>
                </c:pt>
                <c:pt idx="28">
                  <c:v>40.400211353346023</c:v>
                </c:pt>
                <c:pt idx="29">
                  <c:v>40.400211353346023</c:v>
                </c:pt>
                <c:pt idx="30">
                  <c:v>40.400211353346023</c:v>
                </c:pt>
                <c:pt idx="31">
                  <c:v>80.938788836501317</c:v>
                </c:pt>
                <c:pt idx="32">
                  <c:v>80.938788836501317</c:v>
                </c:pt>
                <c:pt idx="33">
                  <c:v>80.938788836501317</c:v>
                </c:pt>
                <c:pt idx="34">
                  <c:v>80.938788836501317</c:v>
                </c:pt>
                <c:pt idx="35">
                  <c:v>80.938788836501317</c:v>
                </c:pt>
                <c:pt idx="36">
                  <c:v>80.938788836501317</c:v>
                </c:pt>
                <c:pt idx="37">
                  <c:v>80.938788836501317</c:v>
                </c:pt>
                <c:pt idx="38">
                  <c:v>80.938788836501317</c:v>
                </c:pt>
                <c:pt idx="39">
                  <c:v>80.938788836501317</c:v>
                </c:pt>
                <c:pt idx="40">
                  <c:v>80.938788836501317</c:v>
                </c:pt>
                <c:pt idx="41">
                  <c:v>80.938788836501317</c:v>
                </c:pt>
                <c:pt idx="42">
                  <c:v>80.938788836501317</c:v>
                </c:pt>
                <c:pt idx="43">
                  <c:v>80.938788836501317</c:v>
                </c:pt>
                <c:pt idx="44">
                  <c:v>80.938788836501317</c:v>
                </c:pt>
                <c:pt idx="45">
                  <c:v>80.938788836501317</c:v>
                </c:pt>
                <c:pt idx="46">
                  <c:v>80.938788836501317</c:v>
                </c:pt>
                <c:pt idx="47">
                  <c:v>80.938788836501317</c:v>
                </c:pt>
                <c:pt idx="48">
                  <c:v>80.938788836501317</c:v>
                </c:pt>
                <c:pt idx="49">
                  <c:v>80.938788836501317</c:v>
                </c:pt>
                <c:pt idx="50">
                  <c:v>80.938788836501317</c:v>
                </c:pt>
                <c:pt idx="51">
                  <c:v>80.938788836501317</c:v>
                </c:pt>
                <c:pt idx="52">
                  <c:v>54.502371812797733</c:v>
                </c:pt>
                <c:pt idx="53">
                  <c:v>69.862290128795863</c:v>
                </c:pt>
                <c:pt idx="54">
                  <c:v>80.938788836501317</c:v>
                </c:pt>
                <c:pt idx="55">
                  <c:v>78.329930240797736</c:v>
                </c:pt>
                <c:pt idx="56">
                  <c:v>80.938788836501317</c:v>
                </c:pt>
                <c:pt idx="57">
                  <c:v>80.938788836501317</c:v>
                </c:pt>
                <c:pt idx="58">
                  <c:v>80.938788836501317</c:v>
                </c:pt>
                <c:pt idx="59">
                  <c:v>80.938788836501317</c:v>
                </c:pt>
                <c:pt idx="60">
                  <c:v>80.938788836501317</c:v>
                </c:pt>
                <c:pt idx="61">
                  <c:v>105.77564059458246</c:v>
                </c:pt>
                <c:pt idx="62">
                  <c:v>105.77564059458246</c:v>
                </c:pt>
                <c:pt idx="63">
                  <c:v>105.77564059458246</c:v>
                </c:pt>
                <c:pt idx="64">
                  <c:v>105.77564059458246</c:v>
                </c:pt>
                <c:pt idx="65">
                  <c:v>105.77564059458246</c:v>
                </c:pt>
                <c:pt idx="66">
                  <c:v>105.77564059458246</c:v>
                </c:pt>
                <c:pt idx="67">
                  <c:v>105.77564059458246</c:v>
                </c:pt>
                <c:pt idx="68">
                  <c:v>105.77564059458246</c:v>
                </c:pt>
                <c:pt idx="69">
                  <c:v>105.77564059458246</c:v>
                </c:pt>
                <c:pt idx="70">
                  <c:v>105.77564059458246</c:v>
                </c:pt>
                <c:pt idx="71">
                  <c:v>105.77564059458246</c:v>
                </c:pt>
                <c:pt idx="72">
                  <c:v>105.77564059458246</c:v>
                </c:pt>
                <c:pt idx="73">
                  <c:v>105.77564059458246</c:v>
                </c:pt>
                <c:pt idx="74">
                  <c:v>105.77564059458246</c:v>
                </c:pt>
                <c:pt idx="75">
                  <c:v>105.77564059458246</c:v>
                </c:pt>
                <c:pt idx="76">
                  <c:v>105.77564059458246</c:v>
                </c:pt>
                <c:pt idx="77">
                  <c:v>105.77564059458246</c:v>
                </c:pt>
                <c:pt idx="78">
                  <c:v>105.77564059458246</c:v>
                </c:pt>
                <c:pt idx="79">
                  <c:v>105.77564059458246</c:v>
                </c:pt>
                <c:pt idx="80">
                  <c:v>91.702290069493571</c:v>
                </c:pt>
                <c:pt idx="81">
                  <c:v>96.763374213493563</c:v>
                </c:pt>
                <c:pt idx="82">
                  <c:v>85.367497525495438</c:v>
                </c:pt>
                <c:pt idx="83">
                  <c:v>83.527756937491702</c:v>
                </c:pt>
                <c:pt idx="84">
                  <c:v>105.77564059458246</c:v>
                </c:pt>
                <c:pt idx="85">
                  <c:v>88.17712642549543</c:v>
                </c:pt>
                <c:pt idx="86">
                  <c:v>105.77564059458246</c:v>
                </c:pt>
                <c:pt idx="87">
                  <c:v>105.77564059458246</c:v>
                </c:pt>
                <c:pt idx="88">
                  <c:v>105.77564059458246</c:v>
                </c:pt>
                <c:pt idx="89">
                  <c:v>105.77564059458246</c:v>
                </c:pt>
                <c:pt idx="90">
                  <c:v>82.876341482146259</c:v>
                </c:pt>
                <c:pt idx="91">
                  <c:v>60.706967374148121</c:v>
                </c:pt>
                <c:pt idx="92">
                  <c:v>46.317331766148129</c:v>
                </c:pt>
                <c:pt idx="93">
                  <c:v>55.940354536146259</c:v>
                </c:pt>
                <c:pt idx="94">
                  <c:v>96.347034938338027</c:v>
                </c:pt>
                <c:pt idx="95">
                  <c:v>117.80762382080276</c:v>
                </c:pt>
                <c:pt idx="96">
                  <c:v>85.95209914233989</c:v>
                </c:pt>
                <c:pt idx="97">
                  <c:v>80.384418654339882</c:v>
                </c:pt>
                <c:pt idx="98">
                  <c:v>91.604318702336172</c:v>
                </c:pt>
                <c:pt idx="99">
                  <c:v>117.80762382080276</c:v>
                </c:pt>
                <c:pt idx="100">
                  <c:v>117.80762382080276</c:v>
                </c:pt>
                <c:pt idx="101">
                  <c:v>117.80762382080276</c:v>
                </c:pt>
                <c:pt idx="102">
                  <c:v>117.80762382080276</c:v>
                </c:pt>
                <c:pt idx="103">
                  <c:v>90.921518729827213</c:v>
                </c:pt>
                <c:pt idx="104">
                  <c:v>101.59093457382534</c:v>
                </c:pt>
                <c:pt idx="105">
                  <c:v>73.273675441827208</c:v>
                </c:pt>
                <c:pt idx="106">
                  <c:v>101.80176113382535</c:v>
                </c:pt>
                <c:pt idx="107">
                  <c:v>76.844781177829063</c:v>
                </c:pt>
                <c:pt idx="108">
                  <c:v>117.80762382080276</c:v>
                </c:pt>
                <c:pt idx="109">
                  <c:v>117.80762382080276</c:v>
                </c:pt>
                <c:pt idx="110">
                  <c:v>117.80762382080276</c:v>
                </c:pt>
                <c:pt idx="111">
                  <c:v>117.80762382080276</c:v>
                </c:pt>
                <c:pt idx="112">
                  <c:v>117.80762382080276</c:v>
                </c:pt>
                <c:pt idx="113">
                  <c:v>117.80762382080276</c:v>
                </c:pt>
                <c:pt idx="114">
                  <c:v>117.80762382080276</c:v>
                </c:pt>
                <c:pt idx="115">
                  <c:v>117.80762382080276</c:v>
                </c:pt>
                <c:pt idx="116">
                  <c:v>117.80762382080276</c:v>
                </c:pt>
                <c:pt idx="117">
                  <c:v>117.80762382080276</c:v>
                </c:pt>
                <c:pt idx="118">
                  <c:v>117.80762382080276</c:v>
                </c:pt>
                <c:pt idx="119">
                  <c:v>117.80762382080276</c:v>
                </c:pt>
                <c:pt idx="120">
                  <c:v>117.80762382080276</c:v>
                </c:pt>
                <c:pt idx="121">
                  <c:v>117.80762382080276</c:v>
                </c:pt>
                <c:pt idx="122">
                  <c:v>117.80762382080276</c:v>
                </c:pt>
                <c:pt idx="123">
                  <c:v>115.24412592513586</c:v>
                </c:pt>
                <c:pt idx="124">
                  <c:v>88.351072877137739</c:v>
                </c:pt>
                <c:pt idx="125">
                  <c:v>70.321336005135862</c:v>
                </c:pt>
                <c:pt idx="126">
                  <c:v>56.144467513139595</c:v>
                </c:pt>
                <c:pt idx="127">
                  <c:v>107.72370077713774</c:v>
                </c:pt>
                <c:pt idx="128">
                  <c:v>102.96022487713586</c:v>
                </c:pt>
                <c:pt idx="129">
                  <c:v>123.31777659525035</c:v>
                </c:pt>
                <c:pt idx="130">
                  <c:v>121.74336943334959</c:v>
                </c:pt>
                <c:pt idx="131">
                  <c:v>122.85423017734398</c:v>
                </c:pt>
                <c:pt idx="132">
                  <c:v>82.009763521347722</c:v>
                </c:pt>
                <c:pt idx="133">
                  <c:v>92.096768257349581</c:v>
                </c:pt>
                <c:pt idx="134">
                  <c:v>104.74626892534584</c:v>
                </c:pt>
                <c:pt idx="135">
                  <c:v>123.31777659525035</c:v>
                </c:pt>
                <c:pt idx="136">
                  <c:v>123.31777659525035</c:v>
                </c:pt>
                <c:pt idx="137">
                  <c:v>123.31777659525035</c:v>
                </c:pt>
                <c:pt idx="138">
                  <c:v>123.31777659525035</c:v>
                </c:pt>
                <c:pt idx="139">
                  <c:v>119.15370997267397</c:v>
                </c:pt>
                <c:pt idx="140">
                  <c:v>111.38864493667769</c:v>
                </c:pt>
                <c:pt idx="141">
                  <c:v>103.97121753667584</c:v>
                </c:pt>
                <c:pt idx="142">
                  <c:v>123.31777659525035</c:v>
                </c:pt>
                <c:pt idx="143">
                  <c:v>123.31777659525035</c:v>
                </c:pt>
                <c:pt idx="144">
                  <c:v>123.31777659525035</c:v>
                </c:pt>
                <c:pt idx="145">
                  <c:v>111.29172475362031</c:v>
                </c:pt>
                <c:pt idx="146">
                  <c:v>105.35793837762031</c:v>
                </c:pt>
                <c:pt idx="147">
                  <c:v>103.96632681762031</c:v>
                </c:pt>
                <c:pt idx="148">
                  <c:v>123.31777659525035</c:v>
                </c:pt>
                <c:pt idx="149">
                  <c:v>123.31777659525035</c:v>
                </c:pt>
                <c:pt idx="150">
                  <c:v>123.31777659525035</c:v>
                </c:pt>
                <c:pt idx="151">
                  <c:v>123.31777659525035</c:v>
                </c:pt>
                <c:pt idx="152">
                  <c:v>124.28094877902988</c:v>
                </c:pt>
                <c:pt idx="153">
                  <c:v>124.28094877902988</c:v>
                </c:pt>
                <c:pt idx="154">
                  <c:v>124.28094877902988</c:v>
                </c:pt>
                <c:pt idx="155">
                  <c:v>124.28094877902988</c:v>
                </c:pt>
                <c:pt idx="156">
                  <c:v>124.28094877902988</c:v>
                </c:pt>
                <c:pt idx="157">
                  <c:v>124.28094877902988</c:v>
                </c:pt>
                <c:pt idx="158">
                  <c:v>124.28094877902988</c:v>
                </c:pt>
                <c:pt idx="159">
                  <c:v>124.28094877902988</c:v>
                </c:pt>
                <c:pt idx="160">
                  <c:v>124.28094877902988</c:v>
                </c:pt>
                <c:pt idx="161">
                  <c:v>124.28094877902988</c:v>
                </c:pt>
                <c:pt idx="162">
                  <c:v>124.28094877902988</c:v>
                </c:pt>
                <c:pt idx="163">
                  <c:v>124.28094877902988</c:v>
                </c:pt>
                <c:pt idx="164">
                  <c:v>124.28094877902988</c:v>
                </c:pt>
                <c:pt idx="165">
                  <c:v>124.28094877902988</c:v>
                </c:pt>
                <c:pt idx="166">
                  <c:v>124.28094877902988</c:v>
                </c:pt>
                <c:pt idx="167">
                  <c:v>124.28094877902988</c:v>
                </c:pt>
                <c:pt idx="168">
                  <c:v>124.28094877902988</c:v>
                </c:pt>
                <c:pt idx="169">
                  <c:v>124.28094877902988</c:v>
                </c:pt>
                <c:pt idx="170">
                  <c:v>124.28094877902988</c:v>
                </c:pt>
                <c:pt idx="171">
                  <c:v>124.28094877902988</c:v>
                </c:pt>
                <c:pt idx="172">
                  <c:v>124.28094877902988</c:v>
                </c:pt>
                <c:pt idx="173">
                  <c:v>124.28094877902988</c:v>
                </c:pt>
                <c:pt idx="174">
                  <c:v>124.28094877902988</c:v>
                </c:pt>
                <c:pt idx="175">
                  <c:v>124.28094877902988</c:v>
                </c:pt>
                <c:pt idx="176">
                  <c:v>124.28094877902988</c:v>
                </c:pt>
                <c:pt idx="177">
                  <c:v>124.28094877902988</c:v>
                </c:pt>
                <c:pt idx="178">
                  <c:v>124.28094877902988</c:v>
                </c:pt>
                <c:pt idx="179">
                  <c:v>124.28094877902988</c:v>
                </c:pt>
                <c:pt idx="180">
                  <c:v>124.28094877902988</c:v>
                </c:pt>
                <c:pt idx="181">
                  <c:v>124.28094877902988</c:v>
                </c:pt>
                <c:pt idx="182">
                  <c:v>124.28094877902988</c:v>
                </c:pt>
                <c:pt idx="183">
                  <c:v>120.54288292781465</c:v>
                </c:pt>
                <c:pt idx="184">
                  <c:v>120.54288292781465</c:v>
                </c:pt>
                <c:pt idx="185">
                  <c:v>120.54288292781465</c:v>
                </c:pt>
                <c:pt idx="186">
                  <c:v>120.54288292781465</c:v>
                </c:pt>
                <c:pt idx="187">
                  <c:v>120.54288292781465</c:v>
                </c:pt>
                <c:pt idx="188">
                  <c:v>120.54288292781465</c:v>
                </c:pt>
                <c:pt idx="189">
                  <c:v>120.54288292781465</c:v>
                </c:pt>
                <c:pt idx="190">
                  <c:v>120.54288292781465</c:v>
                </c:pt>
                <c:pt idx="191">
                  <c:v>120.54288292781465</c:v>
                </c:pt>
                <c:pt idx="192">
                  <c:v>120.54288292781465</c:v>
                </c:pt>
                <c:pt idx="193">
                  <c:v>120.54288292781465</c:v>
                </c:pt>
                <c:pt idx="194">
                  <c:v>120.54288292781465</c:v>
                </c:pt>
                <c:pt idx="195">
                  <c:v>120.54288292781465</c:v>
                </c:pt>
                <c:pt idx="196">
                  <c:v>120.54288292781465</c:v>
                </c:pt>
                <c:pt idx="197">
                  <c:v>120.54288292781465</c:v>
                </c:pt>
                <c:pt idx="198">
                  <c:v>120.54288292781465</c:v>
                </c:pt>
                <c:pt idx="199">
                  <c:v>120.54288292781465</c:v>
                </c:pt>
                <c:pt idx="200">
                  <c:v>120.54288292781465</c:v>
                </c:pt>
                <c:pt idx="201">
                  <c:v>120.54288292781465</c:v>
                </c:pt>
                <c:pt idx="202">
                  <c:v>111.19103276633818</c:v>
                </c:pt>
                <c:pt idx="203">
                  <c:v>88.599454134340036</c:v>
                </c:pt>
                <c:pt idx="204">
                  <c:v>93.381547750340033</c:v>
                </c:pt>
                <c:pt idx="205">
                  <c:v>96.421928146338175</c:v>
                </c:pt>
                <c:pt idx="206">
                  <c:v>73.047796928215917</c:v>
                </c:pt>
                <c:pt idx="207">
                  <c:v>120.54288292781465</c:v>
                </c:pt>
                <c:pt idx="208">
                  <c:v>120.54288292781465</c:v>
                </c:pt>
                <c:pt idx="209">
                  <c:v>71.896353268219642</c:v>
                </c:pt>
                <c:pt idx="210">
                  <c:v>74.042449444215919</c:v>
                </c:pt>
                <c:pt idx="211">
                  <c:v>109.42936759621591</c:v>
                </c:pt>
                <c:pt idx="212">
                  <c:v>64.354226576215908</c:v>
                </c:pt>
                <c:pt idx="213">
                  <c:v>79.571888342601397</c:v>
                </c:pt>
                <c:pt idx="214">
                  <c:v>89.119704002601381</c:v>
                </c:pt>
                <c:pt idx="215">
                  <c:v>94.661389583977851</c:v>
                </c:pt>
                <c:pt idx="216">
                  <c:v>94.661389583977851</c:v>
                </c:pt>
                <c:pt idx="217">
                  <c:v>94.661389583977851</c:v>
                </c:pt>
                <c:pt idx="218">
                  <c:v>94.661389583977851</c:v>
                </c:pt>
                <c:pt idx="219">
                  <c:v>94.661389583977851</c:v>
                </c:pt>
                <c:pt idx="220">
                  <c:v>94.661389583977851</c:v>
                </c:pt>
                <c:pt idx="221">
                  <c:v>94.661389583977851</c:v>
                </c:pt>
                <c:pt idx="222">
                  <c:v>94.661389583977851</c:v>
                </c:pt>
                <c:pt idx="223">
                  <c:v>87.082563798072187</c:v>
                </c:pt>
                <c:pt idx="224">
                  <c:v>92.097228806070319</c:v>
                </c:pt>
                <c:pt idx="225">
                  <c:v>94.661389583977851</c:v>
                </c:pt>
                <c:pt idx="226">
                  <c:v>86.890977494070313</c:v>
                </c:pt>
                <c:pt idx="227">
                  <c:v>94.661389583977851</c:v>
                </c:pt>
                <c:pt idx="228">
                  <c:v>94.661389583977851</c:v>
                </c:pt>
                <c:pt idx="229">
                  <c:v>94.661389583977851</c:v>
                </c:pt>
                <c:pt idx="230">
                  <c:v>94.661389583977851</c:v>
                </c:pt>
                <c:pt idx="231">
                  <c:v>91.921238147018116</c:v>
                </c:pt>
                <c:pt idx="232">
                  <c:v>94.661389583977851</c:v>
                </c:pt>
                <c:pt idx="233">
                  <c:v>94.661389583977851</c:v>
                </c:pt>
                <c:pt idx="234">
                  <c:v>94.661389583977851</c:v>
                </c:pt>
                <c:pt idx="235">
                  <c:v>94.661389583977851</c:v>
                </c:pt>
                <c:pt idx="236">
                  <c:v>94.661389583977851</c:v>
                </c:pt>
                <c:pt idx="237">
                  <c:v>94.661389583977851</c:v>
                </c:pt>
                <c:pt idx="238">
                  <c:v>91.834740247716596</c:v>
                </c:pt>
                <c:pt idx="239">
                  <c:v>94.661389583977851</c:v>
                </c:pt>
                <c:pt idx="240">
                  <c:v>94.661389583977851</c:v>
                </c:pt>
                <c:pt idx="241">
                  <c:v>92.284333513554529</c:v>
                </c:pt>
                <c:pt idx="242">
                  <c:v>78.878956994548943</c:v>
                </c:pt>
                <c:pt idx="243">
                  <c:v>65.694582402552669</c:v>
                </c:pt>
                <c:pt idx="244">
                  <c:v>40.377900895550802</c:v>
                </c:pt>
                <c:pt idx="245">
                  <c:v>37.02979080555081</c:v>
                </c:pt>
                <c:pt idx="246">
                  <c:v>62.145020957620687</c:v>
                </c:pt>
                <c:pt idx="247">
                  <c:v>62.145020957620687</c:v>
                </c:pt>
                <c:pt idx="248">
                  <c:v>62.145020957620687</c:v>
                </c:pt>
                <c:pt idx="249">
                  <c:v>62.145020957620687</c:v>
                </c:pt>
                <c:pt idx="250">
                  <c:v>62.145020957620687</c:v>
                </c:pt>
                <c:pt idx="251">
                  <c:v>50.981575186758434</c:v>
                </c:pt>
                <c:pt idx="252">
                  <c:v>20.362609987756571</c:v>
                </c:pt>
                <c:pt idx="253">
                  <c:v>36.739903890758434</c:v>
                </c:pt>
                <c:pt idx="254">
                  <c:v>39.157048026758439</c:v>
                </c:pt>
                <c:pt idx="255">
                  <c:v>60.845410224167765</c:v>
                </c:pt>
                <c:pt idx="256">
                  <c:v>62.145020957620687</c:v>
                </c:pt>
                <c:pt idx="257">
                  <c:v>57.264168413165898</c:v>
                </c:pt>
                <c:pt idx="258">
                  <c:v>31.127024317171482</c:v>
                </c:pt>
                <c:pt idx="259">
                  <c:v>37.974406523165896</c:v>
                </c:pt>
                <c:pt idx="260">
                  <c:v>59.228509084169623</c:v>
                </c:pt>
                <c:pt idx="261">
                  <c:v>62.145020957620687</c:v>
                </c:pt>
                <c:pt idx="262">
                  <c:v>62.145020957620687</c:v>
                </c:pt>
                <c:pt idx="263">
                  <c:v>62.145020957620687</c:v>
                </c:pt>
                <c:pt idx="264">
                  <c:v>62.145020957620687</c:v>
                </c:pt>
                <c:pt idx="265">
                  <c:v>49.069099326860858</c:v>
                </c:pt>
                <c:pt idx="266">
                  <c:v>35.045765844855275</c:v>
                </c:pt>
                <c:pt idx="267">
                  <c:v>54.089537297859003</c:v>
                </c:pt>
                <c:pt idx="268">
                  <c:v>62.145020957620687</c:v>
                </c:pt>
                <c:pt idx="269">
                  <c:v>62.145020957620687</c:v>
                </c:pt>
                <c:pt idx="270">
                  <c:v>58.297634420935076</c:v>
                </c:pt>
                <c:pt idx="271">
                  <c:v>52.009208182935076</c:v>
                </c:pt>
                <c:pt idx="272">
                  <c:v>34.695431029936955</c:v>
                </c:pt>
                <c:pt idx="273">
                  <c:v>31.637069029933219</c:v>
                </c:pt>
                <c:pt idx="274">
                  <c:v>21.495916996933222</c:v>
                </c:pt>
                <c:pt idx="275">
                  <c:v>25.910326049029329</c:v>
                </c:pt>
                <c:pt idx="276">
                  <c:v>25.910326049029329</c:v>
                </c:pt>
                <c:pt idx="277">
                  <c:v>25.910326049029329</c:v>
                </c:pt>
                <c:pt idx="278">
                  <c:v>25.910326049029329</c:v>
                </c:pt>
                <c:pt idx="279">
                  <c:v>15.12081097160717</c:v>
                </c:pt>
                <c:pt idx="280">
                  <c:v>19.39214861760717</c:v>
                </c:pt>
                <c:pt idx="281">
                  <c:v>25.910326049029329</c:v>
                </c:pt>
                <c:pt idx="282">
                  <c:v>25.910326049029329</c:v>
                </c:pt>
                <c:pt idx="283">
                  <c:v>25.910326049029329</c:v>
                </c:pt>
                <c:pt idx="284">
                  <c:v>25.910326049029329</c:v>
                </c:pt>
                <c:pt idx="285">
                  <c:v>25.910326049029329</c:v>
                </c:pt>
                <c:pt idx="286">
                  <c:v>13.606924256841332</c:v>
                </c:pt>
                <c:pt idx="287">
                  <c:v>5.4347649878450541</c:v>
                </c:pt>
                <c:pt idx="288">
                  <c:v>11.368316333841328</c:v>
                </c:pt>
                <c:pt idx="289">
                  <c:v>25.910326049029329</c:v>
                </c:pt>
                <c:pt idx="290">
                  <c:v>25.910326049029329</c:v>
                </c:pt>
                <c:pt idx="291">
                  <c:v>25.910326049029329</c:v>
                </c:pt>
                <c:pt idx="292">
                  <c:v>25.910326049029329</c:v>
                </c:pt>
                <c:pt idx="293">
                  <c:v>2.8838368070007419</c:v>
                </c:pt>
                <c:pt idx="294">
                  <c:v>2.773625599002604</c:v>
                </c:pt>
                <c:pt idx="295">
                  <c:v>2.6918520630007405</c:v>
                </c:pt>
                <c:pt idx="296">
                  <c:v>4.8173808750007447</c:v>
                </c:pt>
                <c:pt idx="297">
                  <c:v>25.910326049029329</c:v>
                </c:pt>
                <c:pt idx="298">
                  <c:v>14.895582087538802</c:v>
                </c:pt>
                <c:pt idx="299">
                  <c:v>13.942140612535077</c:v>
                </c:pt>
                <c:pt idx="300">
                  <c:v>8.5909319685369407</c:v>
                </c:pt>
                <c:pt idx="301">
                  <c:v>2.8758978345369397</c:v>
                </c:pt>
                <c:pt idx="302">
                  <c:v>19.15130785353508</c:v>
                </c:pt>
                <c:pt idx="303">
                  <c:v>16.346622300538801</c:v>
                </c:pt>
                <c:pt idx="304">
                  <c:v>24.35939520223344</c:v>
                </c:pt>
                <c:pt idx="305">
                  <c:v>3.2914033582334379</c:v>
                </c:pt>
                <c:pt idx="306">
                  <c:v>1.8560847702352985</c:v>
                </c:pt>
                <c:pt idx="307">
                  <c:v>3.1090699312334329</c:v>
                </c:pt>
                <c:pt idx="308">
                  <c:v>2.4807760832334314</c:v>
                </c:pt>
                <c:pt idx="309">
                  <c:v>3.27927523323716</c:v>
                </c:pt>
                <c:pt idx="310">
                  <c:v>3.0810359062334318</c:v>
                </c:pt>
                <c:pt idx="311">
                  <c:v>3.19426276293696</c:v>
                </c:pt>
                <c:pt idx="312">
                  <c:v>3.3697791099406897</c:v>
                </c:pt>
                <c:pt idx="313">
                  <c:v>3.9030743759388278</c:v>
                </c:pt>
                <c:pt idx="314">
                  <c:v>2.8245451479388213</c:v>
                </c:pt>
                <c:pt idx="315">
                  <c:v>3.2445350539369611</c:v>
                </c:pt>
                <c:pt idx="316">
                  <c:v>2.3591191749406861</c:v>
                </c:pt>
                <c:pt idx="317">
                  <c:v>6.1163461269388204</c:v>
                </c:pt>
                <c:pt idx="318">
                  <c:v>11.974662251003625</c:v>
                </c:pt>
                <c:pt idx="319">
                  <c:v>2.313891444005487</c:v>
                </c:pt>
                <c:pt idx="320">
                  <c:v>2.7889215240073537</c:v>
                </c:pt>
                <c:pt idx="321">
                  <c:v>3.6637183840073484</c:v>
                </c:pt>
                <c:pt idx="322">
                  <c:v>3.1426225090036239</c:v>
                </c:pt>
                <c:pt idx="323">
                  <c:v>2.7647522880036268</c:v>
                </c:pt>
                <c:pt idx="324">
                  <c:v>8.3475346870073484</c:v>
                </c:pt>
                <c:pt idx="325">
                  <c:v>13.457443864621782</c:v>
                </c:pt>
                <c:pt idx="326">
                  <c:v>15.363630405709555</c:v>
                </c:pt>
                <c:pt idx="327">
                  <c:v>13.587899395625515</c:v>
                </c:pt>
                <c:pt idx="328">
                  <c:v>3.139176939625504</c:v>
                </c:pt>
                <c:pt idx="329">
                  <c:v>3.6239849436255063</c:v>
                </c:pt>
                <c:pt idx="330">
                  <c:v>15.363630405709555</c:v>
                </c:pt>
                <c:pt idx="331">
                  <c:v>15.363630405709555</c:v>
                </c:pt>
                <c:pt idx="332">
                  <c:v>15.363630405709555</c:v>
                </c:pt>
                <c:pt idx="333">
                  <c:v>15.363630405709555</c:v>
                </c:pt>
                <c:pt idx="334">
                  <c:v>15.363630405709555</c:v>
                </c:pt>
                <c:pt idx="335">
                  <c:v>2.742251960849746</c:v>
                </c:pt>
                <c:pt idx="336">
                  <c:v>3.3861522168516096</c:v>
                </c:pt>
                <c:pt idx="337">
                  <c:v>3.4677666688497486</c:v>
                </c:pt>
                <c:pt idx="338">
                  <c:v>2.9788258928478828</c:v>
                </c:pt>
                <c:pt idx="339">
                  <c:v>13.350197940835489</c:v>
                </c:pt>
                <c:pt idx="340">
                  <c:v>19.885734840413747</c:v>
                </c:pt>
                <c:pt idx="341">
                  <c:v>19.885734840413747</c:v>
                </c:pt>
                <c:pt idx="342">
                  <c:v>19.885734840413747</c:v>
                </c:pt>
                <c:pt idx="343">
                  <c:v>19.885734840413747</c:v>
                </c:pt>
                <c:pt idx="344">
                  <c:v>19.885734840413747</c:v>
                </c:pt>
                <c:pt idx="345">
                  <c:v>19.885734840413747</c:v>
                </c:pt>
                <c:pt idx="346">
                  <c:v>19.885734840413747</c:v>
                </c:pt>
                <c:pt idx="347">
                  <c:v>19.885734840413747</c:v>
                </c:pt>
                <c:pt idx="348">
                  <c:v>19.226709610854318</c:v>
                </c:pt>
                <c:pt idx="349">
                  <c:v>10.20638647585618</c:v>
                </c:pt>
                <c:pt idx="350">
                  <c:v>4.7013636978543181</c:v>
                </c:pt>
                <c:pt idx="351">
                  <c:v>8.5534986828543182</c:v>
                </c:pt>
                <c:pt idx="352">
                  <c:v>9.7971874988580421</c:v>
                </c:pt>
                <c:pt idx="353">
                  <c:v>19.885734840413747</c:v>
                </c:pt>
                <c:pt idx="354">
                  <c:v>19.885734840413747</c:v>
                </c:pt>
                <c:pt idx="355">
                  <c:v>19.885734840413747</c:v>
                </c:pt>
                <c:pt idx="356">
                  <c:v>19.885734840413747</c:v>
                </c:pt>
                <c:pt idx="357">
                  <c:v>19.885734840413747</c:v>
                </c:pt>
                <c:pt idx="358">
                  <c:v>19.885734840413747</c:v>
                </c:pt>
                <c:pt idx="359">
                  <c:v>19.885734840413747</c:v>
                </c:pt>
                <c:pt idx="360">
                  <c:v>19.885734840413747</c:v>
                </c:pt>
                <c:pt idx="361">
                  <c:v>19.885734840413747</c:v>
                </c:pt>
                <c:pt idx="362">
                  <c:v>19.885734840413747</c:v>
                </c:pt>
                <c:pt idx="363">
                  <c:v>19.885734840413747</c:v>
                </c:pt>
                <c:pt idx="364">
                  <c:v>19.885734840413747</c:v>
                </c:pt>
                <c:pt idx="365">
                  <c:v>19.885734840413747</c:v>
                </c:pt>
                <c:pt idx="366">
                  <c:v>40.505689176644211</c:v>
                </c:pt>
                <c:pt idx="367">
                  <c:v>40.505689176644211</c:v>
                </c:pt>
                <c:pt idx="368">
                  <c:v>40.505689176644211</c:v>
                </c:pt>
                <c:pt idx="369">
                  <c:v>40.505689176644211</c:v>
                </c:pt>
                <c:pt idx="370">
                  <c:v>40.505689176644211</c:v>
                </c:pt>
                <c:pt idx="371">
                  <c:v>32.810350096617086</c:v>
                </c:pt>
                <c:pt idx="372">
                  <c:v>40.505689176644211</c:v>
                </c:pt>
                <c:pt idx="373">
                  <c:v>40.505689176644211</c:v>
                </c:pt>
                <c:pt idx="374">
                  <c:v>40.505689176644211</c:v>
                </c:pt>
                <c:pt idx="375">
                  <c:v>40.505689176644211</c:v>
                </c:pt>
                <c:pt idx="376">
                  <c:v>40.505689176644211</c:v>
                </c:pt>
                <c:pt idx="377">
                  <c:v>40.505689176644211</c:v>
                </c:pt>
                <c:pt idx="378">
                  <c:v>40.505689176644211</c:v>
                </c:pt>
                <c:pt idx="379">
                  <c:v>40.505689176644211</c:v>
                </c:pt>
                <c:pt idx="380">
                  <c:v>40.505689176644211</c:v>
                </c:pt>
                <c:pt idx="381">
                  <c:v>40.505689176644211</c:v>
                </c:pt>
                <c:pt idx="382">
                  <c:v>40.505689176644211</c:v>
                </c:pt>
                <c:pt idx="383">
                  <c:v>40.505689176644211</c:v>
                </c:pt>
                <c:pt idx="384">
                  <c:v>40.505689176644211</c:v>
                </c:pt>
                <c:pt idx="385">
                  <c:v>40.505689176644211</c:v>
                </c:pt>
                <c:pt idx="386">
                  <c:v>40.505689176644211</c:v>
                </c:pt>
                <c:pt idx="387">
                  <c:v>40.505689176644211</c:v>
                </c:pt>
                <c:pt idx="388">
                  <c:v>40.505689176644211</c:v>
                </c:pt>
                <c:pt idx="389">
                  <c:v>40.505689176644211</c:v>
                </c:pt>
                <c:pt idx="390">
                  <c:v>40.505689176644211</c:v>
                </c:pt>
                <c:pt idx="391">
                  <c:v>40.505689176644211</c:v>
                </c:pt>
                <c:pt idx="392">
                  <c:v>40.505689176644211</c:v>
                </c:pt>
                <c:pt idx="393">
                  <c:v>40.505689176644211</c:v>
                </c:pt>
                <c:pt idx="394">
                  <c:v>40.505689176644211</c:v>
                </c:pt>
                <c:pt idx="395">
                  <c:v>40.505689176644211</c:v>
                </c:pt>
                <c:pt idx="396">
                  <c:v>40.505689176644211</c:v>
                </c:pt>
                <c:pt idx="397">
                  <c:v>82.040549235563063</c:v>
                </c:pt>
                <c:pt idx="398">
                  <c:v>82.040549235563063</c:v>
                </c:pt>
                <c:pt idx="399">
                  <c:v>82.040549235563063</c:v>
                </c:pt>
                <c:pt idx="400">
                  <c:v>82.040549235563063</c:v>
                </c:pt>
                <c:pt idx="401">
                  <c:v>82.040549235563063</c:v>
                </c:pt>
                <c:pt idx="402">
                  <c:v>82.040549235563063</c:v>
                </c:pt>
                <c:pt idx="403">
                  <c:v>82.040549235563063</c:v>
                </c:pt>
                <c:pt idx="404">
                  <c:v>82.040549235563063</c:v>
                </c:pt>
                <c:pt idx="405">
                  <c:v>68.936405255031715</c:v>
                </c:pt>
                <c:pt idx="406">
                  <c:v>48.757162151029846</c:v>
                </c:pt>
                <c:pt idx="407">
                  <c:v>48.689695399035436</c:v>
                </c:pt>
                <c:pt idx="408">
                  <c:v>40.047803227031707</c:v>
                </c:pt>
                <c:pt idx="409">
                  <c:v>68.855309445166483</c:v>
                </c:pt>
                <c:pt idx="410">
                  <c:v>75.299004657168354</c:v>
                </c:pt>
                <c:pt idx="411">
                  <c:v>68.215954553168345</c:v>
                </c:pt>
                <c:pt idx="412">
                  <c:v>58.871465425168338</c:v>
                </c:pt>
                <c:pt idx="413">
                  <c:v>58.597059901168336</c:v>
                </c:pt>
                <c:pt idx="414">
                  <c:v>72.038170989168336</c:v>
                </c:pt>
                <c:pt idx="415">
                  <c:v>61.939732837168343</c:v>
                </c:pt>
                <c:pt idx="416">
                  <c:v>57.604023443207126</c:v>
                </c:pt>
                <c:pt idx="417">
                  <c:v>54.52021600720898</c:v>
                </c:pt>
                <c:pt idx="418">
                  <c:v>77.539787579208976</c:v>
                </c:pt>
                <c:pt idx="419">
                  <c:v>43.110696247205254</c:v>
                </c:pt>
                <c:pt idx="420">
                  <c:v>43.692276563208978</c:v>
                </c:pt>
                <c:pt idx="421">
                  <c:v>66.915898435208973</c:v>
                </c:pt>
                <c:pt idx="422">
                  <c:v>82.040549235563063</c:v>
                </c:pt>
                <c:pt idx="423">
                  <c:v>82.040549235563063</c:v>
                </c:pt>
                <c:pt idx="424">
                  <c:v>82.040549235563063</c:v>
                </c:pt>
                <c:pt idx="425">
                  <c:v>82.040549235563063</c:v>
                </c:pt>
                <c:pt idx="426">
                  <c:v>75.554168506946681</c:v>
                </c:pt>
                <c:pt idx="427">
                  <c:v>83.351727374948538</c:v>
                </c:pt>
                <c:pt idx="428">
                  <c:v>89.505745218946672</c:v>
                </c:pt>
                <c:pt idx="429">
                  <c:v>85.303495534948539</c:v>
                </c:pt>
                <c:pt idx="430">
                  <c:v>79.086734727937156</c:v>
                </c:pt>
                <c:pt idx="431">
                  <c:v>78.93060100793528</c:v>
                </c:pt>
                <c:pt idx="432">
                  <c:v>64.088982263935293</c:v>
                </c:pt>
                <c:pt idx="433">
                  <c:v>40.162962339937152</c:v>
                </c:pt>
                <c:pt idx="434">
                  <c:v>38.804149971937157</c:v>
                </c:pt>
                <c:pt idx="435">
                  <c:v>63.322006991937151</c:v>
                </c:pt>
                <c:pt idx="436">
                  <c:v>102.49785781593529</c:v>
                </c:pt>
                <c:pt idx="437">
                  <c:v>104.34579689704225</c:v>
                </c:pt>
                <c:pt idx="438">
                  <c:v>104.34579689704225</c:v>
                </c:pt>
                <c:pt idx="439">
                  <c:v>104.34579689704225</c:v>
                </c:pt>
                <c:pt idx="440">
                  <c:v>80.227083350431329</c:v>
                </c:pt>
                <c:pt idx="441">
                  <c:v>39.7176590744332</c:v>
                </c:pt>
                <c:pt idx="442">
                  <c:v>64.088950914433198</c:v>
                </c:pt>
                <c:pt idx="443">
                  <c:v>70.47621098243134</c:v>
                </c:pt>
                <c:pt idx="444">
                  <c:v>92.598211698818446</c:v>
                </c:pt>
                <c:pt idx="445">
                  <c:v>75.712627666816587</c:v>
                </c:pt>
                <c:pt idx="446">
                  <c:v>92.45569500281843</c:v>
                </c:pt>
                <c:pt idx="447">
                  <c:v>78.206707970816581</c:v>
                </c:pt>
                <c:pt idx="448">
                  <c:v>61.799051530818438</c:v>
                </c:pt>
                <c:pt idx="449">
                  <c:v>57.386626711818444</c:v>
                </c:pt>
                <c:pt idx="450">
                  <c:v>52.449582449816582</c:v>
                </c:pt>
                <c:pt idx="451">
                  <c:v>61.08341566762121</c:v>
                </c:pt>
                <c:pt idx="452">
                  <c:v>89.46091912362121</c:v>
                </c:pt>
                <c:pt idx="453">
                  <c:v>90.775996751621207</c:v>
                </c:pt>
                <c:pt idx="454">
                  <c:v>93.651292132621208</c:v>
                </c:pt>
                <c:pt idx="455">
                  <c:v>85.887283035621209</c:v>
                </c:pt>
                <c:pt idx="456">
                  <c:v>98.553430639621212</c:v>
                </c:pt>
                <c:pt idx="457">
                  <c:v>93.224963215623077</c:v>
                </c:pt>
                <c:pt idx="458">
                  <c:v>53.764441277254129</c:v>
                </c:pt>
                <c:pt idx="459">
                  <c:v>69.234749627254118</c:v>
                </c:pt>
                <c:pt idx="460">
                  <c:v>66.199535153254118</c:v>
                </c:pt>
                <c:pt idx="461">
                  <c:v>75.288390178257842</c:v>
                </c:pt>
                <c:pt idx="462">
                  <c:v>41.450572590254126</c:v>
                </c:pt>
                <c:pt idx="463">
                  <c:v>49.20759138225413</c:v>
                </c:pt>
                <c:pt idx="464">
                  <c:v>67.076790990255986</c:v>
                </c:pt>
                <c:pt idx="465">
                  <c:v>119.24912559323448</c:v>
                </c:pt>
                <c:pt idx="466">
                  <c:v>119.24912559323448</c:v>
                </c:pt>
                <c:pt idx="467">
                  <c:v>119.24912559323448</c:v>
                </c:pt>
                <c:pt idx="468">
                  <c:v>119.24912559323448</c:v>
                </c:pt>
                <c:pt idx="469">
                  <c:v>111.39764761635669</c:v>
                </c:pt>
                <c:pt idx="470">
                  <c:v>119.24912559323448</c:v>
                </c:pt>
                <c:pt idx="471">
                  <c:v>119.24912559323448</c:v>
                </c:pt>
                <c:pt idx="472">
                  <c:v>102.28984713263283</c:v>
                </c:pt>
                <c:pt idx="473">
                  <c:v>105.35180540863281</c:v>
                </c:pt>
                <c:pt idx="474">
                  <c:v>109.97886628463283</c:v>
                </c:pt>
                <c:pt idx="475">
                  <c:v>105.25200464463283</c:v>
                </c:pt>
                <c:pt idx="476">
                  <c:v>91.644863272630957</c:v>
                </c:pt>
                <c:pt idx="477">
                  <c:v>106.65338957663282</c:v>
                </c:pt>
                <c:pt idx="478">
                  <c:v>91.819980448634681</c:v>
                </c:pt>
                <c:pt idx="479">
                  <c:v>119.24912559323448</c:v>
                </c:pt>
                <c:pt idx="480">
                  <c:v>119.24912559323448</c:v>
                </c:pt>
                <c:pt idx="481">
                  <c:v>119.24912559323448</c:v>
                </c:pt>
                <c:pt idx="482">
                  <c:v>119.24912559323448</c:v>
                </c:pt>
                <c:pt idx="483">
                  <c:v>119.24912559323448</c:v>
                </c:pt>
                <c:pt idx="484">
                  <c:v>119.24912559323448</c:v>
                </c:pt>
                <c:pt idx="485">
                  <c:v>119.24912559323448</c:v>
                </c:pt>
                <c:pt idx="486">
                  <c:v>119.24912559323448</c:v>
                </c:pt>
                <c:pt idx="487">
                  <c:v>119.24912559323448</c:v>
                </c:pt>
                <c:pt idx="488">
                  <c:v>119.24912559323448</c:v>
                </c:pt>
                <c:pt idx="489">
                  <c:v>124.45770390135006</c:v>
                </c:pt>
                <c:pt idx="490">
                  <c:v>124.45770390135006</c:v>
                </c:pt>
                <c:pt idx="491">
                  <c:v>124.45770390135006</c:v>
                </c:pt>
                <c:pt idx="492">
                  <c:v>124.45770390135006</c:v>
                </c:pt>
                <c:pt idx="493">
                  <c:v>124.45770390135006</c:v>
                </c:pt>
                <c:pt idx="494">
                  <c:v>124.45770390135006</c:v>
                </c:pt>
                <c:pt idx="495">
                  <c:v>124.45770390135006</c:v>
                </c:pt>
                <c:pt idx="496">
                  <c:v>124.45770390135006</c:v>
                </c:pt>
                <c:pt idx="497">
                  <c:v>124.45770390135006</c:v>
                </c:pt>
                <c:pt idx="498">
                  <c:v>124.45770390135006</c:v>
                </c:pt>
                <c:pt idx="499">
                  <c:v>124.45770390135006</c:v>
                </c:pt>
                <c:pt idx="500">
                  <c:v>124.45770390135006</c:v>
                </c:pt>
                <c:pt idx="501">
                  <c:v>124.45770390135006</c:v>
                </c:pt>
                <c:pt idx="502">
                  <c:v>124.45770390135006</c:v>
                </c:pt>
                <c:pt idx="503">
                  <c:v>124.45770390135006</c:v>
                </c:pt>
                <c:pt idx="504">
                  <c:v>124.45770390135006</c:v>
                </c:pt>
                <c:pt idx="505">
                  <c:v>124.45770390135006</c:v>
                </c:pt>
                <c:pt idx="506">
                  <c:v>124.45770390135006</c:v>
                </c:pt>
                <c:pt idx="507">
                  <c:v>124.45770390135006</c:v>
                </c:pt>
                <c:pt idx="508">
                  <c:v>121.78872529771444</c:v>
                </c:pt>
                <c:pt idx="509">
                  <c:v>87.441745705710716</c:v>
                </c:pt>
                <c:pt idx="510">
                  <c:v>114.18028520971816</c:v>
                </c:pt>
                <c:pt idx="511">
                  <c:v>83.092447149710722</c:v>
                </c:pt>
                <c:pt idx="512">
                  <c:v>99.209965373714439</c:v>
                </c:pt>
                <c:pt idx="513">
                  <c:v>110.7750313257107</c:v>
                </c:pt>
                <c:pt idx="514">
                  <c:v>124.45546917880809</c:v>
                </c:pt>
                <c:pt idx="515">
                  <c:v>124.45770390135006</c:v>
                </c:pt>
                <c:pt idx="516">
                  <c:v>124.45770390135006</c:v>
                </c:pt>
                <c:pt idx="517">
                  <c:v>80.179807062808095</c:v>
                </c:pt>
                <c:pt idx="518">
                  <c:v>73.149780046808075</c:v>
                </c:pt>
                <c:pt idx="519">
                  <c:v>121.22998893080623</c:v>
                </c:pt>
                <c:pt idx="520">
                  <c:v>119.62776690280809</c:v>
                </c:pt>
                <c:pt idx="521">
                  <c:v>129.67177197597073</c:v>
                </c:pt>
                <c:pt idx="522">
                  <c:v>129.67177197597073</c:v>
                </c:pt>
                <c:pt idx="523">
                  <c:v>129.67177197597073</c:v>
                </c:pt>
                <c:pt idx="524">
                  <c:v>125.74691929223842</c:v>
                </c:pt>
                <c:pt idx="525">
                  <c:v>129.67177197597073</c:v>
                </c:pt>
                <c:pt idx="526">
                  <c:v>129.67177197597073</c:v>
                </c:pt>
                <c:pt idx="527">
                  <c:v>129.67177197597073</c:v>
                </c:pt>
                <c:pt idx="528">
                  <c:v>129.67177197597073</c:v>
                </c:pt>
                <c:pt idx="529">
                  <c:v>129.67177197597073</c:v>
                </c:pt>
                <c:pt idx="530">
                  <c:v>129.67177197597073</c:v>
                </c:pt>
                <c:pt idx="531">
                  <c:v>129.67177197597073</c:v>
                </c:pt>
                <c:pt idx="532">
                  <c:v>129.67177197597073</c:v>
                </c:pt>
                <c:pt idx="533">
                  <c:v>129.67177197597073</c:v>
                </c:pt>
                <c:pt idx="534">
                  <c:v>129.67177197597073</c:v>
                </c:pt>
                <c:pt idx="535">
                  <c:v>129.67177197597073</c:v>
                </c:pt>
                <c:pt idx="536">
                  <c:v>129.67177197597073</c:v>
                </c:pt>
                <c:pt idx="537">
                  <c:v>129.67177197597073</c:v>
                </c:pt>
                <c:pt idx="538">
                  <c:v>129.67177197597073</c:v>
                </c:pt>
                <c:pt idx="539">
                  <c:v>129.67177197597073</c:v>
                </c:pt>
                <c:pt idx="540">
                  <c:v>129.67177197597073</c:v>
                </c:pt>
                <c:pt idx="541">
                  <c:v>129.67177197597073</c:v>
                </c:pt>
                <c:pt idx="542">
                  <c:v>129.67177197597073</c:v>
                </c:pt>
                <c:pt idx="543">
                  <c:v>129.67177197597073</c:v>
                </c:pt>
                <c:pt idx="544">
                  <c:v>129.67177197597073</c:v>
                </c:pt>
                <c:pt idx="545">
                  <c:v>129.67177197597073</c:v>
                </c:pt>
                <c:pt idx="546">
                  <c:v>129.67177197597073</c:v>
                </c:pt>
                <c:pt idx="547">
                  <c:v>129.67177197597073</c:v>
                </c:pt>
                <c:pt idx="548">
                  <c:v>123.24737037204483</c:v>
                </c:pt>
                <c:pt idx="549">
                  <c:v>123.24737037204483</c:v>
                </c:pt>
                <c:pt idx="550">
                  <c:v>123.24737037204483</c:v>
                </c:pt>
                <c:pt idx="551">
                  <c:v>123.24737037204483</c:v>
                </c:pt>
                <c:pt idx="552">
                  <c:v>123.24737037204483</c:v>
                </c:pt>
                <c:pt idx="553">
                  <c:v>123.24737037204483</c:v>
                </c:pt>
                <c:pt idx="554">
                  <c:v>123.24737037204483</c:v>
                </c:pt>
                <c:pt idx="555">
                  <c:v>123.24737037204483</c:v>
                </c:pt>
                <c:pt idx="556">
                  <c:v>123.24737037204483</c:v>
                </c:pt>
                <c:pt idx="557">
                  <c:v>123.24737037204483</c:v>
                </c:pt>
                <c:pt idx="558">
                  <c:v>123.24737037204483</c:v>
                </c:pt>
                <c:pt idx="559">
                  <c:v>123.24737037204483</c:v>
                </c:pt>
                <c:pt idx="560">
                  <c:v>123.24737037204483</c:v>
                </c:pt>
                <c:pt idx="561">
                  <c:v>123.24737037204483</c:v>
                </c:pt>
                <c:pt idx="562">
                  <c:v>123.24737037204483</c:v>
                </c:pt>
                <c:pt idx="563">
                  <c:v>123.24737037204483</c:v>
                </c:pt>
                <c:pt idx="564">
                  <c:v>123.24737037204483</c:v>
                </c:pt>
                <c:pt idx="565">
                  <c:v>123.24737037204483</c:v>
                </c:pt>
                <c:pt idx="566">
                  <c:v>123.24737037204483</c:v>
                </c:pt>
                <c:pt idx="567">
                  <c:v>123.24737037204483</c:v>
                </c:pt>
                <c:pt idx="568">
                  <c:v>123.24737037204483</c:v>
                </c:pt>
                <c:pt idx="569">
                  <c:v>123.24737037204483</c:v>
                </c:pt>
                <c:pt idx="570">
                  <c:v>123.24737037204483</c:v>
                </c:pt>
                <c:pt idx="571">
                  <c:v>123.24737037204483</c:v>
                </c:pt>
                <c:pt idx="572">
                  <c:v>123.24737037204483</c:v>
                </c:pt>
                <c:pt idx="573">
                  <c:v>123.24737037204483</c:v>
                </c:pt>
                <c:pt idx="574">
                  <c:v>123.24737037204483</c:v>
                </c:pt>
                <c:pt idx="575">
                  <c:v>123.24737037204483</c:v>
                </c:pt>
                <c:pt idx="576">
                  <c:v>123.24737037204483</c:v>
                </c:pt>
                <c:pt idx="577">
                  <c:v>123.24737037204483</c:v>
                </c:pt>
                <c:pt idx="578">
                  <c:v>94.081084096418962</c:v>
                </c:pt>
                <c:pt idx="579">
                  <c:v>94.081084096418962</c:v>
                </c:pt>
                <c:pt idx="580">
                  <c:v>94.081084096418962</c:v>
                </c:pt>
                <c:pt idx="581">
                  <c:v>94.081084096418962</c:v>
                </c:pt>
                <c:pt idx="582">
                  <c:v>94.081084096418962</c:v>
                </c:pt>
                <c:pt idx="583">
                  <c:v>94.081084096418962</c:v>
                </c:pt>
                <c:pt idx="584">
                  <c:v>94.081084096418962</c:v>
                </c:pt>
                <c:pt idx="585">
                  <c:v>94.081084096418962</c:v>
                </c:pt>
                <c:pt idx="586">
                  <c:v>94.081084096418962</c:v>
                </c:pt>
                <c:pt idx="587">
                  <c:v>94.081084096418962</c:v>
                </c:pt>
                <c:pt idx="588">
                  <c:v>94.081084096418962</c:v>
                </c:pt>
                <c:pt idx="589">
                  <c:v>94.081084096418962</c:v>
                </c:pt>
                <c:pt idx="590">
                  <c:v>94.081084096418962</c:v>
                </c:pt>
                <c:pt idx="591">
                  <c:v>94.081084096418962</c:v>
                </c:pt>
                <c:pt idx="592">
                  <c:v>94.081084096418962</c:v>
                </c:pt>
                <c:pt idx="593">
                  <c:v>94.081084096418962</c:v>
                </c:pt>
                <c:pt idx="594">
                  <c:v>94.081084096418962</c:v>
                </c:pt>
                <c:pt idx="595">
                  <c:v>94.081084096418962</c:v>
                </c:pt>
                <c:pt idx="596">
                  <c:v>94.081084096418962</c:v>
                </c:pt>
                <c:pt idx="597">
                  <c:v>94.081084096418962</c:v>
                </c:pt>
                <c:pt idx="598">
                  <c:v>94.081084096418962</c:v>
                </c:pt>
                <c:pt idx="599">
                  <c:v>94.081084096418962</c:v>
                </c:pt>
                <c:pt idx="600">
                  <c:v>94.081084096418962</c:v>
                </c:pt>
                <c:pt idx="601">
                  <c:v>94.081084096418962</c:v>
                </c:pt>
                <c:pt idx="602">
                  <c:v>89.735088242023636</c:v>
                </c:pt>
                <c:pt idx="603">
                  <c:v>94.081084096418962</c:v>
                </c:pt>
                <c:pt idx="604">
                  <c:v>94.081084096418962</c:v>
                </c:pt>
                <c:pt idx="605">
                  <c:v>85.334210380966525</c:v>
                </c:pt>
                <c:pt idx="606">
                  <c:v>82.878699856966534</c:v>
                </c:pt>
                <c:pt idx="607">
                  <c:v>81.314931692968401</c:v>
                </c:pt>
                <c:pt idx="608">
                  <c:v>67.374158356966518</c:v>
                </c:pt>
                <c:pt idx="609">
                  <c:v>58.598271992964669</c:v>
                </c:pt>
                <c:pt idx="610">
                  <c:v>61.406867513274626</c:v>
                </c:pt>
                <c:pt idx="611">
                  <c:v>61.406867513274626</c:v>
                </c:pt>
                <c:pt idx="612">
                  <c:v>61.406867513274626</c:v>
                </c:pt>
                <c:pt idx="613">
                  <c:v>61.406867513274626</c:v>
                </c:pt>
                <c:pt idx="614">
                  <c:v>61.406867513274626</c:v>
                </c:pt>
                <c:pt idx="615">
                  <c:v>59.633907156917878</c:v>
                </c:pt>
                <c:pt idx="616">
                  <c:v>45.355526304921611</c:v>
                </c:pt>
                <c:pt idx="617">
                  <c:v>61.406867513274626</c:v>
                </c:pt>
                <c:pt idx="618">
                  <c:v>61.406867513274626</c:v>
                </c:pt>
                <c:pt idx="619">
                  <c:v>57.259591085395691</c:v>
                </c:pt>
                <c:pt idx="620">
                  <c:v>55.325938405397551</c:v>
                </c:pt>
                <c:pt idx="621">
                  <c:v>57.616556809397558</c:v>
                </c:pt>
                <c:pt idx="622">
                  <c:v>35.94605839339755</c:v>
                </c:pt>
                <c:pt idx="623">
                  <c:v>27.055958057395692</c:v>
                </c:pt>
                <c:pt idx="624">
                  <c:v>41.623953953399415</c:v>
                </c:pt>
                <c:pt idx="625">
                  <c:v>61.406867513274626</c:v>
                </c:pt>
                <c:pt idx="626">
                  <c:v>54.761214226402402</c:v>
                </c:pt>
                <c:pt idx="627">
                  <c:v>56.422797154402403</c:v>
                </c:pt>
                <c:pt idx="628">
                  <c:v>50.235002274402405</c:v>
                </c:pt>
                <c:pt idx="629">
                  <c:v>26.709860526407983</c:v>
                </c:pt>
                <c:pt idx="630">
                  <c:v>14.960270526402397</c:v>
                </c:pt>
                <c:pt idx="631">
                  <c:v>32.597704998404254</c:v>
                </c:pt>
                <c:pt idx="632">
                  <c:v>31.534556734404266</c:v>
                </c:pt>
                <c:pt idx="633">
                  <c:v>35.72570145258446</c:v>
                </c:pt>
                <c:pt idx="634">
                  <c:v>33.965078324582585</c:v>
                </c:pt>
                <c:pt idx="635">
                  <c:v>46.323746096584451</c:v>
                </c:pt>
                <c:pt idx="636">
                  <c:v>25.447826728584463</c:v>
                </c:pt>
                <c:pt idx="637">
                  <c:v>20.981961452582588</c:v>
                </c:pt>
                <c:pt idx="638">
                  <c:v>52.456011008584447</c:v>
                </c:pt>
                <c:pt idx="639">
                  <c:v>25.377234765527756</c:v>
                </c:pt>
                <c:pt idx="640">
                  <c:v>25.377234765527756</c:v>
                </c:pt>
                <c:pt idx="641">
                  <c:v>25.377234765527756</c:v>
                </c:pt>
                <c:pt idx="642">
                  <c:v>25.377234765527756</c:v>
                </c:pt>
                <c:pt idx="643">
                  <c:v>11.098656220543555</c:v>
                </c:pt>
                <c:pt idx="644">
                  <c:v>1.3804881365510009</c:v>
                </c:pt>
                <c:pt idx="645">
                  <c:v>1.5454278285491383</c:v>
                </c:pt>
                <c:pt idx="646">
                  <c:v>1.0118280485472788</c:v>
                </c:pt>
                <c:pt idx="647">
                  <c:v>14.250646552055375</c:v>
                </c:pt>
                <c:pt idx="648">
                  <c:v>25.377234765527756</c:v>
                </c:pt>
                <c:pt idx="649">
                  <c:v>25.377234765527756</c:v>
                </c:pt>
                <c:pt idx="650">
                  <c:v>18.573618852053507</c:v>
                </c:pt>
                <c:pt idx="651">
                  <c:v>4.7647492440572314</c:v>
                </c:pt>
                <c:pt idx="652">
                  <c:v>14.383819348053505</c:v>
                </c:pt>
                <c:pt idx="653">
                  <c:v>14.840918868053508</c:v>
                </c:pt>
                <c:pt idx="654">
                  <c:v>20.66964009515906</c:v>
                </c:pt>
                <c:pt idx="655">
                  <c:v>17.906403759159062</c:v>
                </c:pt>
                <c:pt idx="656">
                  <c:v>17.513657111160924</c:v>
                </c:pt>
                <c:pt idx="657">
                  <c:v>8.71834746716093</c:v>
                </c:pt>
                <c:pt idx="658">
                  <c:v>1.1173188071572004</c:v>
                </c:pt>
                <c:pt idx="659">
                  <c:v>8.8596250631609283</c:v>
                </c:pt>
                <c:pt idx="660">
                  <c:v>20.741516907159063</c:v>
                </c:pt>
                <c:pt idx="661">
                  <c:v>19.196713277743299</c:v>
                </c:pt>
                <c:pt idx="662">
                  <c:v>13.86639805774144</c:v>
                </c:pt>
                <c:pt idx="663">
                  <c:v>1.5784588417451668</c:v>
                </c:pt>
                <c:pt idx="664">
                  <c:v>2.4869694217433063</c:v>
                </c:pt>
                <c:pt idx="665">
                  <c:v>1.0667147097433045</c:v>
                </c:pt>
                <c:pt idx="666">
                  <c:v>1.4001761737470297</c:v>
                </c:pt>
                <c:pt idx="667">
                  <c:v>1.4504057937414401</c:v>
                </c:pt>
                <c:pt idx="668">
                  <c:v>13.403058501467727</c:v>
                </c:pt>
                <c:pt idx="669">
                  <c:v>16.69949162046214</c:v>
                </c:pt>
                <c:pt idx="670">
                  <c:v>13.888081484471455</c:v>
                </c:pt>
                <c:pt idx="671">
                  <c:v>8.5812111465864288E-2</c:v>
                </c:pt>
                <c:pt idx="672">
                  <c:v>0.15275280546400608</c:v>
                </c:pt>
                <c:pt idx="673">
                  <c:v>14.606396891514056</c:v>
                </c:pt>
                <c:pt idx="674">
                  <c:v>14.606396891514056</c:v>
                </c:pt>
                <c:pt idx="675">
                  <c:v>12.787871789703015</c:v>
                </c:pt>
                <c:pt idx="676">
                  <c:v>7.8448586297086003</c:v>
                </c:pt>
                <c:pt idx="677">
                  <c:v>11.806797509703014</c:v>
                </c:pt>
                <c:pt idx="678">
                  <c:v>0.29030902171046907</c:v>
                </c:pt>
                <c:pt idx="679">
                  <c:v>0.25155645370487761</c:v>
                </c:pt>
                <c:pt idx="680">
                  <c:v>9.6037572017030186</c:v>
                </c:pt>
                <c:pt idx="681">
                  <c:v>9.000305205708603</c:v>
                </c:pt>
                <c:pt idx="682">
                  <c:v>11.558907459160705</c:v>
                </c:pt>
                <c:pt idx="683">
                  <c:v>2.9691311511588427</c:v>
                </c:pt>
                <c:pt idx="684">
                  <c:v>0.95445991916070494</c:v>
                </c:pt>
                <c:pt idx="685">
                  <c:v>1.2213465361607085</c:v>
                </c:pt>
                <c:pt idx="686">
                  <c:v>0.7617259021625723</c:v>
                </c:pt>
                <c:pt idx="687">
                  <c:v>0.99938219916071103</c:v>
                </c:pt>
                <c:pt idx="688">
                  <c:v>1.1949965271569818</c:v>
                </c:pt>
                <c:pt idx="689">
                  <c:v>7.6044234437322231</c:v>
                </c:pt>
                <c:pt idx="690">
                  <c:v>8.306834943735943</c:v>
                </c:pt>
                <c:pt idx="691">
                  <c:v>10.12004469673222</c:v>
                </c:pt>
                <c:pt idx="692">
                  <c:v>14.606396891514056</c:v>
                </c:pt>
                <c:pt idx="693">
                  <c:v>13.580027154734081</c:v>
                </c:pt>
                <c:pt idx="694">
                  <c:v>8.3417917397322157</c:v>
                </c:pt>
                <c:pt idx="695">
                  <c:v>8.6844866127322167</c:v>
                </c:pt>
                <c:pt idx="696">
                  <c:v>12.330491062076938</c:v>
                </c:pt>
                <c:pt idx="697">
                  <c:v>1.4327027120769418</c:v>
                </c:pt>
                <c:pt idx="698">
                  <c:v>8.5578855480750793</c:v>
                </c:pt>
                <c:pt idx="699">
                  <c:v>11.674487226073216</c:v>
                </c:pt>
                <c:pt idx="700">
                  <c:v>5.8377010440769448</c:v>
                </c:pt>
                <c:pt idx="701">
                  <c:v>5.3697709075080639E-2</c:v>
                </c:pt>
                <c:pt idx="702">
                  <c:v>0.36050568907507841</c:v>
                </c:pt>
                <c:pt idx="703">
                  <c:v>3.8739321071034718</c:v>
                </c:pt>
                <c:pt idx="704">
                  <c:v>19.066637347101612</c:v>
                </c:pt>
                <c:pt idx="705">
                  <c:v>20.096931654918169</c:v>
                </c:pt>
                <c:pt idx="706">
                  <c:v>7.1113163381034754</c:v>
                </c:pt>
                <c:pt idx="707">
                  <c:v>14.431599771103473</c:v>
                </c:pt>
                <c:pt idx="708">
                  <c:v>20.096931654918169</c:v>
                </c:pt>
                <c:pt idx="709">
                  <c:v>20.096931654918169</c:v>
                </c:pt>
                <c:pt idx="710">
                  <c:v>12.969246855678655</c:v>
                </c:pt>
                <c:pt idx="711">
                  <c:v>15.327467231673065</c:v>
                </c:pt>
                <c:pt idx="712">
                  <c:v>20.096931654918169</c:v>
                </c:pt>
                <c:pt idx="713">
                  <c:v>20.096931654918169</c:v>
                </c:pt>
                <c:pt idx="714">
                  <c:v>13.399805775674926</c:v>
                </c:pt>
                <c:pt idx="715">
                  <c:v>18.213449891676792</c:v>
                </c:pt>
                <c:pt idx="716">
                  <c:v>19.13413580867493</c:v>
                </c:pt>
                <c:pt idx="717">
                  <c:v>13.690997182199659</c:v>
                </c:pt>
                <c:pt idx="718">
                  <c:v>9.2431778151996546</c:v>
                </c:pt>
                <c:pt idx="719">
                  <c:v>6.2823044591977961</c:v>
                </c:pt>
                <c:pt idx="720">
                  <c:v>3.1145610751977948</c:v>
                </c:pt>
                <c:pt idx="721">
                  <c:v>2.5861794472015207</c:v>
                </c:pt>
                <c:pt idx="722">
                  <c:v>1.4251420391977954</c:v>
                </c:pt>
                <c:pt idx="723">
                  <c:v>1.7883082552015257</c:v>
                </c:pt>
                <c:pt idx="724">
                  <c:v>11.920882709065394</c:v>
                </c:pt>
                <c:pt idx="725">
                  <c:v>20.096931654918169</c:v>
                </c:pt>
                <c:pt idx="726">
                  <c:v>20.096931654918169</c:v>
                </c:pt>
                <c:pt idx="727">
                  <c:v>20.096931654918169</c:v>
                </c:pt>
                <c:pt idx="728">
                  <c:v>5.630432829065394</c:v>
                </c:pt>
                <c:pt idx="729">
                  <c:v>17.630909821067259</c:v>
                </c:pt>
                <c:pt idx="730">
                  <c:v>20.096931654918169</c:v>
                </c:pt>
                <c:pt idx="731">
                  <c:v>27.612288014657359</c:v>
                </c:pt>
                <c:pt idx="732">
                  <c:v>29.546072014657359</c:v>
                </c:pt>
                <c:pt idx="733">
                  <c:v>31.593936014657395</c:v>
                </c:pt>
                <c:pt idx="734">
                  <c:v>0.85775501465736304</c:v>
                </c:pt>
                <c:pt idx="735">
                  <c:v>3.6786500146573964</c:v>
                </c:pt>
                <c:pt idx="736">
                  <c:v>17.845458014657392</c:v>
                </c:pt>
                <c:pt idx="737">
                  <c:v>42.799380014657366</c:v>
                </c:pt>
                <c:pt idx="738">
                  <c:v>37.039900689980414</c:v>
                </c:pt>
                <c:pt idx="739">
                  <c:v>8.5368846899804041</c:v>
                </c:pt>
                <c:pt idx="740">
                  <c:v>5.6381446899804066</c:v>
                </c:pt>
                <c:pt idx="741">
                  <c:v>4.5240996899804014</c:v>
                </c:pt>
                <c:pt idx="742">
                  <c:v>1.9573636899804041</c:v>
                </c:pt>
                <c:pt idx="743">
                  <c:v>12.225653689980405</c:v>
                </c:pt>
                <c:pt idx="744">
                  <c:v>16.737806689980395</c:v>
                </c:pt>
                <c:pt idx="745">
                  <c:v>21.284614570018459</c:v>
                </c:pt>
                <c:pt idx="746">
                  <c:v>13.450961570018503</c:v>
                </c:pt>
                <c:pt idx="747">
                  <c:v>14.515561570018493</c:v>
                </c:pt>
                <c:pt idx="748">
                  <c:v>12.328661570018498</c:v>
                </c:pt>
                <c:pt idx="749">
                  <c:v>1.3023615700185001</c:v>
                </c:pt>
                <c:pt idx="750">
                  <c:v>2.1778615700184965</c:v>
                </c:pt>
                <c:pt idx="751">
                  <c:v>6.0851615700184993</c:v>
                </c:pt>
                <c:pt idx="752">
                  <c:v>10.749830802430898</c:v>
                </c:pt>
                <c:pt idx="753">
                  <c:v>8.1420308024309023</c:v>
                </c:pt>
                <c:pt idx="754">
                  <c:v>38.5486308024309</c:v>
                </c:pt>
                <c:pt idx="755">
                  <c:v>34.435730802430903</c:v>
                </c:pt>
                <c:pt idx="756">
                  <c:v>13.617730802430899</c:v>
                </c:pt>
                <c:pt idx="757">
                  <c:v>33.994730802430901</c:v>
                </c:pt>
                <c:pt idx="758">
                  <c:v>34.509230802430899</c:v>
                </c:pt>
                <c:pt idx="759">
                  <c:v>43.297759148791698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E-4D38-9F4D-DEB0550779F3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5FA-AAF9-70FD8F87F533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E-4D38-9F4D-DEB0550779F3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C-45A2-BA2B-223AD0A4FE34}"/>
                </c:ext>
              </c:extLst>
            </c:dLbl>
            <c:dLbl>
              <c:idx val="10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E-4D38-9F4D-DEB0550779F3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E-4D38-9F4D-DEB0550779F3}"/>
                </c:ext>
              </c:extLst>
            </c:dLbl>
            <c:dLbl>
              <c:idx val="1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C-45A2-BA2B-223AD0A4FE34}"/>
                </c:ext>
              </c:extLst>
            </c:dLbl>
            <c:dLbl>
              <c:idx val="1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5FA-AAF9-70FD8F87F533}"/>
                </c:ext>
              </c:extLst>
            </c:dLbl>
            <c:dLbl>
              <c:idx val="1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E-4D38-9F4D-DEB0550779F3}"/>
                </c:ext>
              </c:extLst>
            </c:dLbl>
            <c:dLbl>
              <c:idx val="1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5FA-AAF9-70FD8F87F533}"/>
                </c:ext>
              </c:extLst>
            </c:dLbl>
            <c:dLbl>
              <c:idx val="1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6-4D07-9C23-0D84A3F95161}"/>
                </c:ext>
              </c:extLst>
            </c:dLbl>
            <c:dLbl>
              <c:idx val="2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34A-A271-9263D37E2FE2}"/>
                </c:ext>
              </c:extLst>
            </c:dLbl>
            <c:dLbl>
              <c:idx val="2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EE-4D38-9F4D-DEB0550779F3}"/>
                </c:ext>
              </c:extLst>
            </c:dLbl>
            <c:dLbl>
              <c:idx val="2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5FA-AAF9-70FD8F87F533}"/>
                </c:ext>
              </c:extLst>
            </c:dLbl>
            <c:dLbl>
              <c:idx val="2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EE-4D38-9F4D-DEB0550779F3}"/>
                </c:ext>
              </c:extLst>
            </c:dLbl>
            <c:dLbl>
              <c:idx val="2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C-45A2-BA2B-223AD0A4FE34}"/>
                </c:ext>
              </c:extLst>
            </c:dLbl>
            <c:dLbl>
              <c:idx val="2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6-4D07-9C23-0D84A3F95161}"/>
                </c:ext>
              </c:extLst>
            </c:dLbl>
            <c:dLbl>
              <c:idx val="3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E-4D38-9F4D-DEB0550779F3}"/>
                </c:ext>
              </c:extLst>
            </c:dLbl>
            <c:dLbl>
              <c:idx val="3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5FA-AAF9-70FD8F87F533}"/>
                </c:ext>
              </c:extLst>
            </c:dLbl>
            <c:dLbl>
              <c:idx val="40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E-4D38-9F4D-DEB0550779F3}"/>
                </c:ext>
              </c:extLst>
            </c:dLbl>
            <c:dLbl>
              <c:idx val="4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5FA-AAF9-70FD8F87F533}"/>
                </c:ext>
              </c:extLst>
            </c:dLbl>
            <c:dLbl>
              <c:idx val="4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E-4D38-9F4D-DEB0550779F3}"/>
                </c:ext>
              </c:extLst>
            </c:dLbl>
            <c:dLbl>
              <c:idx val="4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C-45A2-BA2B-223AD0A4FE34}"/>
                </c:ext>
              </c:extLst>
            </c:dLbl>
            <c:dLbl>
              <c:idx val="4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E-4D38-9F4D-DEB0550779F3}"/>
                </c:ext>
              </c:extLst>
            </c:dLbl>
            <c:dLbl>
              <c:idx val="4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EE-4D38-9F4D-DEB0550779F3}"/>
                </c:ext>
              </c:extLst>
            </c:dLbl>
            <c:dLbl>
              <c:idx val="5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C-45A2-BA2B-223AD0A4FE34}"/>
                </c:ext>
              </c:extLst>
            </c:dLbl>
            <c:dLbl>
              <c:idx val="5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5FA-AAF9-70FD8F87F533}"/>
                </c:ext>
              </c:extLst>
            </c:dLbl>
            <c:dLbl>
              <c:idx val="5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EE-4D38-9F4D-DEB0550779F3}"/>
                </c:ext>
              </c:extLst>
            </c:dLbl>
            <c:dLbl>
              <c:idx val="5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E-45FA-AAF9-70FD8F87F533}"/>
                </c:ext>
              </c:extLst>
            </c:dLbl>
            <c:dLbl>
              <c:idx val="5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6-4D07-9C23-0D84A3F95161}"/>
                </c:ext>
              </c:extLst>
            </c:dLbl>
            <c:dLbl>
              <c:idx val="5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34A-A271-9263D37E2FE2}"/>
                </c:ext>
              </c:extLst>
            </c:dLbl>
            <c:dLbl>
              <c:idx val="6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EE-4D38-9F4D-DEB0550779F3}"/>
                </c:ext>
              </c:extLst>
            </c:dLbl>
            <c:dLbl>
              <c:idx val="6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5FA-AAF9-70FD8F87F533}"/>
                </c:ext>
              </c:extLst>
            </c:dLbl>
            <c:dLbl>
              <c:idx val="6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EE-4D38-9F4D-DEB0550779F3}"/>
                </c:ext>
              </c:extLst>
            </c:dLbl>
            <c:dLbl>
              <c:idx val="6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2C-45A2-BA2B-223AD0A4FE34}"/>
                </c:ext>
              </c:extLst>
            </c:dLbl>
            <c:dLbl>
              <c:idx val="6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34A-A271-9263D37E2FE2}"/>
                </c:ext>
              </c:extLst>
            </c:dLbl>
            <c:dLbl>
              <c:idx val="6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6-4D07-9C23-0D84A3F95161}"/>
                </c:ext>
              </c:extLst>
            </c:dLbl>
            <c:dLbl>
              <c:idx val="7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EE-4D38-9F4D-DEB0550779F3}"/>
                </c:ext>
              </c:extLst>
            </c:dLbl>
            <c:dLbl>
              <c:idx val="7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5FA-AAF9-70FD8F87F533}"/>
                </c:ext>
              </c:extLst>
            </c:dLbl>
            <c:dLbl>
              <c:idx val="7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6-4D07-9C23-0D84A3F95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4563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'Data 6'!$G$52:$H$811</c:f>
              <c:multiLvlStrCache>
                <c:ptCount val="746"/>
                <c:lvl>
                  <c:pt idx="14">
                    <c:v>O</c:v>
                  </c:pt>
                  <c:pt idx="45">
                    <c:v>N</c:v>
                  </c:pt>
                  <c:pt idx="75">
                    <c:v>D</c:v>
                  </c:pt>
                  <c:pt idx="106">
                    <c:v>E</c:v>
                  </c:pt>
                  <c:pt idx="137">
                    <c:v>F</c:v>
                  </c:pt>
                  <c:pt idx="166">
                    <c:v>M</c:v>
                  </c:pt>
                  <c:pt idx="197">
                    <c:v>A</c:v>
                  </c:pt>
                  <c:pt idx="227">
                    <c:v>M</c:v>
                  </c:pt>
                  <c:pt idx="258">
                    <c:v>J</c:v>
                  </c:pt>
                  <c:pt idx="288">
                    <c:v>J</c:v>
                  </c:pt>
                  <c:pt idx="319">
                    <c:v>A</c:v>
                  </c:pt>
                  <c:pt idx="350">
                    <c:v>S</c:v>
                  </c:pt>
                  <c:pt idx="380">
                    <c:v>O</c:v>
                  </c:pt>
                  <c:pt idx="411">
                    <c:v>N</c:v>
                  </c:pt>
                  <c:pt idx="441">
                    <c:v>D</c:v>
                  </c:pt>
                  <c:pt idx="472">
                    <c:v>E</c:v>
                  </c:pt>
                  <c:pt idx="503">
                    <c:v>F</c:v>
                  </c:pt>
                  <c:pt idx="531">
                    <c:v>M</c:v>
                  </c:pt>
                  <c:pt idx="562">
                    <c:v>A</c:v>
                  </c:pt>
                  <c:pt idx="592">
                    <c:v>M</c:v>
                  </c:pt>
                  <c:pt idx="623">
                    <c:v>J</c:v>
                  </c:pt>
                  <c:pt idx="653">
                    <c:v>J</c:v>
                  </c:pt>
                  <c:pt idx="684">
                    <c:v>A</c:v>
                  </c:pt>
                  <c:pt idx="715">
                    <c:v>S</c:v>
                  </c:pt>
                  <c:pt idx="745">
                    <c:v>O</c:v>
                  </c:pt>
                </c:lvl>
                <c:lvl>
                  <c:pt idx="0">
                    <c:v>2023 </c:v>
                  </c:pt>
                  <c:pt idx="92">
                    <c:v>2024 </c:v>
                  </c:pt>
                  <c:pt idx="458">
                    <c:v>2025 </c:v>
                  </c:pt>
                </c:lvl>
              </c:multiLvlStrCache>
            </c:multiLvlStrRef>
          </c:cat>
          <c:val>
            <c:numRef>
              <c:f>'Data 6'!$I$52:$I$811</c:f>
              <c:numCache>
                <c:formatCode>0</c:formatCode>
                <c:ptCount val="760"/>
                <c:pt idx="14">
                  <c:v>40.400211353346023</c:v>
                </c:pt>
                <c:pt idx="45">
                  <c:v>80.938788836501317</c:v>
                </c:pt>
                <c:pt idx="75">
                  <c:v>105.77564059458246</c:v>
                </c:pt>
                <c:pt idx="106">
                  <c:v>117.80762382080276</c:v>
                </c:pt>
                <c:pt idx="137">
                  <c:v>123.31777659525035</c:v>
                </c:pt>
                <c:pt idx="166">
                  <c:v>124.28094877902988</c:v>
                </c:pt>
                <c:pt idx="197">
                  <c:v>120.54288292781465</c:v>
                </c:pt>
                <c:pt idx="227">
                  <c:v>94.661389583977851</c:v>
                </c:pt>
                <c:pt idx="258">
                  <c:v>62.145020957620687</c:v>
                </c:pt>
                <c:pt idx="288">
                  <c:v>25.910326049029329</c:v>
                </c:pt>
                <c:pt idx="319">
                  <c:v>15.363630405709555</c:v>
                </c:pt>
                <c:pt idx="350">
                  <c:v>19.885734840413747</c:v>
                </c:pt>
                <c:pt idx="380">
                  <c:v>40.505689176644211</c:v>
                </c:pt>
                <c:pt idx="411">
                  <c:v>82.040549235563063</c:v>
                </c:pt>
                <c:pt idx="441">
                  <c:v>104.34579689704225</c:v>
                </c:pt>
                <c:pt idx="472">
                  <c:v>119.24912559323448</c:v>
                </c:pt>
                <c:pt idx="503">
                  <c:v>124.45770390135006</c:v>
                </c:pt>
                <c:pt idx="531">
                  <c:v>129.67177197597073</c:v>
                </c:pt>
                <c:pt idx="562">
                  <c:v>123.24737037204483</c:v>
                </c:pt>
                <c:pt idx="592">
                  <c:v>94.081084096418962</c:v>
                </c:pt>
                <c:pt idx="623">
                  <c:v>61.406867513274626</c:v>
                </c:pt>
                <c:pt idx="653">
                  <c:v>25.377234765527756</c:v>
                </c:pt>
                <c:pt idx="684">
                  <c:v>14.606396891514056</c:v>
                </c:pt>
                <c:pt idx="715">
                  <c:v>20.096931654918169</c:v>
                </c:pt>
                <c:pt idx="745">
                  <c:v>43.333737750551208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13030.265303050002</c:v>
                </c:pt>
                <c:pt idx="1">
                  <c:v>13350.687899449997</c:v>
                </c:pt>
                <c:pt idx="2">
                  <c:v>13867.618216399997</c:v>
                </c:pt>
                <c:pt idx="3">
                  <c:v>13950.648185050002</c:v>
                </c:pt>
                <c:pt idx="4">
                  <c:v>14154.758919950002</c:v>
                </c:pt>
                <c:pt idx="5">
                  <c:v>13861.50749955</c:v>
                </c:pt>
                <c:pt idx="6">
                  <c:v>12411.383130949995</c:v>
                </c:pt>
                <c:pt idx="7">
                  <c:v>11082.055950350004</c:v>
                </c:pt>
                <c:pt idx="8">
                  <c:v>10288.729394799997</c:v>
                </c:pt>
                <c:pt idx="9">
                  <c:v>9948.8780525499988</c:v>
                </c:pt>
                <c:pt idx="10">
                  <c:v>11222.871138699997</c:v>
                </c:pt>
                <c:pt idx="11">
                  <c:v>13273.133537799993</c:v>
                </c:pt>
                <c:pt idx="12">
                  <c:v>13035.252519200001</c:v>
                </c:pt>
                <c:pt idx="13">
                  <c:v>13419.170344149999</c:v>
                </c:pt>
                <c:pt idx="14">
                  <c:v>13898.837668799999</c:v>
                </c:pt>
                <c:pt idx="15">
                  <c:v>13999.32071715</c:v>
                </c:pt>
                <c:pt idx="16">
                  <c:v>14194.180336200001</c:v>
                </c:pt>
                <c:pt idx="17">
                  <c:v>13918.899108600002</c:v>
                </c:pt>
                <c:pt idx="18">
                  <c:v>12486.880997399992</c:v>
                </c:pt>
                <c:pt idx="19">
                  <c:v>11155.732386300004</c:v>
                </c:pt>
                <c:pt idx="20">
                  <c:v>10360.471131599998</c:v>
                </c:pt>
                <c:pt idx="21">
                  <c:v>10037.671056599998</c:v>
                </c:pt>
                <c:pt idx="22">
                  <c:v>11248.176501599997</c:v>
                </c:pt>
                <c:pt idx="23">
                  <c:v>13212.158572249993</c:v>
                </c:pt>
                <c:pt idx="24">
                  <c:v>13040.239735350002</c:v>
                </c:pt>
                <c:pt idx="25">
                  <c:v>13487.652788849999</c:v>
                </c:pt>
                <c:pt idx="26">
                  <c:v>13930.057121199998</c:v>
                </c:pt>
                <c:pt idx="27">
                  <c:v>14047.993249249999</c:v>
                </c:pt>
                <c:pt idx="28">
                  <c:v>14233.601752450002</c:v>
                </c:pt>
                <c:pt idx="29">
                  <c:v>13976.290717650001</c:v>
                </c:pt>
                <c:pt idx="30">
                  <c:v>12562.378863849992</c:v>
                </c:pt>
                <c:pt idx="31">
                  <c:v>11229.408822250003</c:v>
                </c:pt>
                <c:pt idx="32">
                  <c:v>10432.212868399996</c:v>
                </c:pt>
                <c:pt idx="33">
                  <c:v>10126.464060649998</c:v>
                </c:pt>
                <c:pt idx="34">
                  <c:v>11273.481864499998</c:v>
                </c:pt>
                <c:pt idx="35">
                  <c:v>13151.183606699993</c:v>
                </c:pt>
                <c:pt idx="36">
                  <c:v>13045.226951500001</c:v>
                </c:pt>
                <c:pt idx="37">
                  <c:v>13556.135233550001</c:v>
                </c:pt>
                <c:pt idx="38">
                  <c:v>13961.2765736</c:v>
                </c:pt>
                <c:pt idx="39">
                  <c:v>14096.665781349997</c:v>
                </c:pt>
                <c:pt idx="40">
                  <c:v>14273.023168700001</c:v>
                </c:pt>
                <c:pt idx="41">
                  <c:v>14033.682326700004</c:v>
                </c:pt>
                <c:pt idx="42">
                  <c:v>12637.876730299991</c:v>
                </c:pt>
                <c:pt idx="43">
                  <c:v>11303.085258200004</c:v>
                </c:pt>
                <c:pt idx="44">
                  <c:v>10503.954605199997</c:v>
                </c:pt>
                <c:pt idx="45">
                  <c:v>10198.405590699997</c:v>
                </c:pt>
                <c:pt idx="46">
                  <c:v>11298.787227399998</c:v>
                </c:pt>
                <c:pt idx="47">
                  <c:v>13090.208641149995</c:v>
                </c:pt>
                <c:pt idx="48">
                  <c:v>13050.214167650001</c:v>
                </c:pt>
                <c:pt idx="49">
                  <c:v>13624.617678250001</c:v>
                </c:pt>
                <c:pt idx="50">
                  <c:v>13992.496025999999</c:v>
                </c:pt>
                <c:pt idx="51">
                  <c:v>14145.338313449998</c:v>
                </c:pt>
                <c:pt idx="52">
                  <c:v>14312.444584950004</c:v>
                </c:pt>
                <c:pt idx="53">
                  <c:v>14091.073935750002</c:v>
                </c:pt>
                <c:pt idx="54">
                  <c:v>12713.374596749991</c:v>
                </c:pt>
                <c:pt idx="55">
                  <c:v>11376.761694150005</c:v>
                </c:pt>
                <c:pt idx="56">
                  <c:v>10575.696341999996</c:v>
                </c:pt>
                <c:pt idx="57">
                  <c:v>10270.347120749997</c:v>
                </c:pt>
                <c:pt idx="58">
                  <c:v>11324.092590299999</c:v>
                </c:pt>
                <c:pt idx="59">
                  <c:v>13029.233675599995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5467.9549016999981</c:v>
                </c:pt>
                <c:pt idx="1">
                  <c:v>5578.6608586499988</c:v>
                </c:pt>
                <c:pt idx="2">
                  <c:v>5886.7781087999983</c:v>
                </c:pt>
                <c:pt idx="3">
                  <c:v>7160.980094999999</c:v>
                </c:pt>
                <c:pt idx="4">
                  <c:v>7197.9099209999968</c:v>
                </c:pt>
                <c:pt idx="5">
                  <c:v>6659.6807604989417</c:v>
                </c:pt>
                <c:pt idx="6">
                  <c:v>5800.1947457021333</c:v>
                </c:pt>
                <c:pt idx="7">
                  <c:v>5069.3133357481856</c:v>
                </c:pt>
                <c:pt idx="8">
                  <c:v>4739.6054379773832</c:v>
                </c:pt>
                <c:pt idx="9">
                  <c:v>4467.0470089624023</c:v>
                </c:pt>
                <c:pt idx="10">
                  <c:v>4812.1705738000001</c:v>
                </c:pt>
                <c:pt idx="11">
                  <c:v>5316.2767810999994</c:v>
                </c:pt>
                <c:pt idx="12">
                  <c:v>5477.0266986999977</c:v>
                </c:pt>
                <c:pt idx="13">
                  <c:v>5596.8493599999993</c:v>
                </c:pt>
                <c:pt idx="14">
                  <c:v>5950.5832111499976</c:v>
                </c:pt>
                <c:pt idx="15">
                  <c:v>7213.8650399999988</c:v>
                </c:pt>
                <c:pt idx="16">
                  <c:v>7275.1757219999972</c:v>
                </c:pt>
                <c:pt idx="17">
                  <c:v>6720.2938423489422</c:v>
                </c:pt>
                <c:pt idx="18">
                  <c:v>5861.5753199858218</c:v>
                </c:pt>
                <c:pt idx="19">
                  <c:v>5122.4186417062165</c:v>
                </c:pt>
                <c:pt idx="20">
                  <c:v>4769.6031145773832</c:v>
                </c:pt>
                <c:pt idx="21">
                  <c:v>4490.9091346624027</c:v>
                </c:pt>
                <c:pt idx="22">
                  <c:v>4818.1352348499995</c:v>
                </c:pt>
                <c:pt idx="23">
                  <c:v>5311.2606904000004</c:v>
                </c:pt>
                <c:pt idx="24">
                  <c:v>5486.0984956999982</c:v>
                </c:pt>
                <c:pt idx="25">
                  <c:v>5615.0378613499997</c:v>
                </c:pt>
                <c:pt idx="26">
                  <c:v>6014.3883134999978</c:v>
                </c:pt>
                <c:pt idx="27">
                  <c:v>7267.1733878570958</c:v>
                </c:pt>
                <c:pt idx="28">
                  <c:v>7325.0050030361872</c:v>
                </c:pt>
                <c:pt idx="29">
                  <c:v>6772.5070219186337</c:v>
                </c:pt>
                <c:pt idx="30">
                  <c:v>5915.1664204949993</c:v>
                </c:pt>
                <c:pt idx="31">
                  <c:v>5168.0545450397494</c:v>
                </c:pt>
                <c:pt idx="32">
                  <c:v>4785.5655401029526</c:v>
                </c:pt>
                <c:pt idx="33">
                  <c:v>4514.7712603624032</c:v>
                </c:pt>
                <c:pt idx="34">
                  <c:v>4824.0998959000008</c:v>
                </c:pt>
                <c:pt idx="35">
                  <c:v>5306.2445997000004</c:v>
                </c:pt>
                <c:pt idx="36">
                  <c:v>5495.1702926999978</c:v>
                </c:pt>
                <c:pt idx="37">
                  <c:v>5633.2263627000011</c:v>
                </c:pt>
                <c:pt idx="38">
                  <c:v>6078.193415849998</c:v>
                </c:pt>
                <c:pt idx="39">
                  <c:v>7320.4817357141919</c:v>
                </c:pt>
                <c:pt idx="40">
                  <c:v>7374.8342840723762</c:v>
                </c:pt>
                <c:pt idx="41">
                  <c:v>6824.7202014883251</c:v>
                </c:pt>
                <c:pt idx="42">
                  <c:v>5968.7575210041769</c:v>
                </c:pt>
                <c:pt idx="43">
                  <c:v>5213.6904483732833</c:v>
                </c:pt>
                <c:pt idx="44">
                  <c:v>4801.527965628522</c:v>
                </c:pt>
                <c:pt idx="45">
                  <c:v>4538.6333860624027</c:v>
                </c:pt>
                <c:pt idx="46">
                  <c:v>4803.1739069499999</c:v>
                </c:pt>
                <c:pt idx="47">
                  <c:v>5281.5086990000018</c:v>
                </c:pt>
                <c:pt idx="48">
                  <c:v>5504.2420896999975</c:v>
                </c:pt>
                <c:pt idx="49">
                  <c:v>5651.4148640500007</c:v>
                </c:pt>
                <c:pt idx="50">
                  <c:v>6141.9985181999982</c:v>
                </c:pt>
                <c:pt idx="51">
                  <c:v>7373.7900835712881</c:v>
                </c:pt>
                <c:pt idx="52">
                  <c:v>7424.6635651085671</c:v>
                </c:pt>
                <c:pt idx="53">
                  <c:v>6876.9333810580165</c:v>
                </c:pt>
                <c:pt idx="54">
                  <c:v>6022.3486215133544</c:v>
                </c:pt>
                <c:pt idx="55">
                  <c:v>5259.3263517068171</c:v>
                </c:pt>
                <c:pt idx="56">
                  <c:v>4817.4903911540914</c:v>
                </c:pt>
                <c:pt idx="57">
                  <c:v>4562.4955117624031</c:v>
                </c:pt>
                <c:pt idx="58">
                  <c:v>4782.2479179999991</c:v>
                </c:pt>
                <c:pt idx="59">
                  <c:v>5256.7727983000023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9460.7335985820428</c:v>
                </c:pt>
                <c:pt idx="1">
                  <c:v>10003.035437810451</c:v>
                </c:pt>
                <c:pt idx="2">
                  <c:v>10720.346582784256</c:v>
                </c:pt>
                <c:pt idx="3">
                  <c:v>11307.143756783118</c:v>
                </c:pt>
                <c:pt idx="4">
                  <c:v>11468.407586706651</c:v>
                </c:pt>
                <c:pt idx="5">
                  <c:v>10927.520460105234</c:v>
                </c:pt>
                <c:pt idx="6">
                  <c:v>9824.1360547772583</c:v>
                </c:pt>
                <c:pt idx="7">
                  <c:v>8745.5835792961407</c:v>
                </c:pt>
                <c:pt idx="8">
                  <c:v>7973.9046291740378</c:v>
                </c:pt>
                <c:pt idx="9">
                  <c:v>7820.7365874517254</c:v>
                </c:pt>
                <c:pt idx="10">
                  <c:v>8187.5351249509931</c:v>
                </c:pt>
                <c:pt idx="11">
                  <c:v>8633.7092310648623</c:v>
                </c:pt>
                <c:pt idx="12">
                  <c:v>9325.0652119229526</c:v>
                </c:pt>
                <c:pt idx="13">
                  <c:v>10034.297981343811</c:v>
                </c:pt>
                <c:pt idx="14">
                  <c:v>10651.382707382183</c:v>
                </c:pt>
                <c:pt idx="15">
                  <c:v>11224.845272938524</c:v>
                </c:pt>
                <c:pt idx="16">
                  <c:v>11376.573024106245</c:v>
                </c:pt>
                <c:pt idx="17">
                  <c:v>10871.053378959414</c:v>
                </c:pt>
                <c:pt idx="18">
                  <c:v>9714.3243532549059</c:v>
                </c:pt>
                <c:pt idx="19">
                  <c:v>8618.9540563929877</c:v>
                </c:pt>
                <c:pt idx="20">
                  <c:v>7853.1852055328782</c:v>
                </c:pt>
                <c:pt idx="21">
                  <c:v>7700.931035509464</c:v>
                </c:pt>
                <c:pt idx="22">
                  <c:v>8119.3286799822454</c:v>
                </c:pt>
                <c:pt idx="23">
                  <c:v>8643.2465402423641</c:v>
                </c:pt>
                <c:pt idx="24">
                  <c:v>9345.1985046020109</c:v>
                </c:pt>
                <c:pt idx="25">
                  <c:v>10020.752600659313</c:v>
                </c:pt>
                <c:pt idx="26">
                  <c:v>10628.434723363</c:v>
                </c:pt>
                <c:pt idx="27">
                  <c:v>11226.165030795621</c:v>
                </c:pt>
                <c:pt idx="28">
                  <c:v>11367.959959142432</c:v>
                </c:pt>
                <c:pt idx="29">
                  <c:v>10854.516130029104</c:v>
                </c:pt>
                <c:pt idx="30">
                  <c:v>9688.0502232640847</c:v>
                </c:pt>
                <c:pt idx="31">
                  <c:v>8576.9264407265182</c:v>
                </c:pt>
                <c:pt idx="32">
                  <c:v>7781.2152055584493</c:v>
                </c:pt>
                <c:pt idx="33">
                  <c:v>7613.3641368904337</c:v>
                </c:pt>
                <c:pt idx="34">
                  <c:v>7991.0891993394935</c:v>
                </c:pt>
                <c:pt idx="35">
                  <c:v>8518.007405024804</c:v>
                </c:pt>
                <c:pt idx="36">
                  <c:v>9256.8070597800142</c:v>
                </c:pt>
                <c:pt idx="37">
                  <c:v>9899.4168212792774</c:v>
                </c:pt>
                <c:pt idx="38">
                  <c:v>10511.775118190948</c:v>
                </c:pt>
                <c:pt idx="39">
                  <c:v>11066.351444386546</c:v>
                </c:pt>
                <c:pt idx="40">
                  <c:v>11196.411789447282</c:v>
                </c:pt>
                <c:pt idx="41">
                  <c:v>10706.264048059809</c:v>
                </c:pt>
                <c:pt idx="42">
                  <c:v>9551.05530403394</c:v>
                </c:pt>
                <c:pt idx="43">
                  <c:v>8444.0754629588773</c:v>
                </c:pt>
                <c:pt idx="44">
                  <c:v>7672.7940631912497</c:v>
                </c:pt>
                <c:pt idx="45">
                  <c:v>7534.5096632163304</c:v>
                </c:pt>
                <c:pt idx="46">
                  <c:v>7935.87371500469</c:v>
                </c:pt>
                <c:pt idx="47">
                  <c:v>8466.130292548356</c:v>
                </c:pt>
                <c:pt idx="48">
                  <c:v>9240.0485735656985</c:v>
                </c:pt>
                <c:pt idx="49">
                  <c:v>9933.6137851544518</c:v>
                </c:pt>
                <c:pt idx="50">
                  <c:v>10635.40697301189</c:v>
                </c:pt>
                <c:pt idx="51">
                  <c:v>11219.686175859746</c:v>
                </c:pt>
                <c:pt idx="52">
                  <c:v>11351.635380197906</c:v>
                </c:pt>
                <c:pt idx="53">
                  <c:v>10855.515463360101</c:v>
                </c:pt>
                <c:pt idx="54">
                  <c:v>9681.0422432915329</c:v>
                </c:pt>
                <c:pt idx="55">
                  <c:v>8548.0662227424091</c:v>
                </c:pt>
                <c:pt idx="56">
                  <c:v>7777.3659905532668</c:v>
                </c:pt>
                <c:pt idx="57">
                  <c:v>7669.2419293821104</c:v>
                </c:pt>
                <c:pt idx="58">
                  <c:v>8062.114649941509</c:v>
                </c:pt>
                <c:pt idx="59">
                  <c:v>8582.1752510786991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9758.5157368181899</c:v>
                </c:pt>
                <c:pt idx="1">
                  <c:v>12661.5058106672</c:v>
                </c:pt>
                <c:pt idx="2">
                  <c:v>12144.926731958538</c:v>
                </c:pt>
                <c:pt idx="3">
                  <c:v>11299.1892331082</c:v>
                </c:pt>
                <c:pt idx="4">
                  <c:v>11113.845787991901</c:v>
                </c:pt>
                <c:pt idx="5">
                  <c:v>10415.710777083699</c:v>
                </c:pt>
                <c:pt idx="6">
                  <c:v>8744.6750995529528</c:v>
                </c:pt>
                <c:pt idx="7">
                  <c:v>7124.7383119369397</c:v>
                </c:pt>
                <c:pt idx="8">
                  <c:v>6314.3165171768396</c:v>
                </c:pt>
                <c:pt idx="9">
                  <c:v>5952.5394311548098</c:v>
                </c:pt>
                <c:pt idx="10">
                  <c:v>5955.5060306251098</c:v>
                </c:pt>
                <c:pt idx="11">
                  <c:v>6678.5636735501203</c:v>
                </c:pt>
                <c:pt idx="12">
                  <c:v>7030.3147235812303</c:v>
                </c:pt>
                <c:pt idx="13">
                  <c:v>6849.7365063100897</c:v>
                </c:pt>
                <c:pt idx="14">
                  <c:v>7242.5224796164302</c:v>
                </c:pt>
                <c:pt idx="15">
                  <c:v>7896.3920571419603</c:v>
                </c:pt>
                <c:pt idx="16">
                  <c:v>7862.6649207238397</c:v>
                </c:pt>
                <c:pt idx="17">
                  <c:v>7336.6756913938698</c:v>
                </c:pt>
                <c:pt idx="18">
                  <c:v>6503.7333101836002</c:v>
                </c:pt>
                <c:pt idx="19">
                  <c:v>5663.3995666707096</c:v>
                </c:pt>
                <c:pt idx="20">
                  <c:v>4854.8048105114403</c:v>
                </c:pt>
                <c:pt idx="21">
                  <c:v>4989.2516276194901</c:v>
                </c:pt>
                <c:pt idx="22">
                  <c:v>5789.2389871449896</c:v>
                </c:pt>
                <c:pt idx="23">
                  <c:v>8226.3793556488708</c:v>
                </c:pt>
                <c:pt idx="24">
                  <c:v>10223.608293560101</c:v>
                </c:pt>
                <c:pt idx="25">
                  <c:v>9799.5666123993706</c:v>
                </c:pt>
                <c:pt idx="26">
                  <c:v>10212.192476558999</c:v>
                </c:pt>
                <c:pt idx="27">
                  <c:v>9885.1331418185291</c:v>
                </c:pt>
                <c:pt idx="28">
                  <c:v>9365.4005860970192</c:v>
                </c:pt>
                <c:pt idx="29">
                  <c:v>9135.7508606141801</c:v>
                </c:pt>
                <c:pt idx="30">
                  <c:v>8175.9128053970835</c:v>
                </c:pt>
                <c:pt idx="31">
                  <c:v>7267.4230046471803</c:v>
                </c:pt>
                <c:pt idx="32">
                  <c:v>7008.4596426560602</c:v>
                </c:pt>
                <c:pt idx="33">
                  <c:v>7614.13469651794</c:v>
                </c:pt>
                <c:pt idx="34">
                  <c:v>9142.8206733039697</c:v>
                </c:pt>
                <c:pt idx="35">
                  <c:v>9446.2258304710394</c:v>
                </c:pt>
                <c:pt idx="36">
                  <c:v>10688.2040657137</c:v>
                </c:pt>
                <c:pt idx="37">
                  <c:v>11221.4886575035</c:v>
                </c:pt>
                <c:pt idx="38">
                  <c:v>13037.077126418901</c:v>
                </c:pt>
                <c:pt idx="39">
                  <c:v>13948.444329464</c:v>
                </c:pt>
                <c:pt idx="40">
                  <c:v>14172.663355012501</c:v>
                </c:pt>
                <c:pt idx="41">
                  <c:v>13422.185926005801</c:v>
                </c:pt>
                <c:pt idx="42">
                  <c:v>11989.9537651518</c:v>
                </c:pt>
                <c:pt idx="43">
                  <c:v>10414.1239856706</c:v>
                </c:pt>
                <c:pt idx="44">
                  <c:v>9721.2123072402792</c:v>
                </c:pt>
                <c:pt idx="45">
                  <c:v>10172.0387333156</c:v>
                </c:pt>
                <c:pt idx="46">
                  <c:v>9729.7201887363699</c:v>
                </c:pt>
                <c:pt idx="47">
                  <c:v>9697.9008206068702</c:v>
                </c:pt>
                <c:pt idx="48">
                  <c:v>10662.1502703717</c:v>
                </c:pt>
                <c:pt idx="49">
                  <c:v>11118.121739063799</c:v>
                </c:pt>
                <c:pt idx="50">
                  <c:v>13574.769505443999</c:v>
                </c:pt>
                <c:pt idx="51">
                  <c:v>14969.985800696601</c:v>
                </c:pt>
                <c:pt idx="52">
                  <c:v>15463.717740821099</c:v>
                </c:pt>
                <c:pt idx="53">
                  <c:v>14590.258003320499</c:v>
                </c:pt>
                <c:pt idx="54">
                  <c:v>13127.2878467726</c:v>
                </c:pt>
                <c:pt idx="55">
                  <c:v>11592.3052743925</c:v>
                </c:pt>
                <c:pt idx="56">
                  <c:v>10461.9403252879</c:v>
                </c:pt>
                <c:pt idx="57">
                  <c:v>9269.4509272739197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52.640405448971414</c:v>
                </c:pt>
                <c:pt idx="1">
                  <c:v>68.300017896507143</c:v>
                </c:pt>
                <c:pt idx="2">
                  <c:v>65.513433042513086</c:v>
                </c:pt>
                <c:pt idx="3">
                  <c:v>60.951267438279856</c:v>
                </c:pt>
                <c:pt idx="4">
                  <c:v>59.951468456410062</c:v>
                </c:pt>
                <c:pt idx="5">
                  <c:v>56.185515618554369</c:v>
                </c:pt>
                <c:pt idx="6">
                  <c:v>47.171440327059663</c:v>
                </c:pt>
                <c:pt idx="7">
                  <c:v>38.433008007882478</c:v>
                </c:pt>
                <c:pt idx="8">
                  <c:v>34.061346065493218</c:v>
                </c:pt>
                <c:pt idx="9">
                  <c:v>32.109810298788958</c:v>
                </c:pt>
                <c:pt idx="10">
                  <c:v>32.125813039690641</c:v>
                </c:pt>
                <c:pt idx="11">
                  <c:v>36.026206143832987</c:v>
                </c:pt>
                <c:pt idx="12">
                  <c:v>37.923658419375087</c:v>
                </c:pt>
                <c:pt idx="13">
                  <c:v>36.949564527561094</c:v>
                </c:pt>
                <c:pt idx="14">
                  <c:v>39.068371674789844</c:v>
                </c:pt>
                <c:pt idx="15">
                  <c:v>42.595543285717049</c:v>
                </c:pt>
                <c:pt idx="16">
                  <c:v>42.413608841631039</c:v>
                </c:pt>
                <c:pt idx="17">
                  <c:v>39.576262769701714</c:v>
                </c:pt>
                <c:pt idx="18">
                  <c:v>35.083117926258886</c:v>
                </c:pt>
                <c:pt idx="19">
                  <c:v>30.550101823812785</c:v>
                </c:pt>
                <c:pt idx="20">
                  <c:v>26.188295483987741</c:v>
                </c:pt>
                <c:pt idx="21">
                  <c:v>26.913542555854331</c:v>
                </c:pt>
                <c:pt idx="22">
                  <c:v>31.228917977199405</c:v>
                </c:pt>
                <c:pt idx="23">
                  <c:v>44.375595258259992</c:v>
                </c:pt>
                <c:pt idx="24">
                  <c:v>55.149256325321552</c:v>
                </c:pt>
                <c:pt idx="25">
                  <c:v>52.861846372253993</c:v>
                </c:pt>
                <c:pt idx="26">
                  <c:v>55.087675932188404</c:v>
                </c:pt>
                <c:pt idx="27">
                  <c:v>53.323418287795576</c:v>
                </c:pt>
                <c:pt idx="28">
                  <c:v>50.51982261852929</c:v>
                </c:pt>
                <c:pt idx="29">
                  <c:v>49.281022068661727</c:v>
                </c:pt>
                <c:pt idx="30">
                  <c:v>44.103363318638081</c:v>
                </c:pt>
                <c:pt idx="31">
                  <c:v>39.202692689261895</c:v>
                </c:pt>
                <c:pt idx="32">
                  <c:v>37.805765457776381</c:v>
                </c:pt>
                <c:pt idx="33">
                  <c:v>41.07296113235266</c:v>
                </c:pt>
                <c:pt idx="34">
                  <c:v>49.319158791138349</c:v>
                </c:pt>
                <c:pt idx="35">
                  <c:v>50.955818598769199</c:v>
                </c:pt>
                <c:pt idx="36">
                  <c:v>57.655427394326523</c:v>
                </c:pt>
                <c:pt idx="37">
                  <c:v>60.532126872874201</c:v>
                </c:pt>
                <c:pt idx="38">
                  <c:v>70.325963938852652</c:v>
                </c:pt>
                <c:pt idx="39">
                  <c:v>75.242156152406579</c:v>
                </c:pt>
                <c:pt idx="40">
                  <c:v>76.451661853126467</c:v>
                </c:pt>
                <c:pt idx="41">
                  <c:v>72.403358073263405</c:v>
                </c:pt>
                <c:pt idx="42">
                  <c:v>64.677461668756152</c:v>
                </c:pt>
                <c:pt idx="43">
                  <c:v>56.176955982478439</c:v>
                </c:pt>
                <c:pt idx="44">
                  <c:v>52.439179390564853</c:v>
                </c:pt>
                <c:pt idx="45">
                  <c:v>54.871074413921491</c:v>
                </c:pt>
                <c:pt idx="46">
                  <c:v>52.485073494088837</c:v>
                </c:pt>
                <c:pt idx="47">
                  <c:v>52.313430133085959</c:v>
                </c:pt>
                <c:pt idx="48">
                  <c:v>57.514885288613357</c:v>
                </c:pt>
                <c:pt idx="49">
                  <c:v>59.974534238561283</c:v>
                </c:pt>
                <c:pt idx="50">
                  <c:v>73.226440363962354</c:v>
                </c:pt>
                <c:pt idx="51">
                  <c:v>80.752661917718413</c:v>
                </c:pt>
                <c:pt idx="52">
                  <c:v>83.416002349009773</c:v>
                </c:pt>
                <c:pt idx="53">
                  <c:v>78.704294547801112</c:v>
                </c:pt>
                <c:pt idx="54">
                  <c:v>70.812588034497224</c:v>
                </c:pt>
                <c:pt idx="55">
                  <c:v>62.532424621701466</c:v>
                </c:pt>
                <c:pt idx="56">
                  <c:v>56.434891878922564</c:v>
                </c:pt>
                <c:pt idx="57">
                  <c:v>50.002240941217238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Dat_01!$H$34:$H$35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Dat_01!$J$34:$J$35</c:f>
              <c:numCache>
                <c:formatCode>0.00%</c:formatCode>
                <c:ptCount val="2"/>
                <c:pt idx="0">
                  <c:v>0.99059479984354704</c:v>
                </c:pt>
                <c:pt idx="1">
                  <c:v>9.4052001564529624E-3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Dat_01!$M$34:$M$35</c:f>
              <c:numCache>
                <c:formatCode>0.00%</c:formatCode>
                <c:ptCount val="2"/>
                <c:pt idx="0">
                  <c:v>9.4052001564529641E-3</c:v>
                </c:pt>
                <c:pt idx="1">
                  <c:v>0.99059479984354704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Dat_01!$A$306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Dat_01!$B$306:$N$306</c:f>
              <c:numCache>
                <c:formatCode>#,##0</c:formatCode>
                <c:ptCount val="13"/>
                <c:pt idx="0">
                  <c:v>342.149331781</c:v>
                </c:pt>
                <c:pt idx="1">
                  <c:v>271.09658006799998</c:v>
                </c:pt>
                <c:pt idx="2">
                  <c:v>360.07399197500001</c:v>
                </c:pt>
                <c:pt idx="3">
                  <c:v>421.15504131700004</c:v>
                </c:pt>
                <c:pt idx="4">
                  <c:v>369.71125963199995</c:v>
                </c:pt>
                <c:pt idx="5">
                  <c:v>427.20047939599999</c:v>
                </c:pt>
                <c:pt idx="6">
                  <c:v>577.54555771599996</c:v>
                </c:pt>
                <c:pt idx="7">
                  <c:v>633.52210317599997</c:v>
                </c:pt>
                <c:pt idx="8">
                  <c:v>477.81539258399999</c:v>
                </c:pt>
                <c:pt idx="9">
                  <c:v>535.558985431</c:v>
                </c:pt>
                <c:pt idx="10">
                  <c:v>576.04233984199993</c:v>
                </c:pt>
                <c:pt idx="11">
                  <c:v>539.44868499999995</c:v>
                </c:pt>
                <c:pt idx="12">
                  <c:v>445.82761717200003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Dat_01!$A$309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Dat_01!$B$309:$N$309</c:f>
              <c:numCache>
                <c:formatCode>#,##0</c:formatCode>
                <c:ptCount val="13"/>
                <c:pt idx="0">
                  <c:v>-529.37801513800002</c:v>
                </c:pt>
                <c:pt idx="1">
                  <c:v>-421.11134351999999</c:v>
                </c:pt>
                <c:pt idx="2">
                  <c:v>-575.27974103200006</c:v>
                </c:pt>
                <c:pt idx="3">
                  <c:v>-754.48939200000007</c:v>
                </c:pt>
                <c:pt idx="4">
                  <c:v>-511.88541005600001</c:v>
                </c:pt>
                <c:pt idx="5">
                  <c:v>-780.28395513400005</c:v>
                </c:pt>
                <c:pt idx="6">
                  <c:v>-964.00029409699994</c:v>
                </c:pt>
                <c:pt idx="7">
                  <c:v>-937.544506953</c:v>
                </c:pt>
                <c:pt idx="8">
                  <c:v>-719.51749088199995</c:v>
                </c:pt>
                <c:pt idx="9">
                  <c:v>-804.20593897100002</c:v>
                </c:pt>
                <c:pt idx="10">
                  <c:v>-847.07303735999994</c:v>
                </c:pt>
                <c:pt idx="11">
                  <c:v>-801.19940600000007</c:v>
                </c:pt>
                <c:pt idx="12">
                  <c:v>-805.44351199999994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Dat_01!$A$310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Dat_01!$B$302:$N$302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Dat_01!$B$310:$N$310</c:f>
              <c:numCache>
                <c:formatCode>#,##0</c:formatCode>
                <c:ptCount val="13"/>
                <c:pt idx="0">
                  <c:v>-187.22868335700002</c:v>
                </c:pt>
                <c:pt idx="1">
                  <c:v>-150.01476345200001</c:v>
                </c:pt>
                <c:pt idx="2">
                  <c:v>-215.20574905700005</c:v>
                </c:pt>
                <c:pt idx="3">
                  <c:v>-333.33435068300003</c:v>
                </c:pt>
                <c:pt idx="4">
                  <c:v>-142.17415042400006</c:v>
                </c:pt>
                <c:pt idx="5">
                  <c:v>-353.08347573800006</c:v>
                </c:pt>
                <c:pt idx="6">
                  <c:v>-386.45473638099998</c:v>
                </c:pt>
                <c:pt idx="7">
                  <c:v>-304.02240377700002</c:v>
                </c:pt>
                <c:pt idx="8">
                  <c:v>-241.70209829799995</c:v>
                </c:pt>
                <c:pt idx="9">
                  <c:v>-268.64695354000003</c:v>
                </c:pt>
                <c:pt idx="10">
                  <c:v>-271.03069751800001</c:v>
                </c:pt>
                <c:pt idx="11">
                  <c:v>-261.75072100000011</c:v>
                </c:pt>
                <c:pt idx="12">
                  <c:v>-359.61589482799991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Dat_01!$A$136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Dat_01!$N$136:$Z$136</c:f>
              <c:numCache>
                <c:formatCode>#,##0.0</c:formatCode>
                <c:ptCount val="13"/>
                <c:pt idx="0">
                  <c:v>341.07852178100001</c:v>
                </c:pt>
                <c:pt idx="1">
                  <c:v>269.729903068</c:v>
                </c:pt>
                <c:pt idx="2">
                  <c:v>359.481327975</c:v>
                </c:pt>
                <c:pt idx="3">
                  <c:v>420.38307831700001</c:v>
                </c:pt>
                <c:pt idx="4">
                  <c:v>369.20445063199998</c:v>
                </c:pt>
                <c:pt idx="5">
                  <c:v>426.792561396</c:v>
                </c:pt>
                <c:pt idx="6">
                  <c:v>577.09596771600002</c:v>
                </c:pt>
                <c:pt idx="7">
                  <c:v>632.717653176</c:v>
                </c:pt>
                <c:pt idx="8">
                  <c:v>477.09177458400001</c:v>
                </c:pt>
                <c:pt idx="9">
                  <c:v>534.74221343099998</c:v>
                </c:pt>
                <c:pt idx="10">
                  <c:v>575.76503984199996</c:v>
                </c:pt>
                <c:pt idx="11">
                  <c:v>539.29246899999998</c:v>
                </c:pt>
                <c:pt idx="12">
                  <c:v>445.68601117200001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1A-9FC2-7EC87B08C31E}"/>
            </c:ext>
          </c:extLst>
        </c:ser>
        <c:ser>
          <c:idx val="3"/>
          <c:order val="1"/>
          <c:tx>
            <c:strRef>
              <c:f>Dat_01!$A$137</c:f>
              <c:strCache>
                <c:ptCount val="1"/>
                <c:pt idx="0">
                  <c:v>Consumo de bombeo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Dat_01!$N$137:$Z$137</c:f>
              <c:numCache>
                <c:formatCode>#,##0.0</c:formatCode>
                <c:ptCount val="13"/>
                <c:pt idx="0">
                  <c:v>-528.09072713800003</c:v>
                </c:pt>
                <c:pt idx="1">
                  <c:v>-419.49846351999997</c:v>
                </c:pt>
                <c:pt idx="2">
                  <c:v>-574.54055303200005</c:v>
                </c:pt>
                <c:pt idx="3">
                  <c:v>-753.55384100000003</c:v>
                </c:pt>
                <c:pt idx="4">
                  <c:v>-511.27236605600001</c:v>
                </c:pt>
                <c:pt idx="5">
                  <c:v>-779.77098613400005</c:v>
                </c:pt>
                <c:pt idx="6">
                  <c:v>-963.43647009699998</c:v>
                </c:pt>
                <c:pt idx="7">
                  <c:v>-936.56374595299997</c:v>
                </c:pt>
                <c:pt idx="8">
                  <c:v>-718.62000988199998</c:v>
                </c:pt>
                <c:pt idx="9">
                  <c:v>-803.21347497099998</c:v>
                </c:pt>
                <c:pt idx="10">
                  <c:v>-846.41290735999996</c:v>
                </c:pt>
                <c:pt idx="11">
                  <c:v>-800.84792800000002</c:v>
                </c:pt>
                <c:pt idx="12">
                  <c:v>-805.18894399999999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1-411A-9FC2-7EC87B08C31E}"/>
            </c:ext>
          </c:extLst>
        </c:ser>
        <c:ser>
          <c:idx val="5"/>
          <c:order val="2"/>
          <c:tx>
            <c:strRef>
              <c:f>Dat_01!$A$138</c:f>
              <c:strCache>
                <c:ptCount val="1"/>
                <c:pt idx="0">
                  <c:v>Entrega batería</c:v>
                </c:pt>
              </c:strCache>
            </c:strRef>
          </c:tx>
          <c:spPr>
            <a:solidFill>
              <a:srgbClr val="03738B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Dat_01!$N$138:$Z$138</c:f>
              <c:numCache>
                <c:formatCode>#,##0.0</c:formatCode>
                <c:ptCount val="13"/>
                <c:pt idx="0">
                  <c:v>1.07081</c:v>
                </c:pt>
                <c:pt idx="1">
                  <c:v>1.3666769999999999</c:v>
                </c:pt>
                <c:pt idx="2">
                  <c:v>0.59266399999999997</c:v>
                </c:pt>
                <c:pt idx="3">
                  <c:v>0.77196299999999995</c:v>
                </c:pt>
                <c:pt idx="4">
                  <c:v>0.50680899999999995</c:v>
                </c:pt>
                <c:pt idx="5">
                  <c:v>0.407918</c:v>
                </c:pt>
                <c:pt idx="6">
                  <c:v>0.44958999999999999</c:v>
                </c:pt>
                <c:pt idx="7">
                  <c:v>0.80445</c:v>
                </c:pt>
                <c:pt idx="8">
                  <c:v>0.72361799999999998</c:v>
                </c:pt>
                <c:pt idx="9">
                  <c:v>0.81677200000000005</c:v>
                </c:pt>
                <c:pt idx="10">
                  <c:v>0.27729999999999999</c:v>
                </c:pt>
                <c:pt idx="11">
                  <c:v>0.15621599999999999</c:v>
                </c:pt>
                <c:pt idx="12">
                  <c:v>0.14160600000000001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1-411A-9FC2-7EC87B08C31E}"/>
            </c:ext>
          </c:extLst>
        </c:ser>
        <c:ser>
          <c:idx val="4"/>
          <c:order val="3"/>
          <c:tx>
            <c:strRef>
              <c:f>Dat_01!$A$139</c:f>
              <c:strCache>
                <c:ptCount val="1"/>
                <c:pt idx="0">
                  <c:v>Carga batería</c:v>
                </c:pt>
              </c:strCache>
            </c:strRef>
          </c:tx>
          <c:spPr>
            <a:solidFill>
              <a:srgbClr val="08B2AD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Dat_01!$N$139:$Z$139</c:f>
              <c:numCache>
                <c:formatCode>#,##0.0</c:formatCode>
                <c:ptCount val="13"/>
                <c:pt idx="0">
                  <c:v>-1.287288</c:v>
                </c:pt>
                <c:pt idx="1">
                  <c:v>-1.6128800000000001</c:v>
                </c:pt>
                <c:pt idx="2">
                  <c:v>-0.73918799999999996</c:v>
                </c:pt>
                <c:pt idx="3">
                  <c:v>-0.93555100000000002</c:v>
                </c:pt>
                <c:pt idx="4">
                  <c:v>-0.61304400000000003</c:v>
                </c:pt>
                <c:pt idx="5">
                  <c:v>-0.51296900000000001</c:v>
                </c:pt>
                <c:pt idx="6">
                  <c:v>-0.56382399999999999</c:v>
                </c:pt>
                <c:pt idx="7">
                  <c:v>-0.98076099999999999</c:v>
                </c:pt>
                <c:pt idx="8">
                  <c:v>-0.89748099999999997</c:v>
                </c:pt>
                <c:pt idx="9">
                  <c:v>-0.99246400000000001</c:v>
                </c:pt>
                <c:pt idx="10">
                  <c:v>-0.66012999999999999</c:v>
                </c:pt>
                <c:pt idx="11">
                  <c:v>-0.35147800000000001</c:v>
                </c:pt>
                <c:pt idx="12">
                  <c:v>-0.25456800000000002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Dat_01!$A$176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Dat_01!$B$176:$N$176</c:f>
              <c:numCache>
                <c:formatCode>0_)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40989041905719"/>
          <c:y val="1.9083847627154715E-2"/>
          <c:w val="0.8801163830097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1C1B-446F-8827-FDC6DBD8198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1C1B-446F-8827-FDC6DBD81982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13658536585365855"/>
                  <c:y val="-5.8823529411764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9005902310991613"/>
                  <c:y val="-5.71151767793731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18340695217975"/>
                      <c:h val="0.15914234985332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24132855546564946"/>
                  <c:y val="-4.06236962870255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5528455284553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C1B-446F-8827-FDC6DBD81982}"/>
                </c:ext>
              </c:extLst>
            </c:dLbl>
            <c:dLbl>
              <c:idx val="4"/>
              <c:layout>
                <c:manualLayout>
                  <c:x val="0.1944745058526452"/>
                  <c:y val="5.882381310110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0.22294274234677999"/>
                  <c:y val="0.1280940059171048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9369331679841"/>
                      <c:h val="0.1268683719448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3.1474149222808251E-2"/>
                  <c:y val="0.1793784989304082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00036356935459"/>
                      <c:h val="0.13522104895847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9.4682175638861082E-2"/>
                  <c:y val="0.162672196683507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4966799766142977"/>
                  <c:y val="1.0578818990382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6585365853658537"/>
                  <c:y val="-8.3169101694658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0.11382113821138218"/>
                  <c:y val="-0.14312957990077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C1B-446F-8827-FDC6DBD819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Dat_01!$A$51:$A$62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Dat_01!$C$51:$C$62</c:f>
              <c:numCache>
                <c:formatCode>#,##0.0</c:formatCode>
                <c:ptCount val="12"/>
                <c:pt idx="0">
                  <c:v>17.905863784557535</c:v>
                </c:pt>
                <c:pt idx="1">
                  <c:v>9.4993068362299843E-2</c:v>
                </c:pt>
                <c:pt idx="2">
                  <c:v>21.90159450754561</c:v>
                </c:pt>
                <c:pt idx="3">
                  <c:v>1.0094951049653624</c:v>
                </c:pt>
                <c:pt idx="4">
                  <c:v>6.575158037934016</c:v>
                </c:pt>
                <c:pt idx="5">
                  <c:v>0.43198905585626302</c:v>
                </c:pt>
                <c:pt idx="6">
                  <c:v>0.25092402865299979</c:v>
                </c:pt>
                <c:pt idx="7">
                  <c:v>21.093276022894514</c:v>
                </c:pt>
                <c:pt idx="8">
                  <c:v>8.6071172325738061</c:v>
                </c:pt>
                <c:pt idx="9">
                  <c:v>19.342469791750673</c:v>
                </c:pt>
                <c:pt idx="10">
                  <c:v>1.1938183564736149</c:v>
                </c:pt>
                <c:pt idx="11">
                  <c:v>1.5933010084333059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Dat_01!$J$51:$J$52</c:f>
              <c:numCache>
                <c:formatCode>0.00%</c:formatCode>
                <c:ptCount val="2"/>
                <c:pt idx="0">
                  <c:v>0.99968237499305612</c:v>
                </c:pt>
                <c:pt idx="1">
                  <c:v>3.1762500694381269E-4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Dat_01!$M$51:$M$52</c:f>
              <c:numCache>
                <c:formatCode>0.00%</c:formatCode>
                <c:ptCount val="2"/>
                <c:pt idx="0">
                  <c:v>3.1762500694387796E-4</c:v>
                </c:pt>
                <c:pt idx="1">
                  <c:v>0.99968237499305623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Dat_01!$J$58:$J$59</c:f>
              <c:numCache>
                <c:formatCode>0.00%</c:formatCode>
                <c:ptCount val="2"/>
                <c:pt idx="0">
                  <c:v>0.9996839405914788</c:v>
                </c:pt>
                <c:pt idx="1">
                  <c:v>3.1605940852125214E-4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Dat_01!$M$58:$M$59</c:f>
              <c:numCache>
                <c:formatCode>0.00%</c:formatCode>
                <c:ptCount val="2"/>
                <c:pt idx="0">
                  <c:v>3.1605940852119652E-4</c:v>
                </c:pt>
                <c:pt idx="1">
                  <c:v>0.99968394059147869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4426352098675E-2"/>
          <c:y val="1.9491313585801775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1083634067624943"/>
                  <c:y val="8.0558386084092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20745898194112952"/>
                  <c:y val="-0.10954299830168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Dat_01!$E$34:$E$35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Dat_01!$F$34:$F$35</c:f>
              <c:numCache>
                <c:formatCode>#,##0.0</c:formatCode>
                <c:ptCount val="2"/>
                <c:pt idx="0">
                  <c:v>30.238750486097711</c:v>
                </c:pt>
                <c:pt idx="1">
                  <c:v>69.761249513902285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479139364685E-2"/>
          <c:y val="1.949169521748712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4561443302405078"/>
                  <c:y val="-0.101242181175951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3391880454833039"/>
                  <c:y val="6.47232073090099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Dat_01!$E$51:$E$52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Dat_01!$F$51:$F$52</c:f>
              <c:numCache>
                <c:formatCode>#,##0.0</c:formatCode>
                <c:ptCount val="2"/>
                <c:pt idx="0">
                  <c:v>47.919093559221089</c:v>
                </c:pt>
                <c:pt idx="1">
                  <c:v>52.080906440778911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Dat_01!$B$94</c:f>
          <c:strCache>
            <c:ptCount val="1"/>
            <c:pt idx="0">
              <c:v>Mes 22/10/2025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Dat_01!$A$112:$A$113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8.7755546669947559E-2"/>
                  <c:y val="0.11784406070120361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0.10081944102690282"/>
                  <c:y val="-8.221238828662910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Dat_01!$B$112:$B$113</c:f>
              <c:numCache>
                <c:formatCode>#,##0.0</c:formatCode>
                <c:ptCount val="2"/>
                <c:pt idx="0">
                  <c:v>32.691341058506055</c:v>
                </c:pt>
                <c:pt idx="1">
                  <c:v>67.308658941493945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D-925E-4294-A267-0F815BF72F3E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3315826964172267"/>
                  <c:y val="-5.46182903607637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3462426693733595"/>
                  <c:y val="-1.575998055188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9660332800697"/>
                      <c:h val="0.16528022232515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361451156496063"/>
                  <c:y val="5.6080215247819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1924673966535433"/>
                  <c:y val="0.189357923666135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1.7818164575131114E-2"/>
                  <c:y val="0.3119801645673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1.372383330132514E-2"/>
                  <c:y val="0.10819110279999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1556244344762528"/>
                  <c:y val="7.1966445370799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9234321173720473"/>
                  <c:y val="3.77614886051331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0.18263849945586072"/>
                  <c:y val="-2.12076286735795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5.3658536585365915E-2"/>
                  <c:y val="-8.521987623609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5E-4294-A267-0F815BF72F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Dat_01!$B$97:$B$108</c:f>
              <c:numCache>
                <c:formatCode>_-* #,##0.0\ _€_-;\-* #,##0.0\ _€_-;_-* "-"??\ _€_-;_-@_-</c:formatCode>
                <c:ptCount val="12"/>
                <c:pt idx="0">
                  <c:v>15.837768934793306</c:v>
                </c:pt>
                <c:pt idx="1">
                  <c:v>-1.6253826252286205E-2</c:v>
                </c:pt>
                <c:pt idx="2">
                  <c:v>11.259228617786807</c:v>
                </c:pt>
                <c:pt idx="3">
                  <c:v>0.89964928306404146</c:v>
                </c:pt>
                <c:pt idx="4">
                  <c:v>4.3663330704276939</c:v>
                </c:pt>
                <c:pt idx="5">
                  <c:v>0.3446149786864931</c:v>
                </c:pt>
                <c:pt idx="6">
                  <c:v>0.18274041406893277</c:v>
                </c:pt>
                <c:pt idx="7">
                  <c:v>46.379236712192281</c:v>
                </c:pt>
                <c:pt idx="8">
                  <c:v>5.1988675959250035</c:v>
                </c:pt>
                <c:pt idx="9">
                  <c:v>13.830214819101009</c:v>
                </c:pt>
                <c:pt idx="10">
                  <c:v>0.46060974698616819</c:v>
                </c:pt>
                <c:pt idx="11">
                  <c:v>1.2569896532205536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Dat_01!$H$94</c:f>
          <c:strCache>
            <c:ptCount val="1"/>
            <c:pt idx="0">
              <c:v>Histórico 20/03/2025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Dat_01!$G$112:$G$113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1400015937286777"/>
                  <c:y val="8.92000999875015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9.1593828285695733E-2"/>
                  <c:y val="-6.865641794775653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Dat_01!$H$112:$H$113</c:f>
              <c:numCache>
                <c:formatCode>#,##0.0</c:formatCode>
                <c:ptCount val="2"/>
                <c:pt idx="0">
                  <c:v>26.720578933952805</c:v>
                </c:pt>
                <c:pt idx="1">
                  <c:v>73.279421066047206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B-661B-4EDC-9B0C-2C576C8D52D7}"/>
              </c:ext>
            </c:extLst>
          </c:dPt>
          <c:dLbls>
            <c:dLbl>
              <c:idx val="0"/>
              <c:layout>
                <c:manualLayout>
                  <c:x val="0.12094736973044246"/>
                  <c:y val="-5.3542483660130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layout>
                <c:manualLayout>
                  <c:x val="9.765346867186625E-2"/>
                  <c:y val="-0.105411764705882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0.10806856488910438"/>
                  <c:y val="-3.7094745509752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587856783556704"/>
                      <c:h val="0.17050368703912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1771292806408677"/>
                  <c:y val="3.1581699346405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1611399285989714"/>
                  <c:y val="0.12709340744171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3.8839422323394296E-2"/>
                  <c:y val="0.27754207194688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9.4308943089430899E-2"/>
                  <c:y val="-8.1150236220472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4634133538185778"/>
                  <c:y val="-3.1581699346405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3.2520325203252036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5330795735841077"/>
                  <c:y val="-7.8169934640522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61B-4EDC-9B0C-2C576C8D5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Dat_01!$H$97:$H$108</c:f>
              <c:numCache>
                <c:formatCode>_-* #,##0.0\ _€_-;\-* #,##0.0\ _€_-;_-* "-"??\ _€_-;_-@_-</c:formatCode>
                <c:ptCount val="12"/>
                <c:pt idx="0">
                  <c:v>17.126305115650133</c:v>
                </c:pt>
                <c:pt idx="1">
                  <c:v>1.1252805752131489</c:v>
                </c:pt>
                <c:pt idx="2">
                  <c:v>4.7881371390703853</c:v>
                </c:pt>
                <c:pt idx="3">
                  <c:v>0</c:v>
                </c:pt>
                <c:pt idx="4">
                  <c:v>3.4282483155210639</c:v>
                </c:pt>
                <c:pt idx="5">
                  <c:v>0.25260778849807092</c:v>
                </c:pt>
                <c:pt idx="6">
                  <c:v>0.1739132218659992</c:v>
                </c:pt>
                <c:pt idx="7">
                  <c:v>46.856515388780181</c:v>
                </c:pt>
                <c:pt idx="8">
                  <c:v>14.469358642365174</c:v>
                </c:pt>
                <c:pt idx="9">
                  <c:v>10.68372473972499</c:v>
                </c:pt>
                <c:pt idx="10">
                  <c:v>0.15365533234373333</c:v>
                </c:pt>
                <c:pt idx="11">
                  <c:v>0.94225374096712555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57.723655075376513</c:v>
                </c:pt>
                <c:pt idx="1">
                  <c:v>53.068023010484268</c:v>
                </c:pt>
                <c:pt idx="2">
                  <c:v>49.841762640907447</c:v>
                </c:pt>
                <c:pt idx="3">
                  <c:v>57.586934781927233</c:v>
                </c:pt>
                <c:pt idx="4">
                  <c:v>55.817723820626796</c:v>
                </c:pt>
                <c:pt idx="5">
                  <c:v>63.466848624441226</c:v>
                </c:pt>
                <c:pt idx="6">
                  <c:v>66.923488710722026</c:v>
                </c:pt>
                <c:pt idx="7">
                  <c:v>63.926128741300772</c:v>
                </c:pt>
                <c:pt idx="8">
                  <c:v>55.878145536955081</c:v>
                </c:pt>
                <c:pt idx="9">
                  <c:v>56.962483133853837</c:v>
                </c:pt>
                <c:pt idx="10">
                  <c:v>54.228647075610404</c:v>
                </c:pt>
                <c:pt idx="11">
                  <c:v>55.022571021643493</c:v>
                </c:pt>
                <c:pt idx="12">
                  <c:v>52.080906440778897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No renovables: nuclear, carbón, turbina de vapor, 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42.276344924623487</c:v>
                </c:pt>
                <c:pt idx="1">
                  <c:v>46.931976989515753</c:v>
                </c:pt>
                <c:pt idx="2">
                  <c:v>50.158237359092553</c:v>
                </c:pt>
                <c:pt idx="3">
                  <c:v>42.413065218072788</c:v>
                </c:pt>
                <c:pt idx="4">
                  <c:v>44.182276179373218</c:v>
                </c:pt>
                <c:pt idx="5">
                  <c:v>36.533151375558752</c:v>
                </c:pt>
                <c:pt idx="6">
                  <c:v>33.076511289277988</c:v>
                </c:pt>
                <c:pt idx="7">
                  <c:v>36.073871258699228</c:v>
                </c:pt>
                <c:pt idx="8">
                  <c:v>44.12185446304494</c:v>
                </c:pt>
                <c:pt idx="9">
                  <c:v>43.037516866146191</c:v>
                </c:pt>
                <c:pt idx="10">
                  <c:v>45.771352924389575</c:v>
                </c:pt>
                <c:pt idx="11">
                  <c:v>44.977428978356514</c:v>
                </c:pt>
                <c:pt idx="12">
                  <c:v>47.919093559221075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Dat_01!$C$266:$O$266</c:f>
              <c:numCache>
                <c:formatCode>#,##0.000;\(#,##0.000\)</c:formatCode>
                <c:ptCount val="13"/>
                <c:pt idx="0">
                  <c:v>1635928.3296699999</c:v>
                </c:pt>
                <c:pt idx="1">
                  <c:v>2174242.6565700001</c:v>
                </c:pt>
                <c:pt idx="2">
                  <c:v>2554758.2757600001</c:v>
                </c:pt>
                <c:pt idx="3">
                  <c:v>1863146.8594200001</c:v>
                </c:pt>
                <c:pt idx="4">
                  <c:v>1754206.4887399999</c:v>
                </c:pt>
                <c:pt idx="5">
                  <c:v>1354059.8992399999</c:v>
                </c:pt>
                <c:pt idx="6">
                  <c:v>1340297.35919</c:v>
                </c:pt>
                <c:pt idx="7">
                  <c:v>1568955.8586500001</c:v>
                </c:pt>
                <c:pt idx="8">
                  <c:v>2132805.5654000002</c:v>
                </c:pt>
                <c:pt idx="9">
                  <c:v>1983228.0497300001</c:v>
                </c:pt>
                <c:pt idx="10">
                  <c:v>1863788.4281599999</c:v>
                </c:pt>
                <c:pt idx="11">
                  <c:v>1750371.9203900001</c:v>
                </c:pt>
                <c:pt idx="12">
                  <c:v>2329441.5789200002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Dat_01!$A$173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Dat_01!$B$170:$N$170</c:f>
              <c:numCache>
                <c:formatCode>0.0</c:formatCode>
                <c:ptCount val="13"/>
                <c:pt idx="0">
                  <c:v>80.630638710320909</c:v>
                </c:pt>
                <c:pt idx="1">
                  <c:v>71.830233500659375</c:v>
                </c:pt>
                <c:pt idx="2">
                  <c:v>69.759968256049248</c:v>
                </c:pt>
                <c:pt idx="3">
                  <c:v>80.112279170273965</c:v>
                </c:pt>
                <c:pt idx="4">
                  <c:v>78.870961651728706</c:v>
                </c:pt>
                <c:pt idx="5">
                  <c:v>85.008599400722872</c:v>
                </c:pt>
                <c:pt idx="6">
                  <c:v>82.329651186547139</c:v>
                </c:pt>
                <c:pt idx="7">
                  <c:v>79.48871544629877</c:v>
                </c:pt>
                <c:pt idx="8">
                  <c:v>74.596036760111645</c:v>
                </c:pt>
                <c:pt idx="9">
                  <c:v>78.233239552757496</c:v>
                </c:pt>
                <c:pt idx="10">
                  <c:v>77.319385542423831</c:v>
                </c:pt>
                <c:pt idx="11">
                  <c:v>77.207367122929611</c:v>
                </c:pt>
                <c:pt idx="12">
                  <c:v>69.986770225336443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Dat_01!$A$174</c:f>
              <c:strCache>
                <c:ptCount val="1"/>
                <c:pt idx="0">
                  <c:v>Con emisiones CO2: carbón, turbina de vapor,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Dat_01!$B$171:$N$171</c:f>
              <c:numCache>
                <c:formatCode>0.0</c:formatCode>
                <c:ptCount val="13"/>
                <c:pt idx="0">
                  <c:v>19.369361289679087</c:v>
                </c:pt>
                <c:pt idx="1">
                  <c:v>28.169766499340621</c:v>
                </c:pt>
                <c:pt idx="2">
                  <c:v>30.240031743950745</c:v>
                </c:pt>
                <c:pt idx="3">
                  <c:v>19.887720829726042</c:v>
                </c:pt>
                <c:pt idx="4">
                  <c:v>21.129038348271298</c:v>
                </c:pt>
                <c:pt idx="5">
                  <c:v>14.991400599277146</c:v>
                </c:pt>
                <c:pt idx="6">
                  <c:v>17.670348813452875</c:v>
                </c:pt>
                <c:pt idx="7">
                  <c:v>20.511284553701216</c:v>
                </c:pt>
                <c:pt idx="8">
                  <c:v>25.403963239888395</c:v>
                </c:pt>
                <c:pt idx="9">
                  <c:v>21.766760447242543</c:v>
                </c:pt>
                <c:pt idx="10">
                  <c:v>22.680614457576155</c:v>
                </c:pt>
                <c:pt idx="11">
                  <c:v>22.792632877070417</c:v>
                </c:pt>
                <c:pt idx="12">
                  <c:v>30.013229774663554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2894.8507707469998</c:v>
                </c:pt>
                <c:pt idx="1">
                  <c:v>2726.4816031639998</c:v>
                </c:pt>
                <c:pt idx="2">
                  <c:v>2467.4840409530002</c:v>
                </c:pt>
                <c:pt idx="3">
                  <c:v>3124.3219639069998</c:v>
                </c:pt>
                <c:pt idx="4">
                  <c:v>4134.3578483439996</c:v>
                </c:pt>
                <c:pt idx="5">
                  <c:v>4148.5503963519996</c:v>
                </c:pt>
                <c:pt idx="6">
                  <c:v>3938.8483733960002</c:v>
                </c:pt>
                <c:pt idx="7">
                  <c:v>3578.0521202079999</c:v>
                </c:pt>
                <c:pt idx="8">
                  <c:v>2404.3850213360001</c:v>
                </c:pt>
                <c:pt idx="9">
                  <c:v>1895.084100153</c:v>
                </c:pt>
                <c:pt idx="10">
                  <c:v>1781.8070495100001</c:v>
                </c:pt>
                <c:pt idx="11">
                  <c:v>1598.9966885199999</c:v>
                </c:pt>
                <c:pt idx="12">
                  <c:v>1776.331467948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Dat_01!$A$151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5579.7968899999996</c:v>
                </c:pt>
                <c:pt idx="1">
                  <c:v>4804.3846350000003</c:v>
                </c:pt>
                <c:pt idx="2">
                  <c:v>5200.0371130000003</c:v>
                </c:pt>
                <c:pt idx="3">
                  <c:v>7495.0434329999998</c:v>
                </c:pt>
                <c:pt idx="4">
                  <c:v>3639.9523490000001</c:v>
                </c:pt>
                <c:pt idx="5">
                  <c:v>6673.3156280000003</c:v>
                </c:pt>
                <c:pt idx="6">
                  <c:v>4252.7989029999999</c:v>
                </c:pt>
                <c:pt idx="7">
                  <c:v>3376.1924180000001</c:v>
                </c:pt>
                <c:pt idx="8">
                  <c:v>3076.0234719999999</c:v>
                </c:pt>
                <c:pt idx="9">
                  <c:v>4418.4357190000001</c:v>
                </c:pt>
                <c:pt idx="10">
                  <c:v>3597.9840709999999</c:v>
                </c:pt>
                <c:pt idx="11">
                  <c:v>3943.7562480000001</c:v>
                </c:pt>
                <c:pt idx="12">
                  <c:v>4353.2171049999997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Dat_01!$A$152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2723.045987</c:v>
                </c:pt>
                <c:pt idx="1">
                  <c:v>2273.7718799999998</c:v>
                </c:pt>
                <c:pt idx="2">
                  <c:v>2442.9158069999999</c:v>
                </c:pt>
                <c:pt idx="3">
                  <c:v>2257.1212780000001</c:v>
                </c:pt>
                <c:pt idx="4">
                  <c:v>3139.9958980000001</c:v>
                </c:pt>
                <c:pt idx="5">
                  <c:v>3025.1360789999999</c:v>
                </c:pt>
                <c:pt idx="6">
                  <c:v>3984.3931889999999</c:v>
                </c:pt>
                <c:pt idx="7">
                  <c:v>4777.3132009999999</c:v>
                </c:pt>
                <c:pt idx="8">
                  <c:v>5924.1727069999997</c:v>
                </c:pt>
                <c:pt idx="9">
                  <c:v>6171.5286560000004</c:v>
                </c:pt>
                <c:pt idx="10">
                  <c:v>5702.7467219999999</c:v>
                </c:pt>
                <c:pt idx="11">
                  <c:v>4940.730012</c:v>
                </c:pt>
                <c:pt idx="12">
                  <c:v>3991.8868107070002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Dat_01!$A$153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153.79677899999999</c:v>
                </c:pt>
                <c:pt idx="1">
                  <c:v>97.190021999999999</c:v>
                </c:pt>
                <c:pt idx="2">
                  <c:v>110.530322</c:v>
                </c:pt>
                <c:pt idx="3">
                  <c:v>88.888022000000007</c:v>
                </c:pt>
                <c:pt idx="4">
                  <c:v>174.04370499999999</c:v>
                </c:pt>
                <c:pt idx="5">
                  <c:v>187.20863</c:v>
                </c:pt>
                <c:pt idx="6">
                  <c:v>310.83838200000002</c:v>
                </c:pt>
                <c:pt idx="7">
                  <c:v>493.82251400000001</c:v>
                </c:pt>
                <c:pt idx="8">
                  <c:v>486.22661499999998</c:v>
                </c:pt>
                <c:pt idx="9">
                  <c:v>660.85651299999995</c:v>
                </c:pt>
                <c:pt idx="10">
                  <c:v>488.094492</c:v>
                </c:pt>
                <c:pt idx="11">
                  <c:v>396.08211</c:v>
                </c:pt>
                <c:pt idx="12">
                  <c:v>246.37948529299999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Dat_01!$B$154:$N$154</c:f>
              <c:numCache>
                <c:formatCode>#,##0.0</c:formatCode>
                <c:ptCount val="13"/>
                <c:pt idx="0">
                  <c:v>275.04172199999999</c:v>
                </c:pt>
                <c:pt idx="1">
                  <c:v>305.056352</c:v>
                </c:pt>
                <c:pt idx="2">
                  <c:v>341.07748299999997</c:v>
                </c:pt>
                <c:pt idx="3">
                  <c:v>339.19863400000003</c:v>
                </c:pt>
                <c:pt idx="4">
                  <c:v>328.25216599999999</c:v>
                </c:pt>
                <c:pt idx="5">
                  <c:v>285.81477899999999</c:v>
                </c:pt>
                <c:pt idx="6">
                  <c:v>295.24856199999999</c:v>
                </c:pt>
                <c:pt idx="7">
                  <c:v>324.89031499999999</c:v>
                </c:pt>
                <c:pt idx="8">
                  <c:v>314.31538799999998</c:v>
                </c:pt>
                <c:pt idx="9">
                  <c:v>349.97779200000002</c:v>
                </c:pt>
                <c:pt idx="10">
                  <c:v>335.55956400000002</c:v>
                </c:pt>
                <c:pt idx="11">
                  <c:v>330.87406099999998</c:v>
                </c:pt>
                <c:pt idx="12">
                  <c:v>328.82446499999998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Dat_01!$B$157:$N$157</c:f>
              <c:numCache>
                <c:formatCode>#,##0.0</c:formatCode>
                <c:ptCount val="13"/>
                <c:pt idx="0">
                  <c:v>56.188988999999999</c:v>
                </c:pt>
                <c:pt idx="1">
                  <c:v>64.965261999999996</c:v>
                </c:pt>
                <c:pt idx="2">
                  <c:v>68.042446499999997</c:v>
                </c:pt>
                <c:pt idx="3">
                  <c:v>55.9446005</c:v>
                </c:pt>
                <c:pt idx="4">
                  <c:v>53.965263</c:v>
                </c:pt>
                <c:pt idx="5">
                  <c:v>51.637242999999998</c:v>
                </c:pt>
                <c:pt idx="6">
                  <c:v>37.148092499999997</c:v>
                </c:pt>
                <c:pt idx="7">
                  <c:v>29.418555000000001</c:v>
                </c:pt>
                <c:pt idx="8">
                  <c:v>23.718672000000002</c:v>
                </c:pt>
                <c:pt idx="9">
                  <c:v>52.036873</c:v>
                </c:pt>
                <c:pt idx="10">
                  <c:v>59.049389499999997</c:v>
                </c:pt>
                <c:pt idx="11">
                  <c:v>45.211658999999997</c:v>
                </c:pt>
                <c:pt idx="12">
                  <c:v>51.785544000000002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6551819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38096</xdr:rowOff>
    </xdr:from>
    <xdr:to>
      <xdr:col>2</xdr:col>
      <xdr:colOff>1060510</xdr:colOff>
      <xdr:row>28</xdr:row>
      <xdr:rowOff>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53436"/>
          <a:ext cx="1044000" cy="33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20953</xdr:colOff>
      <xdr:row>3</xdr:row>
      <xdr:rowOff>15240</xdr:rowOff>
    </xdr:from>
    <xdr:to>
      <xdr:col>9</xdr:col>
      <xdr:colOff>20448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92069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0.61081</cdr:x>
      <cdr:y>0.06872</cdr:y>
    </cdr:from>
    <cdr:to>
      <cdr:x>0.61294</cdr:x>
      <cdr:y>0.81347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3326" y="250025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0.18237</cdr:x>
      <cdr:y>0.06117</cdr:y>
    </cdr:from>
    <cdr:to>
      <cdr:x>0.1845</cdr:x>
      <cdr:y>0.80592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28107" y="222586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16638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88259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0.61066</cdr:x>
      <cdr:y>0.06319</cdr:y>
    </cdr:from>
    <cdr:to>
      <cdr:x>0.61279</cdr:x>
      <cdr:y>0.80794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2316" y="229920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0.18116</cdr:x>
      <cdr:y>0.06668</cdr:y>
    </cdr:from>
    <cdr:to>
      <cdr:x>0.18329</cdr:x>
      <cdr:y>0.81143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19988" y="242627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123825</xdr:rowOff>
    </xdr:from>
    <xdr:to>
      <xdr:col>3</xdr:col>
      <xdr:colOff>142874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19D1D2-74D9-4AB7-B47E-262AB9D0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0.38838</cdr:x>
      <cdr:y>0.27272</cdr:y>
    </cdr:from>
    <cdr:to>
      <cdr:x>0.52697</cdr:x>
      <cdr:y>0.34628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030" y="896206"/>
          <a:ext cx="970251" cy="24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28575</xdr:rowOff>
    </xdr:from>
    <xdr:to>
      <xdr:col>4</xdr:col>
      <xdr:colOff>485775</xdr:colOff>
      <xdr:row>10</xdr:row>
      <xdr:rowOff>54075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16455" y="1571625"/>
          <a:ext cx="236220" cy="18742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40,9%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55,5%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9525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52575"/>
          <a:ext cx="261620" cy="190501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44,8%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1.043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505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1.548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5.253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71875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133349</xdr:rowOff>
    </xdr:from>
    <xdr:to>
      <xdr:col>4</xdr:col>
      <xdr:colOff>1166400</xdr:colOff>
      <xdr:row>13</xdr:row>
      <xdr:rowOff>112789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162174"/>
          <a:ext cx="252000" cy="14136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36,2%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85725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2114550"/>
          <a:ext cx="238125" cy="19211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67,8%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104775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0425" y="2133600"/>
          <a:ext cx="252000" cy="1595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56,7%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2.115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2.724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1.065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95249</xdr:rowOff>
    </xdr:from>
    <xdr:to>
      <xdr:col>4</xdr:col>
      <xdr:colOff>2539905</xdr:colOff>
      <xdr:row>12</xdr:row>
      <xdr:rowOff>94077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54805" y="1962149"/>
          <a:ext cx="252000" cy="160753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49,9%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57150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924050"/>
          <a:ext cx="252000" cy="204304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58,9%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95250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73930" y="1962150"/>
          <a:ext cx="252000" cy="16117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50,8%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1.209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3.402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1.265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52,2%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1.755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47625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95028" y="2724150"/>
          <a:ext cx="252000" cy="17435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46,3%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48,6%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3.021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487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47625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49" y="3209925"/>
          <a:ext cx="257175" cy="19735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58,3%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139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77,2%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142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20</xdr:row>
      <xdr:rowOff>38099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86174" y="3362324"/>
          <a:ext cx="257175" cy="10994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21,2%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20</xdr:row>
      <xdr:rowOff>9525</xdr:rowOff>
    </xdr:from>
    <xdr:to>
      <xdr:col>4</xdr:col>
      <xdr:colOff>2352674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4" y="3333750"/>
          <a:ext cx="219075" cy="1425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33,1%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281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610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5.148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38100</xdr:rowOff>
    </xdr:from>
    <xdr:to>
      <xdr:col>4</xdr:col>
      <xdr:colOff>3438525</xdr:colOff>
      <xdr:row>26</xdr:row>
      <xdr:rowOff>59878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84750" y="4171950"/>
          <a:ext cx="320675" cy="18370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53,8%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4.122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66676</xdr:rowOff>
    </xdr:from>
    <xdr:to>
      <xdr:col>4</xdr:col>
      <xdr:colOff>2933700</xdr:colOff>
      <xdr:row>26</xdr:row>
      <xdr:rowOff>60013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200526"/>
          <a:ext cx="304800" cy="155262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46,0%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9.269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47625</xdr:rowOff>
    </xdr:from>
    <xdr:to>
      <xdr:col>4</xdr:col>
      <xdr:colOff>3886201</xdr:colOff>
      <xdr:row>26</xdr:row>
      <xdr:rowOff>55057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81475"/>
          <a:ext cx="292100" cy="169357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50,0%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12698</xdr:colOff>
      <xdr:row>3</xdr:row>
      <xdr:rowOff>25400</xdr:rowOff>
    </xdr:from>
    <xdr:to>
      <xdr:col>5</xdr:col>
      <xdr:colOff>1573</xdr:colOff>
      <xdr:row>3</xdr:row>
      <xdr:rowOff>25400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4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5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32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E0934-D57C-4987-8766-C638B3D96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29303B1-96D2-43FA-A3F2-B43506501489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743C1-BD09-4353-97BA-04543F69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51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445,7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2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 0,1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0.3875</cdr:x>
      <cdr:y>0.38729</cdr:y>
    </cdr:to>
    <cdr:sp macro="" textlink="Dat_01!$K$58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5" y="87707"/>
          <a:ext cx="1180856" cy="49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-805,2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0.29854</cdr:x>
      <cdr:y>0.77431</cdr:y>
    </cdr:to>
    <cdr:sp macro="" textlink="Dat_01!$K$59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6812" y="689195"/>
          <a:ext cx="842848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 -0,3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22</xdr:row>
      <xdr:rowOff>0</xdr:rowOff>
    </xdr:from>
    <xdr:to>
      <xdr:col>5</xdr:col>
      <xdr:colOff>13335</xdr:colOff>
      <xdr:row>38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1450974</xdr:colOff>
      <xdr:row>10</xdr:row>
      <xdr:rowOff>97790</xdr:rowOff>
    </xdr:from>
    <xdr:to>
      <xdr:col>4</xdr:col>
      <xdr:colOff>2536823</xdr:colOff>
      <xdr:row>16</xdr:row>
      <xdr:rowOff>97790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1453515</xdr:colOff>
      <xdr:row>27</xdr:row>
      <xdr:rowOff>1905</xdr:rowOff>
    </xdr:from>
    <xdr:to>
      <xdr:col>4</xdr:col>
      <xdr:colOff>2539364</xdr:colOff>
      <xdr:row>33</xdr:row>
      <xdr:rowOff>1905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28"/>
  <sheetViews>
    <sheetView showGridLines="0" showRowColHeaders="0" tabSelected="1" workbookViewId="0">
      <selection activeCell="B2" sqref="B2"/>
    </sheetView>
  </sheetViews>
  <sheetFormatPr baseColWidth="10" defaultColWidth="11.42578125" defaultRowHeight="12.75"/>
  <cols>
    <col min="1" max="1" width="0.42578125" style="129" customWidth="1"/>
    <col min="2" max="2" width="2.5703125" style="129" customWidth="1"/>
    <col min="3" max="3" width="16.42578125" style="129" customWidth="1"/>
    <col min="4" max="4" width="4.5703125" style="129" customWidth="1"/>
    <col min="5" max="5" width="95.5703125" style="129" customWidth="1"/>
    <col min="6" max="16384" width="11.42578125" style="129"/>
  </cols>
  <sheetData>
    <row r="1" spans="2:15" ht="0.75" customHeight="1"/>
    <row r="2" spans="2:15" ht="21" customHeight="1">
      <c r="B2" s="129" t="s">
        <v>62</v>
      </c>
      <c r="C2" s="130"/>
      <c r="D2" s="130"/>
      <c r="E2" s="100" t="s">
        <v>1</v>
      </c>
    </row>
    <row r="3" spans="2:15" ht="15" customHeight="1">
      <c r="C3" s="130"/>
      <c r="D3" s="130"/>
      <c r="E3" s="101" t="str">
        <f>Dat_01!A2</f>
        <v>Octubre 2025</v>
      </c>
    </row>
    <row r="4" spans="2:15" s="132" customFormat="1" ht="20.25" customHeight="1">
      <c r="B4" s="131"/>
      <c r="C4" s="99" t="s">
        <v>64</v>
      </c>
    </row>
    <row r="5" spans="2:15" s="132" customFormat="1" ht="8.25" customHeight="1">
      <c r="B5" s="131"/>
      <c r="C5" s="133"/>
    </row>
    <row r="6" spans="2:15" s="132" customFormat="1" ht="3" customHeight="1">
      <c r="B6" s="131"/>
      <c r="C6" s="133"/>
    </row>
    <row r="7" spans="2:15" s="132" customFormat="1" ht="7.5" customHeight="1">
      <c r="B7" s="131"/>
      <c r="C7" s="134"/>
      <c r="D7" s="135"/>
      <c r="E7" s="135"/>
    </row>
    <row r="8" spans="2:15" ht="12.6" customHeight="1">
      <c r="D8" s="136" t="s">
        <v>63</v>
      </c>
      <c r="E8" s="137" t="s">
        <v>75</v>
      </c>
    </row>
    <row r="9" spans="2:15" s="132" customFormat="1" ht="12.6" customHeight="1">
      <c r="B9" s="131"/>
      <c r="C9" s="138"/>
      <c r="D9" s="136" t="s">
        <v>63</v>
      </c>
      <c r="E9" s="137" t="str">
        <f>'P2'!C7</f>
        <v>Estructura de potencia instalada de generación peninsular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s="132" customFormat="1" ht="12.6" customHeight="1">
      <c r="B10" s="131"/>
      <c r="C10" s="138"/>
      <c r="D10" s="136" t="s">
        <v>63</v>
      </c>
      <c r="E10" s="137" t="str">
        <f>'P2'!C23</f>
        <v>Estructura de generación mensual peninsular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12.6" customHeight="1">
      <c r="D11" s="136" t="s">
        <v>63</v>
      </c>
      <c r="E11" s="137" t="str">
        <f>'P3'!C7</f>
        <v xml:space="preserve">Estructura de generación diaria del día de máxima generación de energía renovable peninsular
</v>
      </c>
    </row>
    <row r="12" spans="2:15" ht="12.6" customHeight="1">
      <c r="D12" s="136" t="s">
        <v>63</v>
      </c>
      <c r="E12" s="137" t="str">
        <f>'P4'!C7</f>
        <v>Evolución del peso de la generación renovable y no renovable peninsular</v>
      </c>
    </row>
    <row r="13" spans="2:15" ht="12.6" customHeight="1">
      <c r="D13" s="136" t="s">
        <v>63</v>
      </c>
      <c r="E13" s="137" t="str">
        <f>'P5'!C7</f>
        <v>Evolución de las emisiones de CO2 equivalente y peso de la generación libre de CO2 peninsular</v>
      </c>
    </row>
    <row r="14" spans="2:15" ht="12.6" customHeight="1">
      <c r="D14" s="136" t="s">
        <v>63</v>
      </c>
      <c r="E14" s="137" t="str">
        <f>'P6'!C7</f>
        <v xml:space="preserve">Evolución de la generación renovable peninsular </v>
      </c>
    </row>
    <row r="15" spans="2:15" ht="12.6" customHeight="1">
      <c r="D15" s="136" t="s">
        <v>63</v>
      </c>
      <c r="E15" s="137" t="str">
        <f>'P7'!C7</f>
        <v xml:space="preserve">Evolución de la generación no renovable peninsular </v>
      </c>
    </row>
    <row r="16" spans="2:15" ht="12.6" customHeight="1">
      <c r="D16" s="136" t="s">
        <v>63</v>
      </c>
      <c r="E16" s="137" t="str">
        <f>'P8'!C7</f>
        <v>Generación eólica diaria peninsular</v>
      </c>
    </row>
    <row r="17" spans="2:5" ht="12.6" customHeight="1">
      <c r="D17" s="136" t="s">
        <v>63</v>
      </c>
      <c r="E17" s="137" t="str">
        <f>'P9'!C7</f>
        <v>Máximos de generación de energía eólica peninsular</v>
      </c>
    </row>
    <row r="18" spans="2:5" ht="12.6" customHeight="1">
      <c r="D18" s="136" t="s">
        <v>63</v>
      </c>
      <c r="E18" s="137" t="str">
        <f>'P10'!C7</f>
        <v>Energía producible eólica comparada con el producible eólico medio histórico</v>
      </c>
    </row>
    <row r="19" spans="2:5" ht="12.6" customHeight="1">
      <c r="D19" s="136" t="s">
        <v>63</v>
      </c>
      <c r="E19" s="137" t="str">
        <f>'P11'!C7</f>
        <v>Generación solar fotovoltaica diaria peninsular</v>
      </c>
    </row>
    <row r="20" spans="2:5" ht="12.6" customHeight="1">
      <c r="D20" s="136" t="s">
        <v>63</v>
      </c>
      <c r="E20" s="137" t="str">
        <f>'P12'!C7</f>
        <v>Máximos de generación de energía solar fotovoltaica peninsular</v>
      </c>
    </row>
    <row r="21" spans="2:5" ht="12.6" customHeight="1">
      <c r="D21" s="136" t="s">
        <v>63</v>
      </c>
      <c r="E21" s="137" t="str">
        <f>'P13'!C7</f>
        <v>Energía producible solar fotovoltaica comparada con el producible solar fotovoltaico medio histórico</v>
      </c>
    </row>
    <row r="22" spans="2:5" ht="12.6" customHeight="1">
      <c r="D22" s="136" t="s">
        <v>63</v>
      </c>
      <c r="E22" s="137" t="str">
        <f>'P14'!B7</f>
        <v>Energía producible hidráulica diaria comparada con el producible medio histórico</v>
      </c>
    </row>
    <row r="23" spans="2:5" ht="12.6" customHeight="1">
      <c r="D23" s="136" t="s">
        <v>63</v>
      </c>
      <c r="E23" s="137" t="str">
        <f>'P15'!B7</f>
        <v>Reservas hidroeléctricas</v>
      </c>
    </row>
    <row r="24" spans="2:5" ht="12.6" customHeight="1">
      <c r="D24" s="136" t="s">
        <v>63</v>
      </c>
      <c r="E24" s="137" t="str">
        <f>'P16'!C7</f>
        <v>Reservas hidroeléctricas a finales de mes por cuencas hidrográficas</v>
      </c>
    </row>
    <row r="25" spans="2:5" ht="12.6" customHeight="1">
      <c r="D25" s="136" t="s">
        <v>63</v>
      </c>
      <c r="E25" s="137" t="str">
        <f>'P17'!C7</f>
        <v>Estructura de potencia instalada de almacenamiento peninsular</v>
      </c>
    </row>
    <row r="26" spans="2:5" ht="12.6" customHeight="1">
      <c r="D26" s="136" t="s">
        <v>63</v>
      </c>
      <c r="E26" s="137" t="str">
        <f>'P18'!B7</f>
        <v>Evolución de la energía de almacenamiento peninsular</v>
      </c>
    </row>
    <row r="27" spans="2:5" ht="12.6" customHeight="1">
      <c r="D27" s="136" t="s">
        <v>63</v>
      </c>
      <c r="E27" s="137" t="str">
        <f>'P19'!C7</f>
        <v>Balance de energía de almacenamiento peninsular</v>
      </c>
    </row>
    <row r="28" spans="2:5" s="132" customFormat="1" ht="7.5" customHeight="1">
      <c r="B28" s="131"/>
      <c r="C28" s="134"/>
      <c r="D28" s="135"/>
      <c r="E28" s="135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'!A1" display="'P6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5'!A1" display="'P15'!A1" xr:uid="{00000000-0004-0000-0000-00000C000000}"/>
    <hyperlink ref="E24" location="'P16'!A1" display="'P16'!A1" xr:uid="{00000000-0004-0000-0000-00000D000000}"/>
    <hyperlink ref="E20" location="'P12'!A1" display="'P12'!A1" xr:uid="{496CADB2-97FB-46B7-8BFC-0C9899AB4CAD}"/>
    <hyperlink ref="E21" location="'P13'!A1" display="'P13'!A1" xr:uid="{5D974B15-FD20-432C-AA15-7FB85CB73D5B}"/>
    <hyperlink ref="E22" location="'P14'!A1" display="'P14'!A1" xr:uid="{C8CAE280-F896-4679-BC65-839CC803C5DE}"/>
    <hyperlink ref="E25" location="'P17'!A1" display="'P17'!A1" xr:uid="{4DF7AE30-4DCF-43A0-B19A-225E64AC0297}"/>
    <hyperlink ref="E26" location="'P17'!A1" display="'P17'!A1" xr:uid="{CEC7A42C-9D2A-4E26-BEE2-C357B0E68CF8}"/>
    <hyperlink ref="E27" location="'P17'!A1" display="'P17'!A1" xr:uid="{B7EDF577-931B-4EEA-BF2E-BE57E610A38C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Octubre 2025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17" t="s">
        <v>22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17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Octubre 2025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17" t="s">
        <v>23</v>
      </c>
      <c r="E7" s="111"/>
      <c r="F7" s="318" t="str">
        <f>Dat_01!A2</f>
        <v>Octubre 2025</v>
      </c>
      <c r="G7" s="319"/>
      <c r="H7" s="320" t="s">
        <v>25</v>
      </c>
      <c r="I7" s="3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17"/>
      <c r="E8" s="112" t="s">
        <v>26</v>
      </c>
      <c r="F8" s="246">
        <v>17514</v>
      </c>
      <c r="G8" s="247" t="s">
        <v>263</v>
      </c>
      <c r="H8" s="246">
        <v>20897</v>
      </c>
      <c r="I8" s="247" t="s">
        <v>179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27</v>
      </c>
      <c r="F9" s="227">
        <v>77.400000000000006</v>
      </c>
      <c r="G9" s="228" t="s">
        <v>264</v>
      </c>
      <c r="H9" s="224">
        <v>83.6</v>
      </c>
      <c r="I9" s="228" t="s">
        <v>166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Octubre 2025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17" t="s">
        <v>160</v>
      </c>
      <c r="E7" s="4"/>
    </row>
    <row r="8" spans="3:34">
      <c r="C8" s="317"/>
      <c r="E8" s="4"/>
    </row>
    <row r="9" spans="3:34">
      <c r="C9" s="317"/>
      <c r="E9" s="4"/>
    </row>
    <row r="10" spans="3:34">
      <c r="C10" s="317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J25" sqref="J25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Octubre 2025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17" t="s">
        <v>182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17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Octubre 2025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17" t="s">
        <v>183</v>
      </c>
      <c r="E7" s="111"/>
      <c r="F7" s="318" t="str">
        <f>Dat_01!A2</f>
        <v>Octubre 2025</v>
      </c>
      <c r="G7" s="319"/>
      <c r="H7" s="320" t="s">
        <v>25</v>
      </c>
      <c r="I7" s="3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17"/>
      <c r="E8" s="112" t="s">
        <v>26</v>
      </c>
      <c r="F8" s="246">
        <v>21259</v>
      </c>
      <c r="G8" s="247" t="s">
        <v>265</v>
      </c>
      <c r="H8" s="246">
        <v>23034</v>
      </c>
      <c r="I8" s="247" t="s">
        <v>228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17"/>
      <c r="E9" s="113" t="s">
        <v>27</v>
      </c>
      <c r="F9" s="227">
        <v>79.8</v>
      </c>
      <c r="G9" s="228" t="s">
        <v>266</v>
      </c>
      <c r="H9" s="224">
        <v>84.1</v>
      </c>
      <c r="I9" s="228" t="s">
        <v>217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Octubre 2025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17" t="s">
        <v>184</v>
      </c>
      <c r="E7" s="4"/>
    </row>
    <row r="8" spans="3:34">
      <c r="C8" s="317"/>
      <c r="E8" s="4"/>
    </row>
    <row r="9" spans="3:34">
      <c r="C9" s="317"/>
      <c r="E9" s="4"/>
    </row>
    <row r="10" spans="3:34">
      <c r="C10" s="317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>
      <selection activeCell="D37" sqref="D37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126</v>
      </c>
    </row>
    <row r="3" spans="2:22" ht="15" customHeight="1">
      <c r="D3" s="109" t="str">
        <f>Indice!E3</f>
        <v>Octubre 2025</v>
      </c>
    </row>
    <row r="4" spans="2:22" ht="20.100000000000001" customHeight="1">
      <c r="B4" s="99" t="s">
        <v>128</v>
      </c>
      <c r="V4" s="54"/>
    </row>
    <row r="5" spans="2:22">
      <c r="V5" s="54"/>
    </row>
    <row r="6" spans="2:22">
      <c r="V6" s="54"/>
    </row>
    <row r="7" spans="2:22">
      <c r="B7" s="317" t="s">
        <v>24</v>
      </c>
      <c r="V7" s="54"/>
    </row>
    <row r="8" spans="2:22">
      <c r="B8" s="317"/>
      <c r="V8" s="54"/>
    </row>
    <row r="9" spans="2:22">
      <c r="B9" s="317"/>
      <c r="V9" s="54"/>
    </row>
    <row r="10" spans="2:22">
      <c r="B10" s="102" t="s">
        <v>127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126</v>
      </c>
    </row>
    <row r="3" spans="2:33" ht="15" customHeight="1">
      <c r="D3" s="109" t="str">
        <f>Indice!E3</f>
        <v>Octubre 2025</v>
      </c>
    </row>
    <row r="4" spans="2:33" ht="20.100000000000001" customHeight="1">
      <c r="B4" s="99" t="s">
        <v>64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39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8"/>
      <c r="P8" s="62"/>
      <c r="Q8" s="139"/>
      <c r="R8" s="140"/>
      <c r="S8" s="140"/>
      <c r="T8" s="140"/>
      <c r="U8" s="140"/>
      <c r="X8" s="140"/>
      <c r="Y8" s="140"/>
      <c r="Z8" s="140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1"/>
      <c r="R9" s="141"/>
      <c r="S9" s="141"/>
      <c r="T9" s="141"/>
      <c r="U9" s="141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1"/>
      <c r="R10" s="141"/>
      <c r="S10" s="141"/>
      <c r="T10" s="141"/>
      <c r="U10" s="141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1"/>
      <c r="R11" s="141"/>
      <c r="S11" s="141"/>
      <c r="T11" s="141"/>
      <c r="U11" s="141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1"/>
      <c r="R12" s="141"/>
      <c r="S12" s="141"/>
      <c r="T12" s="141"/>
      <c r="U12" s="141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1"/>
      <c r="R13" s="141"/>
      <c r="S13" s="141"/>
      <c r="T13" s="141"/>
      <c r="U13" s="141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1"/>
      <c r="R14" s="141"/>
      <c r="S14" s="141"/>
      <c r="T14" s="141"/>
      <c r="U14" s="141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1"/>
      <c r="R15" s="141"/>
      <c r="S15" s="141"/>
      <c r="T15" s="141"/>
      <c r="U15" s="141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1"/>
      <c r="R16" s="141"/>
      <c r="S16" s="141"/>
      <c r="T16" s="141"/>
      <c r="U16" s="141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1"/>
      <c r="R17" s="141"/>
      <c r="S17" s="141"/>
      <c r="T17" s="141"/>
      <c r="U17" s="141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1"/>
      <c r="R18" s="141"/>
      <c r="S18" s="141"/>
      <c r="T18" s="141"/>
      <c r="U18" s="141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1"/>
      <c r="R19" s="141"/>
      <c r="S19" s="141"/>
      <c r="T19" s="141"/>
      <c r="U19" s="141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1"/>
      <c r="R20" s="141"/>
      <c r="S20" s="141"/>
      <c r="T20" s="141"/>
      <c r="U20" s="141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1"/>
      <c r="R21" s="141"/>
      <c r="S21" s="141"/>
      <c r="T21" s="141"/>
      <c r="U21" s="141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1"/>
      <c r="R22" s="141"/>
      <c r="S22" s="141"/>
      <c r="T22" s="141"/>
      <c r="U22" s="141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1"/>
      <c r="R23" s="141"/>
      <c r="S23" s="141"/>
      <c r="T23" s="141"/>
      <c r="U23" s="141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1"/>
      <c r="R24" s="141"/>
      <c r="S24" s="141"/>
      <c r="T24" s="141"/>
      <c r="U24" s="141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1"/>
      <c r="R25" s="141"/>
      <c r="S25" s="141"/>
      <c r="T25" s="141"/>
      <c r="U25" s="141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1"/>
      <c r="R26" s="141"/>
      <c r="S26" s="141"/>
      <c r="T26" s="141"/>
      <c r="U26" s="141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1"/>
      <c r="R27" s="141"/>
      <c r="S27" s="141"/>
      <c r="T27" s="141"/>
      <c r="U27" s="141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1"/>
      <c r="R28" s="141"/>
      <c r="S28" s="141"/>
      <c r="T28" s="141"/>
      <c r="U28" s="141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1"/>
      <c r="R29" s="141"/>
      <c r="S29" s="141"/>
      <c r="T29" s="141"/>
      <c r="U29" s="141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1"/>
      <c r="R30" s="141"/>
      <c r="S30" s="141"/>
      <c r="T30" s="141"/>
      <c r="U30" s="141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1"/>
      <c r="R31" s="141"/>
      <c r="S31" s="141"/>
      <c r="T31" s="141"/>
      <c r="U31" s="141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1"/>
      <c r="R32" s="141"/>
      <c r="S32" s="141"/>
      <c r="T32" s="141"/>
      <c r="U32" s="141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1"/>
      <c r="R33" s="141"/>
      <c r="S33" s="141"/>
      <c r="T33" s="141"/>
      <c r="U33" s="141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1"/>
      <c r="R34" s="141"/>
      <c r="S34" s="141"/>
      <c r="T34" s="141"/>
      <c r="U34" s="141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1"/>
      <c r="R35" s="141"/>
      <c r="S35" s="141"/>
      <c r="T35" s="141"/>
      <c r="U35" s="141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1"/>
      <c r="R36" s="141"/>
      <c r="S36" s="141"/>
      <c r="T36" s="141"/>
      <c r="U36" s="141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1"/>
      <c r="R37" s="141"/>
      <c r="S37" s="141"/>
      <c r="T37" s="141"/>
      <c r="U37" s="141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1"/>
      <c r="R38" s="141"/>
      <c r="S38" s="141"/>
      <c r="T38" s="141"/>
      <c r="U38" s="141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1"/>
      <c r="R39" s="141"/>
      <c r="S39" s="141"/>
      <c r="T39" s="141"/>
      <c r="U39" s="141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1"/>
      <c r="R40" s="141"/>
      <c r="S40" s="141"/>
      <c r="T40" s="141"/>
      <c r="U40" s="141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1"/>
      <c r="R41" s="141"/>
      <c r="S41" s="141"/>
      <c r="T41" s="141"/>
      <c r="U41" s="141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1"/>
      <c r="R42" s="141"/>
      <c r="S42" s="141"/>
      <c r="T42" s="141"/>
      <c r="U42" s="141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1"/>
      <c r="R43" s="141"/>
      <c r="S43" s="141"/>
      <c r="T43" s="141"/>
      <c r="U43" s="141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1"/>
      <c r="R44" s="141"/>
      <c r="S44" s="141"/>
      <c r="T44" s="141"/>
      <c r="U44" s="141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1"/>
      <c r="R45" s="141"/>
      <c r="S45" s="141"/>
      <c r="T45" s="141"/>
      <c r="U45" s="141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1"/>
      <c r="R46" s="141"/>
      <c r="S46" s="141"/>
      <c r="T46" s="141"/>
      <c r="U46" s="141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1"/>
      <c r="R47" s="141"/>
      <c r="S47" s="141"/>
      <c r="T47" s="141"/>
      <c r="U47" s="141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1"/>
      <c r="R48" s="141"/>
      <c r="S48" s="141"/>
      <c r="T48" s="141"/>
      <c r="U48" s="141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1"/>
      <c r="R49" s="141"/>
      <c r="S49" s="141"/>
      <c r="T49" s="141"/>
      <c r="U49" s="141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1"/>
      <c r="R50" s="141"/>
      <c r="S50" s="141"/>
      <c r="T50" s="141"/>
      <c r="U50" s="141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1"/>
      <c r="R51" s="141"/>
      <c r="S51" s="141"/>
      <c r="T51" s="141"/>
      <c r="U51" s="141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1"/>
      <c r="R52" s="141"/>
      <c r="S52" s="141"/>
      <c r="T52" s="141"/>
      <c r="U52" s="141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1"/>
      <c r="R53" s="141"/>
      <c r="S53" s="141"/>
      <c r="T53" s="141"/>
      <c r="U53" s="141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1"/>
      <c r="R54" s="141"/>
      <c r="S54" s="141"/>
      <c r="T54" s="141"/>
      <c r="U54" s="141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1"/>
      <c r="R55" s="141"/>
      <c r="S55" s="141"/>
      <c r="T55" s="141"/>
      <c r="U55" s="141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1"/>
      <c r="R56" s="141"/>
      <c r="S56" s="141"/>
      <c r="T56" s="141"/>
      <c r="U56" s="141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1"/>
      <c r="R57" s="141"/>
      <c r="S57" s="141"/>
      <c r="T57" s="141"/>
      <c r="U57" s="141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1"/>
      <c r="R58" s="141"/>
      <c r="S58" s="141"/>
      <c r="T58" s="141"/>
      <c r="U58" s="141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1"/>
      <c r="R59" s="141"/>
      <c r="S59" s="141"/>
      <c r="T59" s="141"/>
      <c r="U59" s="141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1"/>
      <c r="R60" s="141"/>
      <c r="S60" s="141"/>
      <c r="T60" s="141"/>
      <c r="U60" s="141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1"/>
      <c r="R61" s="141"/>
      <c r="S61" s="141"/>
      <c r="T61" s="141"/>
      <c r="U61" s="141"/>
      <c r="V61" s="58"/>
      <c r="X61" s="54"/>
      <c r="Y61" s="54"/>
      <c r="Z61" s="54"/>
    </row>
    <row r="62" spans="5:33">
      <c r="E62" s="64"/>
      <c r="N62" s="67"/>
      <c r="O62" s="59"/>
      <c r="P62" s="63"/>
      <c r="Q62" s="141"/>
      <c r="R62" s="141"/>
      <c r="S62" s="141"/>
      <c r="T62" s="141"/>
      <c r="U62" s="141"/>
      <c r="V62" s="58"/>
      <c r="X62" s="54"/>
      <c r="Y62" s="54"/>
      <c r="Z62" s="54"/>
    </row>
    <row r="63" spans="5:33">
      <c r="E63" s="64"/>
      <c r="N63" s="67"/>
      <c r="O63" s="59"/>
      <c r="P63" s="63"/>
      <c r="Q63" s="141"/>
      <c r="R63" s="141"/>
      <c r="S63" s="141"/>
      <c r="T63" s="141"/>
      <c r="U63" s="141"/>
      <c r="V63" s="58"/>
      <c r="X63" s="54"/>
      <c r="Y63" s="54"/>
      <c r="Z63" s="54"/>
    </row>
    <row r="64" spans="5:33">
      <c r="E64" s="64"/>
      <c r="N64" s="67">
        <f>'Data 3'!I60-'Data 3'!I59</f>
        <v>-8.2801634127957584</v>
      </c>
      <c r="O64" s="61">
        <f>'Data 3'!I60-'Data 3'!I48</f>
        <v>6.3554686392230266</v>
      </c>
      <c r="P64" s="63"/>
      <c r="Q64" s="141"/>
      <c r="R64" s="141"/>
      <c r="S64" s="141"/>
      <c r="T64" s="141"/>
      <c r="U64" s="141"/>
      <c r="V64" s="58"/>
      <c r="X64" s="54"/>
      <c r="Y64" s="54"/>
      <c r="Z64" s="54"/>
    </row>
    <row r="65" spans="5:26">
      <c r="E65" s="64"/>
      <c r="N65" s="67"/>
      <c r="O65" s="59"/>
      <c r="P65" s="63"/>
      <c r="Q65" s="141"/>
      <c r="R65" s="141"/>
      <c r="S65" s="141"/>
      <c r="T65" s="141"/>
      <c r="U65" s="141"/>
      <c r="V65" s="58"/>
      <c r="X65" s="54"/>
      <c r="Y65" s="54"/>
      <c r="Z65" s="54"/>
    </row>
    <row r="66" spans="5:26">
      <c r="E66" s="64"/>
      <c r="N66" s="67"/>
      <c r="O66" s="59"/>
      <c r="P66" s="63"/>
      <c r="Q66" s="141"/>
      <c r="R66" s="141"/>
      <c r="S66" s="141"/>
      <c r="T66" s="141"/>
      <c r="U66" s="141"/>
      <c r="V66" s="58"/>
      <c r="X66" s="54"/>
      <c r="Y66" s="54"/>
      <c r="Z66" s="54"/>
    </row>
    <row r="67" spans="5:26">
      <c r="E67" s="64"/>
      <c r="N67" s="67"/>
      <c r="O67" s="59"/>
      <c r="P67" s="63"/>
      <c r="Q67" s="141"/>
      <c r="R67" s="141"/>
      <c r="S67" s="141"/>
      <c r="T67" s="141"/>
      <c r="U67" s="141"/>
      <c r="V67" s="58"/>
      <c r="X67" s="54"/>
      <c r="Y67" s="54"/>
      <c r="Z67" s="54"/>
    </row>
    <row r="68" spans="5:26">
      <c r="E68" s="64"/>
      <c r="N68" s="67"/>
      <c r="O68" s="59"/>
      <c r="P68" s="63"/>
      <c r="Q68" s="141"/>
      <c r="R68" s="141"/>
      <c r="S68" s="141"/>
      <c r="T68" s="141"/>
      <c r="U68" s="141"/>
      <c r="V68" s="58"/>
      <c r="X68" s="54"/>
      <c r="Y68" s="54"/>
      <c r="Z68" s="54"/>
    </row>
    <row r="69" spans="5:26">
      <c r="N69" s="68"/>
      <c r="O69" s="59"/>
      <c r="P69" s="63"/>
      <c r="Q69" s="141"/>
      <c r="R69" s="141"/>
      <c r="S69" s="141"/>
      <c r="T69" s="141"/>
      <c r="U69" s="141"/>
      <c r="V69" s="58"/>
      <c r="X69" s="54"/>
      <c r="Y69" s="54"/>
      <c r="Z69" s="54"/>
    </row>
    <row r="70" spans="5:26">
      <c r="O70" s="59"/>
      <c r="P70" s="63"/>
      <c r="Q70" s="141"/>
      <c r="R70" s="141"/>
      <c r="S70" s="141"/>
      <c r="T70" s="141"/>
      <c r="U70" s="141"/>
      <c r="V70" s="58"/>
      <c r="X70" s="54"/>
      <c r="Y70" s="54"/>
      <c r="Z70" s="54"/>
    </row>
    <row r="71" spans="5:26">
      <c r="O71" s="59"/>
      <c r="P71" s="63"/>
      <c r="Q71" s="141"/>
      <c r="R71" s="141"/>
      <c r="S71" s="141"/>
      <c r="T71" s="141"/>
      <c r="U71" s="141"/>
      <c r="V71" s="58"/>
      <c r="X71" s="54"/>
      <c r="Y71" s="54"/>
      <c r="Z71" s="54"/>
    </row>
    <row r="72" spans="5:26">
      <c r="O72" s="59"/>
      <c r="P72" s="63"/>
      <c r="Q72" s="141"/>
      <c r="R72" s="141"/>
      <c r="S72" s="141"/>
      <c r="T72" s="141"/>
      <c r="U72" s="141"/>
      <c r="V72" s="58"/>
      <c r="X72" s="54"/>
      <c r="Y72" s="54"/>
      <c r="Z72" s="54"/>
    </row>
    <row r="73" spans="5:26">
      <c r="O73" s="59"/>
      <c r="P73" s="63"/>
      <c r="Q73" s="141"/>
      <c r="R73" s="141"/>
      <c r="S73" s="141"/>
      <c r="T73" s="141"/>
      <c r="U73" s="141"/>
      <c r="V73" s="58"/>
      <c r="X73" s="54"/>
      <c r="Y73" s="54"/>
      <c r="Z73" s="54"/>
    </row>
    <row r="74" spans="5:26">
      <c r="O74" s="59"/>
      <c r="P74" s="63"/>
      <c r="Q74" s="141"/>
      <c r="R74" s="141"/>
      <c r="S74" s="141"/>
      <c r="T74" s="141"/>
      <c r="U74" s="141"/>
      <c r="V74" s="58"/>
      <c r="X74" s="54"/>
      <c r="Y74" s="54"/>
      <c r="Z74" s="54"/>
    </row>
    <row r="75" spans="5:26">
      <c r="O75" s="59"/>
      <c r="P75" s="63"/>
      <c r="Q75" s="141"/>
      <c r="R75" s="141"/>
      <c r="S75" s="141"/>
      <c r="T75" s="141"/>
      <c r="U75" s="141"/>
      <c r="V75" s="58"/>
      <c r="X75" s="54"/>
      <c r="Y75" s="54"/>
      <c r="Z75" s="54"/>
    </row>
    <row r="76" spans="5:26">
      <c r="O76" s="59"/>
      <c r="P76" s="63"/>
      <c r="Q76" s="141"/>
      <c r="R76" s="141"/>
      <c r="S76" s="141"/>
      <c r="T76" s="141"/>
      <c r="U76" s="141"/>
      <c r="V76" s="58"/>
      <c r="X76" s="54"/>
      <c r="Y76" s="54"/>
      <c r="Z76" s="54"/>
    </row>
    <row r="77" spans="5:26">
      <c r="O77" s="59"/>
      <c r="P77" s="63"/>
      <c r="Q77" s="141"/>
      <c r="R77" s="141"/>
      <c r="S77" s="141"/>
      <c r="T77" s="141"/>
      <c r="U77" s="141"/>
      <c r="V77" s="58"/>
      <c r="X77" s="54"/>
      <c r="Y77" s="54"/>
      <c r="Z77" s="54"/>
    </row>
    <row r="78" spans="5:26">
      <c r="O78" s="59"/>
      <c r="P78" s="63"/>
      <c r="Q78" s="141"/>
      <c r="R78" s="141"/>
      <c r="S78" s="141"/>
      <c r="T78" s="141"/>
      <c r="U78" s="141"/>
      <c r="V78" s="58"/>
      <c r="X78" s="54"/>
      <c r="Y78" s="54"/>
      <c r="Z78" s="54"/>
    </row>
    <row r="79" spans="5:26">
      <c r="O79" s="59"/>
      <c r="P79" s="63"/>
      <c r="Q79" s="141"/>
      <c r="R79" s="141"/>
      <c r="S79" s="141"/>
      <c r="T79" s="141"/>
      <c r="U79" s="141"/>
      <c r="V79" s="58"/>
      <c r="X79" s="54"/>
      <c r="Y79" s="54"/>
      <c r="Z79" s="54"/>
    </row>
    <row r="80" spans="5:26">
      <c r="O80" s="59"/>
      <c r="P80" s="63"/>
      <c r="Q80" s="141"/>
      <c r="R80" s="141"/>
      <c r="S80" s="141"/>
      <c r="T80" s="141"/>
      <c r="U80" s="141"/>
      <c r="V80" s="58"/>
      <c r="X80" s="54"/>
      <c r="Y80" s="54"/>
      <c r="Z80" s="54"/>
    </row>
    <row r="81" spans="15:26">
      <c r="O81" s="59"/>
      <c r="P81" s="63"/>
      <c r="Q81" s="141"/>
      <c r="R81" s="141"/>
      <c r="S81" s="141"/>
      <c r="T81" s="141"/>
      <c r="U81" s="141"/>
      <c r="V81" s="58"/>
      <c r="X81" s="54"/>
      <c r="Y81" s="54"/>
      <c r="Z81" s="54"/>
    </row>
    <row r="82" spans="15:26">
      <c r="O82" s="59"/>
      <c r="P82" s="63"/>
      <c r="Q82" s="141"/>
      <c r="R82" s="141"/>
      <c r="S82" s="141"/>
      <c r="T82" s="141"/>
      <c r="U82" s="141"/>
      <c r="V82" s="58"/>
      <c r="X82" s="54"/>
      <c r="Y82" s="54"/>
      <c r="Z82" s="54"/>
    </row>
    <row r="83" spans="15:26">
      <c r="O83" s="59"/>
      <c r="P83" s="63"/>
      <c r="Q83" s="141"/>
      <c r="R83" s="141"/>
      <c r="S83" s="141"/>
      <c r="T83" s="141"/>
      <c r="U83" s="141"/>
      <c r="V83" s="58"/>
      <c r="X83" s="54"/>
      <c r="Y83" s="54"/>
      <c r="Z83" s="54"/>
    </row>
    <row r="84" spans="15:26">
      <c r="O84" s="60"/>
      <c r="P84" s="63"/>
      <c r="Q84" s="141"/>
      <c r="R84" s="141"/>
      <c r="S84" s="141"/>
      <c r="T84" s="141"/>
      <c r="U84" s="141"/>
      <c r="V84" s="58"/>
      <c r="X84" s="54"/>
      <c r="Y84" s="54"/>
      <c r="Z84" s="54"/>
    </row>
    <row r="85" spans="15:26">
      <c r="O85" s="60">
        <v>42248</v>
      </c>
      <c r="P85" s="63"/>
      <c r="Q85" s="141"/>
      <c r="R85" s="141"/>
      <c r="S85" s="141"/>
      <c r="T85" s="141"/>
      <c r="U85" s="141"/>
      <c r="V85" s="58"/>
      <c r="X85" s="54"/>
      <c r="Y85" s="54"/>
      <c r="Z85" s="54"/>
    </row>
    <row r="86" spans="15:26">
      <c r="O86" s="59"/>
      <c r="P86" s="63"/>
      <c r="Q86" s="141"/>
      <c r="R86" s="141"/>
      <c r="S86" s="141"/>
      <c r="T86" s="141"/>
      <c r="U86" s="141"/>
      <c r="V86" s="58"/>
      <c r="X86" s="54"/>
      <c r="Y86" s="54"/>
      <c r="Z86" s="54"/>
    </row>
    <row r="87" spans="15:26">
      <c r="O87" s="59"/>
      <c r="P87" s="63"/>
      <c r="Q87" s="141"/>
      <c r="R87" s="141"/>
      <c r="S87" s="141"/>
      <c r="T87" s="141"/>
      <c r="U87" s="141"/>
      <c r="V87" s="58"/>
      <c r="X87" s="54"/>
      <c r="Y87" s="54"/>
      <c r="Z87" s="54"/>
    </row>
    <row r="88" spans="15:26">
      <c r="O88" s="59"/>
      <c r="P88" s="63"/>
      <c r="Q88" s="141"/>
      <c r="R88" s="141"/>
      <c r="S88" s="141"/>
      <c r="T88" s="141"/>
      <c r="U88" s="141"/>
      <c r="V88" s="58"/>
      <c r="X88" s="54"/>
      <c r="Y88" s="54"/>
      <c r="Z88" s="54"/>
    </row>
    <row r="89" spans="15:26">
      <c r="O89" s="59"/>
      <c r="P89" s="63"/>
      <c r="Q89" s="141"/>
      <c r="R89" s="141"/>
      <c r="S89" s="141"/>
      <c r="T89" s="141"/>
      <c r="U89" s="141"/>
      <c r="V89" s="58"/>
      <c r="X89" s="54"/>
      <c r="Y89" s="54"/>
      <c r="Z89" s="54"/>
    </row>
    <row r="90" spans="15:26">
      <c r="O90" s="59"/>
      <c r="P90" s="63"/>
      <c r="Q90" s="141"/>
      <c r="R90" s="141"/>
      <c r="S90" s="141"/>
      <c r="T90" s="141"/>
      <c r="U90" s="141"/>
      <c r="V90" s="58"/>
      <c r="X90" s="54"/>
      <c r="Y90" s="54"/>
      <c r="Z90" s="54"/>
    </row>
    <row r="91" spans="15:26">
      <c r="O91" s="59"/>
      <c r="P91" s="63"/>
      <c r="Q91" s="141"/>
      <c r="R91" s="141"/>
      <c r="S91" s="141"/>
      <c r="T91" s="141"/>
      <c r="U91" s="141"/>
      <c r="V91" s="58"/>
      <c r="X91" s="54"/>
      <c r="Y91" s="54"/>
      <c r="Z91" s="54"/>
    </row>
    <row r="92" spans="15:26">
      <c r="O92" s="59"/>
      <c r="P92" s="63"/>
      <c r="Q92" s="141"/>
      <c r="R92" s="141"/>
      <c r="S92" s="141"/>
      <c r="T92" s="141"/>
      <c r="U92" s="141"/>
      <c r="V92" s="58"/>
      <c r="X92" s="54"/>
      <c r="Y92" s="54"/>
      <c r="Z92" s="54"/>
    </row>
    <row r="93" spans="15:26">
      <c r="O93" s="59"/>
      <c r="P93" s="63"/>
      <c r="Q93" s="141"/>
      <c r="R93" s="141"/>
      <c r="S93" s="141"/>
      <c r="T93" s="141"/>
      <c r="U93" s="141"/>
      <c r="V93" s="58"/>
      <c r="X93" s="54"/>
      <c r="Y93" s="54"/>
      <c r="Z93" s="54"/>
    </row>
    <row r="94" spans="15:26">
      <c r="O94" s="59"/>
      <c r="P94" s="63"/>
      <c r="Q94" s="141"/>
      <c r="R94" s="141"/>
      <c r="S94" s="141"/>
      <c r="T94" s="141"/>
      <c r="U94" s="141"/>
      <c r="V94" s="58"/>
      <c r="X94" s="54"/>
      <c r="Y94" s="54"/>
      <c r="Z94" s="54"/>
    </row>
    <row r="95" spans="15:26">
      <c r="O95" s="59"/>
      <c r="P95" s="63"/>
      <c r="Q95" s="141"/>
      <c r="R95" s="141"/>
      <c r="S95" s="141"/>
      <c r="T95" s="141"/>
      <c r="U95" s="141"/>
      <c r="V95" s="58"/>
      <c r="X95" s="54"/>
      <c r="Y95" s="54"/>
      <c r="Z95" s="54"/>
    </row>
    <row r="96" spans="15:26">
      <c r="O96" s="59"/>
      <c r="P96" s="63"/>
      <c r="Q96" s="141"/>
      <c r="R96" s="141"/>
      <c r="S96" s="141"/>
      <c r="T96" s="141"/>
      <c r="U96" s="141"/>
      <c r="V96" s="58"/>
      <c r="X96" s="54"/>
      <c r="Y96" s="54"/>
      <c r="Z96" s="54"/>
    </row>
    <row r="97" spans="15:26">
      <c r="O97" s="59"/>
      <c r="P97" s="63"/>
      <c r="Q97" s="141"/>
      <c r="R97" s="141"/>
      <c r="S97" s="141"/>
      <c r="T97" s="141"/>
      <c r="U97" s="141"/>
      <c r="V97" s="58"/>
      <c r="X97" s="54"/>
      <c r="Y97" s="54"/>
      <c r="Z97" s="54"/>
    </row>
    <row r="98" spans="15:26">
      <c r="O98" s="59"/>
      <c r="P98" s="63"/>
      <c r="Q98" s="141"/>
      <c r="R98" s="141"/>
      <c r="S98" s="141"/>
      <c r="T98" s="141"/>
      <c r="U98" s="141"/>
      <c r="V98" s="58"/>
      <c r="X98" s="54"/>
      <c r="Y98" s="54"/>
      <c r="Z98" s="54"/>
    </row>
    <row r="99" spans="15:26">
      <c r="O99" s="59"/>
      <c r="P99" s="63"/>
      <c r="Q99" s="141"/>
      <c r="R99" s="141"/>
      <c r="S99" s="141"/>
      <c r="T99" s="141"/>
      <c r="U99" s="141"/>
      <c r="V99" s="58"/>
      <c r="X99" s="54"/>
      <c r="Y99" s="54"/>
      <c r="Z99" s="54"/>
    </row>
    <row r="100" spans="15:26">
      <c r="O100" s="59"/>
      <c r="P100" s="63"/>
      <c r="Q100" s="141"/>
      <c r="R100" s="141"/>
      <c r="S100" s="141"/>
      <c r="T100" s="141"/>
      <c r="U100" s="141"/>
      <c r="V100" s="58"/>
      <c r="X100" s="54"/>
      <c r="Y100" s="54"/>
      <c r="Z100" s="54"/>
    </row>
    <row r="101" spans="15:26">
      <c r="O101" s="59"/>
      <c r="P101" s="63"/>
      <c r="Q101" s="141"/>
      <c r="R101" s="141"/>
      <c r="S101" s="141"/>
      <c r="T101" s="141"/>
      <c r="U101" s="141"/>
      <c r="V101" s="58"/>
      <c r="X101" s="54"/>
      <c r="Y101" s="54"/>
      <c r="Z101" s="54"/>
    </row>
    <row r="102" spans="15:26">
      <c r="O102" s="59"/>
      <c r="P102" s="63"/>
      <c r="Q102" s="141"/>
      <c r="R102" s="141"/>
      <c r="S102" s="141"/>
      <c r="T102" s="141"/>
      <c r="U102" s="141"/>
      <c r="V102" s="58"/>
      <c r="X102" s="54"/>
      <c r="Y102" s="54"/>
      <c r="Z102" s="54"/>
    </row>
    <row r="103" spans="15:26">
      <c r="O103" s="59"/>
      <c r="P103" s="63"/>
      <c r="Q103" s="141"/>
      <c r="R103" s="141"/>
      <c r="S103" s="141"/>
      <c r="T103" s="141"/>
      <c r="U103" s="141"/>
      <c r="V103" s="58"/>
      <c r="X103" s="54"/>
      <c r="Y103" s="54"/>
      <c r="Z103" s="54"/>
    </row>
    <row r="104" spans="15:26">
      <c r="O104" s="59"/>
      <c r="P104" s="63"/>
      <c r="Q104" s="141"/>
      <c r="R104" s="141"/>
      <c r="S104" s="141"/>
      <c r="T104" s="141"/>
      <c r="U104" s="141"/>
      <c r="V104" s="58"/>
      <c r="X104" s="54"/>
      <c r="Y104" s="54"/>
      <c r="Z104" s="54"/>
    </row>
    <row r="105" spans="15:26">
      <c r="O105" s="59"/>
      <c r="P105" s="63"/>
      <c r="Q105" s="141"/>
      <c r="R105" s="141"/>
      <c r="S105" s="141"/>
      <c r="T105" s="141"/>
      <c r="U105" s="141"/>
      <c r="V105" s="58"/>
      <c r="X105" s="54"/>
      <c r="Y105" s="54"/>
      <c r="Z105" s="54"/>
    </row>
    <row r="106" spans="15:26">
      <c r="O106" s="59"/>
      <c r="P106" s="63"/>
      <c r="Q106" s="141"/>
      <c r="R106" s="141"/>
      <c r="S106" s="141"/>
      <c r="T106" s="141"/>
      <c r="U106" s="141"/>
      <c r="V106" s="58"/>
      <c r="X106" s="54"/>
      <c r="Y106" s="54"/>
      <c r="Z106" s="54"/>
    </row>
    <row r="107" spans="15:26">
      <c r="O107" s="59"/>
      <c r="P107" s="63"/>
      <c r="Q107" s="141"/>
      <c r="R107" s="141"/>
      <c r="S107" s="141"/>
      <c r="T107" s="141"/>
      <c r="U107" s="141"/>
      <c r="V107" s="58"/>
      <c r="X107" s="54"/>
      <c r="Y107" s="54"/>
      <c r="Z107" s="54"/>
    </row>
    <row r="108" spans="15:26">
      <c r="O108" s="59"/>
      <c r="P108" s="63"/>
      <c r="Q108" s="141"/>
      <c r="R108" s="141"/>
      <c r="S108" s="141"/>
      <c r="T108" s="141"/>
      <c r="U108" s="141"/>
      <c r="V108" s="58"/>
      <c r="X108" s="54"/>
      <c r="Y108" s="54"/>
      <c r="Z108" s="54"/>
    </row>
    <row r="109" spans="15:26">
      <c r="O109" s="59"/>
      <c r="P109" s="63"/>
      <c r="Q109" s="141"/>
      <c r="R109" s="141"/>
      <c r="S109" s="141"/>
      <c r="T109" s="141"/>
      <c r="U109" s="141"/>
      <c r="V109" s="58"/>
      <c r="X109" s="54"/>
      <c r="Y109" s="54"/>
      <c r="Z109" s="54"/>
    </row>
    <row r="110" spans="15:26">
      <c r="O110" s="59"/>
      <c r="P110" s="63"/>
      <c r="Q110" s="141"/>
      <c r="R110" s="141"/>
      <c r="S110" s="141"/>
      <c r="T110" s="141"/>
      <c r="U110" s="141"/>
      <c r="V110" s="58"/>
      <c r="X110" s="54"/>
      <c r="Y110" s="54"/>
      <c r="Z110" s="54"/>
    </row>
    <row r="111" spans="15:26">
      <c r="O111" s="59"/>
      <c r="P111" s="63"/>
      <c r="Q111" s="141"/>
      <c r="R111" s="141"/>
      <c r="S111" s="141"/>
      <c r="T111" s="141"/>
      <c r="U111" s="141"/>
      <c r="V111" s="58"/>
      <c r="X111" s="54"/>
      <c r="Y111" s="54"/>
      <c r="Z111" s="54"/>
    </row>
    <row r="112" spans="15:26">
      <c r="O112" s="59"/>
      <c r="P112" s="63"/>
      <c r="Q112" s="141"/>
      <c r="R112" s="141"/>
      <c r="S112" s="141"/>
      <c r="T112" s="141"/>
      <c r="U112" s="141"/>
      <c r="V112" s="58"/>
      <c r="X112" s="54"/>
      <c r="Y112" s="54"/>
      <c r="Z112" s="54"/>
    </row>
    <row r="113" spans="15:26">
      <c r="O113" s="59"/>
      <c r="P113" s="63"/>
      <c r="Q113" s="141"/>
      <c r="R113" s="141"/>
      <c r="S113" s="141"/>
      <c r="T113" s="141"/>
      <c r="U113" s="141"/>
      <c r="V113" s="58"/>
      <c r="X113" s="54"/>
      <c r="Y113" s="54"/>
      <c r="Z113" s="54"/>
    </row>
    <row r="114" spans="15:26">
      <c r="O114" s="59"/>
      <c r="P114" s="63"/>
      <c r="Q114" s="141"/>
      <c r="R114" s="141"/>
      <c r="S114" s="141"/>
      <c r="T114" s="141"/>
      <c r="U114" s="141"/>
      <c r="V114" s="58"/>
      <c r="X114" s="54"/>
      <c r="Y114" s="54"/>
      <c r="Z114" s="54"/>
    </row>
    <row r="115" spans="15:26">
      <c r="O115" s="60">
        <v>42278</v>
      </c>
      <c r="P115" s="63"/>
      <c r="Q115" s="141"/>
      <c r="R115" s="141"/>
      <c r="S115" s="141"/>
      <c r="T115" s="141"/>
      <c r="U115" s="141"/>
      <c r="V115" s="58"/>
      <c r="X115" s="54"/>
      <c r="Y115" s="54"/>
      <c r="Z115" s="54"/>
    </row>
    <row r="116" spans="15:26">
      <c r="O116" s="60"/>
      <c r="P116" s="63"/>
      <c r="Q116" s="141"/>
      <c r="R116" s="141"/>
      <c r="S116" s="141"/>
      <c r="T116" s="141"/>
      <c r="U116" s="141"/>
      <c r="V116" s="58"/>
      <c r="X116" s="54"/>
      <c r="Y116" s="54"/>
      <c r="Z116" s="54"/>
    </row>
    <row r="117" spans="15:26">
      <c r="O117" s="59"/>
      <c r="P117" s="63"/>
      <c r="Q117" s="141"/>
      <c r="R117" s="141"/>
      <c r="S117" s="141"/>
      <c r="T117" s="141"/>
      <c r="U117" s="141"/>
      <c r="V117" s="58"/>
      <c r="X117" s="54"/>
      <c r="Y117" s="54"/>
      <c r="Z117" s="54"/>
    </row>
    <row r="118" spans="15:26">
      <c r="O118" s="59"/>
      <c r="P118" s="63"/>
      <c r="Q118" s="141"/>
      <c r="R118" s="141"/>
      <c r="S118" s="141"/>
      <c r="T118" s="141"/>
      <c r="U118" s="141"/>
      <c r="V118" s="58"/>
      <c r="X118" s="54"/>
      <c r="Y118" s="54"/>
      <c r="Z118" s="54"/>
    </row>
    <row r="119" spans="15:26">
      <c r="O119" s="59"/>
      <c r="P119" s="63"/>
      <c r="Q119" s="141"/>
      <c r="R119" s="141"/>
      <c r="S119" s="141"/>
      <c r="T119" s="141"/>
      <c r="U119" s="141"/>
      <c r="V119" s="58"/>
      <c r="X119" s="54"/>
      <c r="Y119" s="54"/>
      <c r="Z119" s="54"/>
    </row>
    <row r="120" spans="15:26">
      <c r="O120" s="59"/>
      <c r="P120" s="63"/>
      <c r="Q120" s="141"/>
      <c r="R120" s="141"/>
      <c r="S120" s="141"/>
      <c r="T120" s="141"/>
      <c r="U120" s="141"/>
      <c r="V120" s="58"/>
      <c r="X120" s="54"/>
      <c r="Y120" s="54"/>
      <c r="Z120" s="54"/>
    </row>
    <row r="121" spans="15:26">
      <c r="O121" s="59"/>
      <c r="P121" s="63"/>
      <c r="Q121" s="141"/>
      <c r="R121" s="141"/>
      <c r="S121" s="141"/>
      <c r="T121" s="141"/>
      <c r="U121" s="141"/>
      <c r="V121" s="58"/>
      <c r="X121" s="54"/>
      <c r="Y121" s="54"/>
      <c r="Z121" s="54"/>
    </row>
    <row r="122" spans="15:26">
      <c r="O122" s="59"/>
      <c r="P122" s="63"/>
      <c r="Q122" s="141"/>
      <c r="R122" s="141"/>
      <c r="S122" s="141"/>
      <c r="T122" s="141"/>
      <c r="U122" s="141"/>
      <c r="V122" s="58"/>
      <c r="X122" s="54"/>
      <c r="Y122" s="54"/>
      <c r="Z122" s="54"/>
    </row>
    <row r="123" spans="15:26">
      <c r="O123" s="59"/>
      <c r="P123" s="63"/>
      <c r="Q123" s="141"/>
      <c r="R123" s="141"/>
      <c r="S123" s="141"/>
      <c r="T123" s="141"/>
      <c r="U123" s="141"/>
      <c r="V123" s="58"/>
      <c r="X123" s="54"/>
      <c r="Y123" s="54"/>
      <c r="Z123" s="54"/>
    </row>
    <row r="124" spans="15:26">
      <c r="O124" s="59"/>
      <c r="P124" s="63"/>
      <c r="Q124" s="141"/>
      <c r="R124" s="141"/>
      <c r="S124" s="141"/>
      <c r="T124" s="141"/>
      <c r="U124" s="141"/>
      <c r="V124" s="58"/>
      <c r="X124" s="54"/>
      <c r="Y124" s="54"/>
      <c r="Z124" s="54"/>
    </row>
    <row r="125" spans="15:26">
      <c r="O125" s="59"/>
      <c r="P125" s="63"/>
      <c r="Q125" s="141"/>
      <c r="R125" s="141"/>
      <c r="S125" s="141"/>
      <c r="T125" s="141"/>
      <c r="U125" s="141"/>
      <c r="V125" s="58"/>
      <c r="X125" s="54"/>
      <c r="Y125" s="54"/>
      <c r="Z125" s="54"/>
    </row>
    <row r="126" spans="15:26">
      <c r="O126" s="59"/>
      <c r="P126" s="63"/>
      <c r="Q126" s="141"/>
      <c r="R126" s="141"/>
      <c r="S126" s="141"/>
      <c r="T126" s="141"/>
      <c r="U126" s="141"/>
      <c r="V126" s="58"/>
      <c r="X126" s="54"/>
      <c r="Y126" s="54"/>
      <c r="Z126" s="54"/>
    </row>
    <row r="127" spans="15:26">
      <c r="O127" s="59"/>
      <c r="P127" s="63"/>
      <c r="Q127" s="141"/>
      <c r="R127" s="141"/>
      <c r="S127" s="141"/>
      <c r="T127" s="141"/>
      <c r="U127" s="141"/>
      <c r="V127" s="58"/>
      <c r="X127" s="54"/>
      <c r="Y127" s="54"/>
      <c r="Z127" s="54"/>
    </row>
    <row r="128" spans="15:26">
      <c r="O128" s="59"/>
      <c r="P128" s="63"/>
      <c r="Q128" s="141"/>
      <c r="R128" s="141"/>
      <c r="S128" s="141"/>
      <c r="T128" s="141"/>
      <c r="U128" s="141"/>
      <c r="V128" s="58"/>
      <c r="X128" s="54"/>
      <c r="Y128" s="54"/>
      <c r="Z128" s="54"/>
    </row>
    <row r="129" spans="15:26">
      <c r="O129" s="59"/>
      <c r="P129" s="63"/>
      <c r="Q129" s="141"/>
      <c r="R129" s="141"/>
      <c r="S129" s="141"/>
      <c r="T129" s="141"/>
      <c r="U129" s="141"/>
      <c r="V129" s="58"/>
      <c r="X129" s="54"/>
      <c r="Y129" s="54"/>
      <c r="Z129" s="54"/>
    </row>
    <row r="130" spans="15:26">
      <c r="O130" s="59"/>
      <c r="P130" s="63"/>
      <c r="Q130" s="141"/>
      <c r="R130" s="141"/>
      <c r="S130" s="141"/>
      <c r="T130" s="141"/>
      <c r="U130" s="141"/>
      <c r="V130" s="58"/>
      <c r="X130" s="54"/>
      <c r="Y130" s="54"/>
      <c r="Z130" s="54"/>
    </row>
    <row r="131" spans="15:26">
      <c r="O131" s="59"/>
      <c r="P131" s="63"/>
      <c r="Q131" s="141"/>
      <c r="R131" s="141"/>
      <c r="S131" s="141"/>
      <c r="T131" s="141"/>
      <c r="U131" s="141"/>
      <c r="V131" s="58"/>
      <c r="X131" s="54"/>
      <c r="Y131" s="54"/>
      <c r="Z131" s="54"/>
    </row>
    <row r="132" spans="15:26">
      <c r="O132" s="59"/>
      <c r="P132" s="63"/>
      <c r="Q132" s="141"/>
      <c r="R132" s="141"/>
      <c r="S132" s="141"/>
      <c r="T132" s="141"/>
      <c r="U132" s="141"/>
      <c r="V132" s="58"/>
      <c r="X132" s="54"/>
      <c r="Y132" s="54"/>
      <c r="Z132" s="54"/>
    </row>
    <row r="133" spans="15:26">
      <c r="O133" s="59"/>
      <c r="P133" s="63"/>
      <c r="Q133" s="141"/>
      <c r="R133" s="141"/>
      <c r="S133" s="141"/>
      <c r="T133" s="141"/>
      <c r="U133" s="141"/>
      <c r="V133" s="58"/>
      <c r="X133" s="54"/>
      <c r="Y133" s="54"/>
      <c r="Z133" s="54"/>
    </row>
    <row r="134" spans="15:26">
      <c r="O134" s="59"/>
      <c r="P134" s="63"/>
      <c r="Q134" s="141"/>
      <c r="R134" s="141"/>
      <c r="S134" s="141"/>
      <c r="T134" s="141"/>
      <c r="U134" s="141"/>
      <c r="V134" s="58"/>
      <c r="X134" s="54"/>
      <c r="Y134" s="54"/>
      <c r="Z134" s="54"/>
    </row>
    <row r="135" spans="15:26">
      <c r="O135" s="59"/>
      <c r="P135" s="63"/>
      <c r="Q135" s="141"/>
      <c r="R135" s="141"/>
      <c r="S135" s="141"/>
      <c r="T135" s="141"/>
      <c r="U135" s="141"/>
      <c r="V135" s="58"/>
      <c r="X135" s="54"/>
      <c r="Y135" s="54"/>
      <c r="Z135" s="54"/>
    </row>
    <row r="136" spans="15:26">
      <c r="O136" s="59"/>
      <c r="P136" s="63"/>
      <c r="Q136" s="141"/>
      <c r="R136" s="141"/>
      <c r="S136" s="141"/>
      <c r="T136" s="141"/>
      <c r="U136" s="141"/>
      <c r="V136" s="58"/>
      <c r="X136" s="54"/>
      <c r="Y136" s="54"/>
      <c r="Z136" s="54"/>
    </row>
    <row r="137" spans="15:26">
      <c r="O137" s="59"/>
      <c r="P137" s="63"/>
      <c r="Q137" s="141"/>
      <c r="R137" s="141"/>
      <c r="S137" s="141"/>
      <c r="T137" s="141"/>
      <c r="U137" s="141"/>
      <c r="V137" s="58"/>
      <c r="X137" s="54"/>
      <c r="Y137" s="54"/>
      <c r="Z137" s="54"/>
    </row>
    <row r="138" spans="15:26">
      <c r="O138" s="59"/>
      <c r="P138" s="63"/>
      <c r="Q138" s="141"/>
      <c r="R138" s="141"/>
      <c r="S138" s="141"/>
      <c r="T138" s="141"/>
      <c r="U138" s="141"/>
      <c r="V138" s="58"/>
      <c r="X138" s="54"/>
      <c r="Y138" s="54"/>
      <c r="Z138" s="54"/>
    </row>
    <row r="139" spans="15:26">
      <c r="O139" s="59"/>
      <c r="P139" s="63"/>
      <c r="Q139" s="141"/>
      <c r="R139" s="141"/>
      <c r="S139" s="141"/>
      <c r="T139" s="141"/>
      <c r="U139" s="141"/>
      <c r="V139" s="58"/>
      <c r="X139" s="54"/>
      <c r="Y139" s="54"/>
      <c r="Z139" s="54"/>
    </row>
    <row r="140" spans="15:26">
      <c r="O140" s="59"/>
      <c r="P140" s="63"/>
      <c r="Q140" s="141"/>
      <c r="R140" s="141"/>
      <c r="S140" s="141"/>
      <c r="T140" s="141"/>
      <c r="U140" s="141"/>
      <c r="V140" s="58"/>
      <c r="X140" s="54"/>
      <c r="Y140" s="54"/>
      <c r="Z140" s="54"/>
    </row>
    <row r="141" spans="15:26">
      <c r="O141" s="59"/>
      <c r="P141" s="63"/>
      <c r="Q141" s="141"/>
      <c r="R141" s="141"/>
      <c r="S141" s="141"/>
      <c r="T141" s="141"/>
      <c r="U141" s="141"/>
      <c r="V141" s="58"/>
      <c r="X141" s="54"/>
      <c r="Y141" s="54"/>
      <c r="Z141" s="54"/>
    </row>
    <row r="142" spans="15:26">
      <c r="O142" s="59"/>
      <c r="P142" s="63"/>
      <c r="Q142" s="141"/>
      <c r="R142" s="141"/>
      <c r="S142" s="141"/>
      <c r="T142" s="141"/>
      <c r="U142" s="141"/>
      <c r="V142" s="58"/>
      <c r="X142" s="54"/>
      <c r="Y142" s="54"/>
      <c r="Z142" s="54"/>
    </row>
    <row r="143" spans="15:26">
      <c r="O143" s="59"/>
      <c r="P143" s="63"/>
      <c r="Q143" s="141"/>
      <c r="R143" s="141"/>
      <c r="S143" s="141"/>
      <c r="T143" s="141"/>
      <c r="U143" s="141"/>
      <c r="V143" s="58"/>
      <c r="X143" s="54"/>
      <c r="Y143" s="54"/>
      <c r="Z143" s="54"/>
    </row>
    <row r="144" spans="15:26">
      <c r="O144" s="59"/>
      <c r="P144" s="63"/>
      <c r="Q144" s="141"/>
      <c r="R144" s="141"/>
      <c r="S144" s="141"/>
      <c r="T144" s="141"/>
      <c r="U144" s="141"/>
      <c r="V144" s="58"/>
      <c r="X144" s="54"/>
      <c r="Y144" s="54"/>
      <c r="Z144" s="54"/>
    </row>
    <row r="145" spans="15:26">
      <c r="O145" s="59"/>
      <c r="P145" s="63"/>
      <c r="Q145" s="141"/>
      <c r="R145" s="141"/>
      <c r="S145" s="141"/>
      <c r="T145" s="141"/>
      <c r="U145" s="141"/>
      <c r="V145" s="58"/>
      <c r="X145" s="54"/>
      <c r="Y145" s="54"/>
      <c r="Z145" s="54"/>
    </row>
    <row r="146" spans="15:26">
      <c r="O146" s="60">
        <v>42309</v>
      </c>
      <c r="P146" s="63"/>
      <c r="Q146" s="141"/>
      <c r="R146" s="141"/>
      <c r="S146" s="141"/>
      <c r="T146" s="141"/>
      <c r="U146" s="141"/>
      <c r="V146" s="58"/>
      <c r="X146" s="54"/>
      <c r="Y146" s="54"/>
      <c r="Z146" s="54"/>
    </row>
    <row r="147" spans="15:26">
      <c r="O147" s="60"/>
      <c r="P147" s="63"/>
      <c r="Q147" s="141"/>
      <c r="R147" s="141"/>
      <c r="S147" s="141"/>
      <c r="T147" s="141"/>
      <c r="U147" s="141"/>
      <c r="V147" s="58"/>
      <c r="X147" s="54"/>
      <c r="Y147" s="54"/>
      <c r="Z147" s="54"/>
    </row>
    <row r="148" spans="15:26">
      <c r="O148" s="59"/>
      <c r="P148" s="63"/>
      <c r="Q148" s="141"/>
      <c r="R148" s="141"/>
      <c r="S148" s="141"/>
      <c r="T148" s="141"/>
      <c r="U148" s="141"/>
      <c r="V148" s="58"/>
      <c r="X148" s="54"/>
      <c r="Y148" s="54"/>
      <c r="Z148" s="54"/>
    </row>
    <row r="149" spans="15:26">
      <c r="O149" s="59"/>
      <c r="P149" s="63"/>
      <c r="Q149" s="141"/>
      <c r="R149" s="141"/>
      <c r="S149" s="141"/>
      <c r="T149" s="141"/>
      <c r="U149" s="141"/>
      <c r="V149" s="58"/>
      <c r="X149" s="54"/>
      <c r="Y149" s="54"/>
      <c r="Z149" s="54"/>
    </row>
    <row r="150" spans="15:26">
      <c r="O150" s="59"/>
      <c r="P150" s="63"/>
      <c r="Q150" s="141"/>
      <c r="R150" s="141"/>
      <c r="S150" s="141"/>
      <c r="T150" s="141"/>
      <c r="U150" s="141"/>
      <c r="V150" s="58"/>
      <c r="X150" s="54"/>
      <c r="Y150" s="54"/>
      <c r="Z150" s="54"/>
    </row>
    <row r="151" spans="15:26">
      <c r="O151" s="59"/>
      <c r="P151" s="63"/>
      <c r="Q151" s="141"/>
      <c r="R151" s="141"/>
      <c r="S151" s="141"/>
      <c r="T151" s="141"/>
      <c r="U151" s="141"/>
      <c r="V151" s="58"/>
      <c r="X151" s="54"/>
      <c r="Y151" s="54"/>
      <c r="Z151" s="54"/>
    </row>
    <row r="152" spans="15:26">
      <c r="O152" s="59"/>
      <c r="P152" s="63"/>
      <c r="Q152" s="141"/>
      <c r="R152" s="141"/>
      <c r="S152" s="141"/>
      <c r="T152" s="141"/>
      <c r="U152" s="141"/>
      <c r="V152" s="58"/>
      <c r="X152" s="54"/>
      <c r="Y152" s="54"/>
      <c r="Z152" s="54"/>
    </row>
    <row r="153" spans="15:26">
      <c r="O153" s="59"/>
      <c r="P153" s="63"/>
      <c r="Q153" s="141"/>
      <c r="R153" s="141"/>
      <c r="S153" s="141"/>
      <c r="T153" s="141"/>
      <c r="U153" s="141"/>
      <c r="V153" s="58"/>
      <c r="X153" s="54"/>
      <c r="Y153" s="54"/>
      <c r="Z153" s="54"/>
    </row>
    <row r="154" spans="15:26">
      <c r="O154" s="59"/>
      <c r="P154" s="63"/>
      <c r="Q154" s="141"/>
      <c r="R154" s="141"/>
      <c r="S154" s="141"/>
      <c r="T154" s="141"/>
      <c r="U154" s="141"/>
      <c r="V154" s="58"/>
      <c r="X154" s="54"/>
      <c r="Y154" s="54"/>
      <c r="Z154" s="54"/>
    </row>
    <row r="155" spans="15:26">
      <c r="O155" s="59"/>
      <c r="P155" s="63"/>
      <c r="Q155" s="141"/>
      <c r="R155" s="141"/>
      <c r="S155" s="141"/>
      <c r="T155" s="141"/>
      <c r="U155" s="141"/>
      <c r="V155" s="58"/>
      <c r="X155" s="54"/>
      <c r="Y155" s="54"/>
      <c r="Z155" s="54"/>
    </row>
    <row r="156" spans="15:26">
      <c r="O156" s="59"/>
      <c r="P156" s="63"/>
      <c r="Q156" s="141"/>
      <c r="R156" s="141"/>
      <c r="S156" s="141"/>
      <c r="T156" s="141"/>
      <c r="U156" s="141"/>
      <c r="V156" s="58"/>
      <c r="X156" s="54"/>
      <c r="Y156" s="54"/>
      <c r="Z156" s="54"/>
    </row>
    <row r="157" spans="15:26">
      <c r="O157" s="59"/>
      <c r="P157" s="63"/>
      <c r="Q157" s="141"/>
      <c r="R157" s="141"/>
      <c r="S157" s="141"/>
      <c r="T157" s="141"/>
      <c r="U157" s="141"/>
      <c r="V157" s="58"/>
      <c r="X157" s="54"/>
      <c r="Y157" s="54"/>
      <c r="Z157" s="54"/>
    </row>
    <row r="158" spans="15:26">
      <c r="O158" s="59"/>
      <c r="P158" s="63"/>
      <c r="Q158" s="141"/>
      <c r="R158" s="141"/>
      <c r="S158" s="141"/>
      <c r="T158" s="141"/>
      <c r="U158" s="141"/>
      <c r="V158" s="58"/>
      <c r="X158" s="54"/>
      <c r="Y158" s="54"/>
      <c r="Z158" s="54"/>
    </row>
    <row r="159" spans="15:26">
      <c r="O159" s="59"/>
      <c r="P159" s="63"/>
      <c r="Q159" s="141"/>
      <c r="R159" s="141"/>
      <c r="S159" s="141"/>
      <c r="T159" s="141"/>
      <c r="U159" s="141"/>
      <c r="V159" s="58"/>
      <c r="X159" s="54"/>
      <c r="Y159" s="54"/>
      <c r="Z159" s="54"/>
    </row>
    <row r="160" spans="15:26">
      <c r="O160" s="59"/>
      <c r="P160" s="63"/>
      <c r="Q160" s="141"/>
      <c r="R160" s="141"/>
      <c r="S160" s="141"/>
      <c r="T160" s="141"/>
      <c r="U160" s="141"/>
      <c r="V160" s="58"/>
      <c r="X160" s="54"/>
      <c r="Y160" s="54"/>
      <c r="Z160" s="54"/>
    </row>
    <row r="161" spans="15:26">
      <c r="O161" s="59"/>
      <c r="P161" s="63"/>
      <c r="Q161" s="141"/>
      <c r="R161" s="141"/>
      <c r="S161" s="141"/>
      <c r="T161" s="141"/>
      <c r="U161" s="141"/>
      <c r="V161" s="58"/>
      <c r="X161" s="54"/>
      <c r="Y161" s="54"/>
      <c r="Z161" s="54"/>
    </row>
    <row r="162" spans="15:26">
      <c r="O162" s="59"/>
      <c r="P162" s="63"/>
      <c r="Q162" s="141"/>
      <c r="R162" s="141"/>
      <c r="S162" s="141"/>
      <c r="T162" s="141"/>
      <c r="U162" s="141"/>
      <c r="V162" s="58"/>
      <c r="X162" s="54"/>
      <c r="Y162" s="54"/>
      <c r="Z162" s="54"/>
    </row>
    <row r="163" spans="15:26">
      <c r="O163" s="59"/>
      <c r="P163" s="63"/>
      <c r="Q163" s="141"/>
      <c r="R163" s="141"/>
      <c r="S163" s="141"/>
      <c r="T163" s="141"/>
      <c r="U163" s="141"/>
      <c r="V163" s="58"/>
      <c r="X163" s="54"/>
      <c r="Y163" s="54"/>
      <c r="Z163" s="54"/>
    </row>
    <row r="164" spans="15:26">
      <c r="O164" s="59"/>
      <c r="P164" s="63"/>
      <c r="Q164" s="141"/>
      <c r="R164" s="141"/>
      <c r="S164" s="141"/>
      <c r="T164" s="141"/>
      <c r="U164" s="141"/>
      <c r="V164" s="58"/>
      <c r="X164" s="54"/>
      <c r="Y164" s="54"/>
      <c r="Z164" s="54"/>
    </row>
    <row r="165" spans="15:26">
      <c r="O165" s="59"/>
      <c r="P165" s="63"/>
      <c r="Q165" s="141"/>
      <c r="R165" s="141"/>
      <c r="S165" s="141"/>
      <c r="T165" s="141"/>
      <c r="U165" s="141"/>
      <c r="V165" s="58"/>
      <c r="X165" s="54"/>
      <c r="Y165" s="54"/>
      <c r="Z165" s="54"/>
    </row>
    <row r="166" spans="15:26">
      <c r="O166" s="59"/>
      <c r="P166" s="63"/>
      <c r="Q166" s="141"/>
      <c r="R166" s="141"/>
      <c r="S166" s="141"/>
      <c r="T166" s="141"/>
      <c r="U166" s="141"/>
      <c r="V166" s="58"/>
      <c r="X166" s="54"/>
      <c r="Y166" s="54"/>
      <c r="Z166" s="54"/>
    </row>
    <row r="167" spans="15:26">
      <c r="O167" s="59"/>
      <c r="P167" s="63"/>
      <c r="Q167" s="141"/>
      <c r="R167" s="141"/>
      <c r="S167" s="141"/>
      <c r="T167" s="141"/>
      <c r="U167" s="141"/>
      <c r="V167" s="58"/>
      <c r="X167" s="54"/>
      <c r="Y167" s="54"/>
      <c r="Z167" s="54"/>
    </row>
    <row r="168" spans="15:26">
      <c r="O168" s="59"/>
      <c r="P168" s="63"/>
      <c r="Q168" s="141"/>
      <c r="R168" s="141"/>
      <c r="S168" s="141"/>
      <c r="T168" s="141"/>
      <c r="U168" s="141"/>
      <c r="V168" s="58"/>
      <c r="X168" s="54"/>
      <c r="Y168" s="54"/>
      <c r="Z168" s="54"/>
    </row>
    <row r="169" spans="15:26">
      <c r="O169" s="59"/>
      <c r="P169" s="63"/>
      <c r="Q169" s="141"/>
      <c r="R169" s="141"/>
      <c r="S169" s="141"/>
      <c r="T169" s="141"/>
      <c r="U169" s="141"/>
      <c r="V169" s="58"/>
      <c r="X169" s="54"/>
      <c r="Y169" s="54"/>
      <c r="Z169" s="54"/>
    </row>
    <row r="170" spans="15:26">
      <c r="O170" s="59"/>
      <c r="P170" s="63"/>
      <c r="Q170" s="141"/>
      <c r="R170" s="141"/>
      <c r="S170" s="141"/>
      <c r="T170" s="141"/>
      <c r="U170" s="141"/>
      <c r="V170" s="58"/>
      <c r="X170" s="54"/>
      <c r="Y170" s="54"/>
      <c r="Z170" s="54"/>
    </row>
    <row r="171" spans="15:26">
      <c r="O171" s="59"/>
      <c r="P171" s="63"/>
      <c r="Q171" s="141"/>
      <c r="R171" s="141"/>
      <c r="S171" s="141"/>
      <c r="T171" s="141"/>
      <c r="U171" s="141"/>
      <c r="V171" s="58"/>
      <c r="X171" s="54"/>
      <c r="Y171" s="54"/>
      <c r="Z171" s="54"/>
    </row>
    <row r="172" spans="15:26">
      <c r="O172" s="59"/>
      <c r="P172" s="63"/>
      <c r="Q172" s="141"/>
      <c r="R172" s="141"/>
      <c r="S172" s="141"/>
      <c r="T172" s="141"/>
      <c r="U172" s="141"/>
      <c r="V172" s="58"/>
      <c r="X172" s="54"/>
      <c r="Y172" s="54"/>
      <c r="Z172" s="54"/>
    </row>
    <row r="173" spans="15:26">
      <c r="O173" s="59"/>
      <c r="P173" s="63"/>
      <c r="Q173" s="141"/>
      <c r="R173" s="141"/>
      <c r="S173" s="141"/>
      <c r="T173" s="141"/>
      <c r="U173" s="141"/>
      <c r="V173" s="58"/>
      <c r="X173" s="54"/>
      <c r="Y173" s="54"/>
      <c r="Z173" s="54"/>
    </row>
    <row r="174" spans="15:26">
      <c r="O174" s="59"/>
      <c r="P174" s="63"/>
      <c r="Q174" s="141"/>
      <c r="R174" s="141"/>
      <c r="S174" s="141"/>
      <c r="T174" s="141"/>
      <c r="U174" s="141"/>
      <c r="V174" s="58"/>
      <c r="X174" s="54"/>
      <c r="Y174" s="54"/>
      <c r="Z174" s="54"/>
    </row>
    <row r="175" spans="15:26">
      <c r="O175" s="59"/>
      <c r="P175" s="63"/>
      <c r="Q175" s="141"/>
      <c r="R175" s="141"/>
      <c r="S175" s="141"/>
      <c r="T175" s="141"/>
      <c r="U175" s="141"/>
      <c r="V175" s="58"/>
      <c r="X175" s="54"/>
      <c r="Y175" s="54"/>
      <c r="Z175" s="54"/>
    </row>
    <row r="176" spans="15:26">
      <c r="O176" s="60">
        <v>42339</v>
      </c>
      <c r="P176" s="63"/>
      <c r="Q176" s="141"/>
      <c r="R176" s="141"/>
      <c r="S176" s="141"/>
      <c r="T176" s="141"/>
      <c r="U176" s="141"/>
      <c r="V176" s="58"/>
      <c r="X176" s="54"/>
      <c r="Y176" s="54"/>
      <c r="Z176" s="54"/>
    </row>
    <row r="177" spans="15:26">
      <c r="O177" s="60"/>
      <c r="P177" s="63"/>
      <c r="Q177" s="141"/>
      <c r="R177" s="141"/>
      <c r="S177" s="141"/>
      <c r="T177" s="141"/>
      <c r="U177" s="141"/>
      <c r="V177" s="58"/>
      <c r="X177" s="54"/>
      <c r="Y177" s="54"/>
      <c r="Z177" s="54"/>
    </row>
    <row r="178" spans="15:26">
      <c r="O178" s="59"/>
      <c r="P178" s="63"/>
      <c r="Q178" s="141"/>
      <c r="R178" s="141"/>
      <c r="S178" s="141"/>
      <c r="T178" s="141"/>
      <c r="U178" s="141"/>
      <c r="V178" s="58"/>
      <c r="X178" s="54"/>
      <c r="Y178" s="54"/>
      <c r="Z178" s="54"/>
    </row>
    <row r="179" spans="15:26">
      <c r="O179" s="59"/>
      <c r="P179" s="63"/>
      <c r="Q179" s="141"/>
      <c r="R179" s="141"/>
      <c r="S179" s="141"/>
      <c r="T179" s="141"/>
      <c r="U179" s="141"/>
      <c r="V179" s="58"/>
      <c r="X179" s="54"/>
      <c r="Y179" s="54"/>
      <c r="Z179" s="54"/>
    </row>
    <row r="180" spans="15:26">
      <c r="O180" s="59"/>
      <c r="P180" s="63"/>
      <c r="Q180" s="141"/>
      <c r="R180" s="141"/>
      <c r="S180" s="141"/>
      <c r="T180" s="141"/>
      <c r="U180" s="141"/>
      <c r="V180" s="58"/>
      <c r="X180" s="54"/>
      <c r="Y180" s="54"/>
      <c r="Z180" s="54"/>
    </row>
    <row r="181" spans="15:26">
      <c r="O181" s="59"/>
      <c r="P181" s="63"/>
      <c r="Q181" s="141"/>
      <c r="R181" s="141"/>
      <c r="S181" s="141"/>
      <c r="T181" s="141"/>
      <c r="U181" s="141"/>
      <c r="V181" s="58"/>
      <c r="X181" s="54"/>
      <c r="Y181" s="54"/>
      <c r="Z181" s="54"/>
    </row>
    <row r="182" spans="15:26">
      <c r="O182" s="59"/>
      <c r="P182" s="63"/>
      <c r="Q182" s="141"/>
      <c r="R182" s="141"/>
      <c r="S182" s="141"/>
      <c r="T182" s="141"/>
      <c r="U182" s="141"/>
      <c r="V182" s="58"/>
      <c r="X182" s="54"/>
      <c r="Y182" s="54"/>
      <c r="Z182" s="54"/>
    </row>
    <row r="183" spans="15:26">
      <c r="O183" s="59"/>
      <c r="P183" s="63"/>
      <c r="Q183" s="141"/>
      <c r="R183" s="141"/>
      <c r="S183" s="141"/>
      <c r="T183" s="141"/>
      <c r="U183" s="141"/>
      <c r="V183" s="58"/>
      <c r="X183" s="54"/>
      <c r="Y183" s="54"/>
      <c r="Z183" s="54"/>
    </row>
    <row r="184" spans="15:26">
      <c r="O184" s="59"/>
      <c r="P184" s="63"/>
      <c r="Q184" s="141"/>
      <c r="R184" s="141"/>
      <c r="S184" s="141"/>
      <c r="T184" s="141"/>
      <c r="U184" s="141"/>
      <c r="V184" s="58"/>
      <c r="X184" s="54"/>
      <c r="Y184" s="54"/>
      <c r="Z184" s="54"/>
    </row>
    <row r="185" spans="15:26">
      <c r="O185" s="59"/>
      <c r="P185" s="63"/>
      <c r="Q185" s="141"/>
      <c r="R185" s="141"/>
      <c r="S185" s="141"/>
      <c r="T185" s="141"/>
      <c r="U185" s="141"/>
      <c r="V185" s="58"/>
      <c r="X185" s="54"/>
      <c r="Y185" s="54"/>
      <c r="Z185" s="54"/>
    </row>
    <row r="186" spans="15:26">
      <c r="O186" s="59"/>
      <c r="P186" s="63"/>
      <c r="Q186" s="141"/>
      <c r="R186" s="141"/>
      <c r="S186" s="141"/>
      <c r="T186" s="141"/>
      <c r="U186" s="141"/>
      <c r="V186" s="58"/>
      <c r="X186" s="54"/>
      <c r="Y186" s="54"/>
      <c r="Z186" s="54"/>
    </row>
    <row r="187" spans="15:26">
      <c r="O187" s="59"/>
      <c r="P187" s="63"/>
      <c r="Q187" s="141"/>
      <c r="R187" s="141"/>
      <c r="S187" s="141"/>
      <c r="T187" s="141"/>
      <c r="U187" s="141"/>
      <c r="V187" s="58"/>
      <c r="X187" s="54"/>
      <c r="Y187" s="54"/>
      <c r="Z187" s="54"/>
    </row>
    <row r="188" spans="15:26">
      <c r="O188" s="59"/>
      <c r="P188" s="63"/>
      <c r="Q188" s="141"/>
      <c r="R188" s="141"/>
      <c r="S188" s="141"/>
      <c r="T188" s="141"/>
      <c r="U188" s="141"/>
      <c r="V188" s="58"/>
      <c r="X188" s="54"/>
      <c r="Y188" s="54"/>
      <c r="Z188" s="54"/>
    </row>
    <row r="189" spans="15:26">
      <c r="O189" s="59"/>
      <c r="P189" s="63"/>
      <c r="Q189" s="141"/>
      <c r="R189" s="141"/>
      <c r="S189" s="141"/>
      <c r="T189" s="141"/>
      <c r="U189" s="141"/>
      <c r="V189" s="58"/>
      <c r="X189" s="54"/>
      <c r="Y189" s="54"/>
      <c r="Z189" s="54"/>
    </row>
    <row r="190" spans="15:26">
      <c r="O190" s="59"/>
      <c r="P190" s="63"/>
      <c r="Q190" s="141"/>
      <c r="R190" s="141"/>
      <c r="S190" s="141"/>
      <c r="T190" s="141"/>
      <c r="U190" s="141"/>
      <c r="V190" s="58"/>
      <c r="X190" s="54"/>
      <c r="Y190" s="54"/>
      <c r="Z190" s="54"/>
    </row>
    <row r="191" spans="15:26">
      <c r="O191" s="59"/>
      <c r="P191" s="63"/>
      <c r="Q191" s="141"/>
      <c r="R191" s="141"/>
      <c r="S191" s="141"/>
      <c r="T191" s="141"/>
      <c r="U191" s="141"/>
      <c r="V191" s="58"/>
      <c r="X191" s="54"/>
      <c r="Y191" s="54"/>
      <c r="Z191" s="54"/>
    </row>
    <row r="192" spans="15:26">
      <c r="O192" s="59"/>
      <c r="P192" s="63"/>
      <c r="Q192" s="141"/>
      <c r="R192" s="141"/>
      <c r="S192" s="141"/>
      <c r="T192" s="141"/>
      <c r="U192" s="141"/>
      <c r="V192" s="58"/>
      <c r="X192" s="54"/>
      <c r="Y192" s="54"/>
      <c r="Z192" s="54"/>
    </row>
    <row r="193" spans="15:26">
      <c r="O193" s="59"/>
      <c r="P193" s="63"/>
      <c r="Q193" s="141"/>
      <c r="R193" s="141"/>
      <c r="S193" s="141"/>
      <c r="T193" s="141"/>
      <c r="U193" s="141"/>
      <c r="V193" s="58"/>
      <c r="X193" s="54"/>
      <c r="Y193" s="54"/>
      <c r="Z193" s="54"/>
    </row>
    <row r="194" spans="15:26">
      <c r="O194" s="59"/>
      <c r="P194" s="63"/>
      <c r="Q194" s="141"/>
      <c r="R194" s="141"/>
      <c r="S194" s="141"/>
      <c r="T194" s="141"/>
      <c r="U194" s="141"/>
      <c r="V194" s="58"/>
      <c r="X194" s="54"/>
      <c r="Y194" s="54"/>
      <c r="Z194" s="54"/>
    </row>
    <row r="195" spans="15:26">
      <c r="O195" s="59"/>
      <c r="P195" s="63"/>
      <c r="Q195" s="141"/>
      <c r="R195" s="141"/>
      <c r="S195" s="141"/>
      <c r="T195" s="141"/>
      <c r="U195" s="141"/>
      <c r="V195" s="58"/>
      <c r="X195" s="54"/>
      <c r="Y195" s="54"/>
      <c r="Z195" s="54"/>
    </row>
    <row r="196" spans="15:26">
      <c r="O196" s="59"/>
      <c r="P196" s="63"/>
      <c r="Q196" s="141"/>
      <c r="R196" s="141"/>
      <c r="S196" s="141"/>
      <c r="T196" s="141"/>
      <c r="U196" s="141"/>
      <c r="V196" s="58"/>
      <c r="X196" s="54"/>
      <c r="Y196" s="54"/>
      <c r="Z196" s="54"/>
    </row>
    <row r="197" spans="15:26">
      <c r="O197" s="59"/>
      <c r="P197" s="63"/>
      <c r="Q197" s="141"/>
      <c r="R197" s="141"/>
      <c r="S197" s="141"/>
      <c r="T197" s="141"/>
      <c r="U197" s="141"/>
      <c r="V197" s="58"/>
      <c r="X197" s="54"/>
      <c r="Y197" s="54"/>
      <c r="Z197" s="54"/>
    </row>
    <row r="198" spans="15:26">
      <c r="O198" s="59"/>
      <c r="P198" s="63"/>
      <c r="Q198" s="141"/>
      <c r="R198" s="141"/>
      <c r="S198" s="141"/>
      <c r="T198" s="141"/>
      <c r="U198" s="141"/>
      <c r="V198" s="58"/>
      <c r="X198" s="54"/>
      <c r="Y198" s="54"/>
      <c r="Z198" s="54"/>
    </row>
    <row r="199" spans="15:26">
      <c r="O199" s="59"/>
      <c r="P199" s="63"/>
      <c r="Q199" s="141"/>
      <c r="R199" s="141"/>
      <c r="S199" s="141"/>
      <c r="T199" s="141"/>
      <c r="U199" s="141"/>
      <c r="V199" s="58"/>
      <c r="X199" s="54"/>
      <c r="Y199" s="54"/>
      <c r="Z199" s="54"/>
    </row>
    <row r="200" spans="15:26">
      <c r="O200" s="59"/>
      <c r="P200" s="63"/>
      <c r="Q200" s="141"/>
      <c r="R200" s="141"/>
      <c r="S200" s="141"/>
      <c r="T200" s="141"/>
      <c r="U200" s="141"/>
      <c r="V200" s="58"/>
      <c r="X200" s="54"/>
      <c r="Y200" s="54"/>
      <c r="Z200" s="54"/>
    </row>
    <row r="201" spans="15:26">
      <c r="O201" s="59"/>
      <c r="P201" s="63"/>
      <c r="Q201" s="141"/>
      <c r="R201" s="141"/>
      <c r="S201" s="141"/>
      <c r="T201" s="141"/>
      <c r="U201" s="141"/>
      <c r="V201" s="58"/>
      <c r="X201" s="54"/>
      <c r="Y201" s="54"/>
      <c r="Z201" s="54"/>
    </row>
    <row r="202" spans="15:26">
      <c r="O202" s="59"/>
      <c r="P202" s="63"/>
      <c r="Q202" s="141"/>
      <c r="R202" s="141"/>
      <c r="S202" s="141"/>
      <c r="T202" s="141"/>
      <c r="U202" s="141"/>
      <c r="V202" s="58"/>
      <c r="X202" s="54"/>
      <c r="Y202" s="54"/>
      <c r="Z202" s="54"/>
    </row>
    <row r="203" spans="15:26">
      <c r="O203" s="59"/>
      <c r="P203" s="63"/>
      <c r="Q203" s="141"/>
      <c r="R203" s="141"/>
      <c r="S203" s="141"/>
      <c r="T203" s="141"/>
      <c r="U203" s="141"/>
      <c r="V203" s="58"/>
      <c r="X203" s="54"/>
      <c r="Y203" s="54"/>
      <c r="Z203" s="54"/>
    </row>
    <row r="204" spans="15:26">
      <c r="O204" s="59"/>
      <c r="P204" s="63"/>
      <c r="Q204" s="141"/>
      <c r="R204" s="141"/>
      <c r="S204" s="141"/>
      <c r="T204" s="141"/>
      <c r="U204" s="141"/>
      <c r="V204" s="58"/>
      <c r="X204" s="54"/>
      <c r="Y204" s="54"/>
      <c r="Z204" s="54"/>
    </row>
    <row r="205" spans="15:26">
      <c r="O205" s="59"/>
      <c r="P205" s="63"/>
      <c r="Q205" s="141"/>
      <c r="R205" s="141"/>
      <c r="S205" s="141"/>
      <c r="T205" s="141"/>
      <c r="U205" s="141"/>
      <c r="V205" s="58"/>
      <c r="X205" s="54"/>
      <c r="Y205" s="54"/>
      <c r="Z205" s="54"/>
    </row>
    <row r="206" spans="15:26">
      <c r="O206" s="59"/>
      <c r="P206" s="63"/>
      <c r="Q206" s="141"/>
      <c r="R206" s="141"/>
      <c r="S206" s="141"/>
      <c r="T206" s="141"/>
      <c r="U206" s="141"/>
      <c r="V206" s="58"/>
      <c r="X206" s="54"/>
      <c r="Y206" s="54"/>
      <c r="Z206" s="54"/>
    </row>
    <row r="207" spans="15:26">
      <c r="O207" s="60">
        <v>42370</v>
      </c>
      <c r="P207" s="63"/>
      <c r="Q207" s="141"/>
      <c r="R207" s="141"/>
      <c r="S207" s="141"/>
      <c r="T207" s="141"/>
      <c r="U207" s="141"/>
      <c r="V207" s="58"/>
      <c r="X207" s="54"/>
      <c r="Y207" s="54"/>
      <c r="Z207" s="54"/>
    </row>
    <row r="208" spans="15:26">
      <c r="O208" s="60"/>
      <c r="P208" s="63"/>
      <c r="Q208" s="141"/>
      <c r="R208" s="141"/>
      <c r="S208" s="141"/>
      <c r="T208" s="141"/>
      <c r="U208" s="141"/>
      <c r="V208" s="58"/>
      <c r="X208" s="54"/>
      <c r="Y208" s="54"/>
      <c r="Z208" s="54"/>
    </row>
    <row r="209" spans="15:26">
      <c r="O209" s="59"/>
      <c r="P209" s="63"/>
      <c r="Q209" s="141"/>
      <c r="R209" s="141"/>
      <c r="S209" s="141"/>
      <c r="T209" s="141"/>
      <c r="U209" s="141"/>
      <c r="V209" s="58"/>
      <c r="X209" s="54"/>
      <c r="Y209" s="54"/>
      <c r="Z209" s="54"/>
    </row>
    <row r="210" spans="15:26">
      <c r="O210" s="59"/>
      <c r="P210" s="63"/>
      <c r="Q210" s="141"/>
      <c r="R210" s="141"/>
      <c r="S210" s="141"/>
      <c r="T210" s="141"/>
      <c r="U210" s="141"/>
      <c r="V210" s="58"/>
      <c r="X210" s="54"/>
      <c r="Y210" s="54"/>
      <c r="Z210" s="54"/>
    </row>
    <row r="211" spans="15:26">
      <c r="O211" s="59"/>
      <c r="P211" s="63"/>
      <c r="Q211" s="141"/>
      <c r="R211" s="141"/>
      <c r="S211" s="141"/>
      <c r="T211" s="141"/>
      <c r="U211" s="141"/>
      <c r="V211" s="58"/>
      <c r="X211" s="54"/>
      <c r="Y211" s="54"/>
      <c r="Z211" s="54"/>
    </row>
    <row r="212" spans="15:26">
      <c r="O212" s="59"/>
      <c r="P212" s="63"/>
      <c r="Q212" s="141"/>
      <c r="R212" s="141"/>
      <c r="S212" s="141"/>
      <c r="T212" s="141"/>
      <c r="U212" s="141"/>
      <c r="V212" s="58"/>
      <c r="X212" s="54"/>
      <c r="Y212" s="54"/>
      <c r="Z212" s="54"/>
    </row>
    <row r="213" spans="15:26">
      <c r="O213" s="59"/>
      <c r="P213" s="63"/>
      <c r="Q213" s="141"/>
      <c r="R213" s="141"/>
      <c r="S213" s="141"/>
      <c r="T213" s="141"/>
      <c r="U213" s="141"/>
      <c r="V213" s="58"/>
      <c r="X213" s="54"/>
      <c r="Y213" s="54"/>
      <c r="Z213" s="54"/>
    </row>
    <row r="214" spans="15:26">
      <c r="O214" s="59"/>
      <c r="P214" s="63"/>
      <c r="Q214" s="141"/>
      <c r="R214" s="141"/>
      <c r="S214" s="141"/>
      <c r="T214" s="141"/>
      <c r="U214" s="141"/>
      <c r="V214" s="58"/>
      <c r="X214" s="54"/>
      <c r="Y214" s="54"/>
      <c r="Z214" s="54"/>
    </row>
    <row r="215" spans="15:26">
      <c r="O215" s="59"/>
      <c r="P215" s="63"/>
      <c r="Q215" s="141"/>
      <c r="R215" s="141"/>
      <c r="S215" s="141"/>
      <c r="T215" s="141"/>
      <c r="U215" s="141"/>
      <c r="V215" s="58"/>
      <c r="X215" s="54"/>
      <c r="Y215" s="54"/>
      <c r="Z215" s="54"/>
    </row>
    <row r="216" spans="15:26">
      <c r="O216" s="59"/>
      <c r="P216" s="63"/>
      <c r="Q216" s="141"/>
      <c r="R216" s="141"/>
      <c r="S216" s="141"/>
      <c r="T216" s="141"/>
      <c r="U216" s="141"/>
      <c r="V216" s="58"/>
      <c r="X216" s="54"/>
      <c r="Y216" s="54"/>
      <c r="Z216" s="54"/>
    </row>
    <row r="217" spans="15:26">
      <c r="O217" s="59"/>
      <c r="P217" s="63"/>
      <c r="Q217" s="141"/>
      <c r="R217" s="141"/>
      <c r="S217" s="141"/>
      <c r="T217" s="141"/>
      <c r="U217" s="141"/>
      <c r="V217" s="58"/>
      <c r="X217" s="54"/>
      <c r="Y217" s="54"/>
      <c r="Z217" s="54"/>
    </row>
    <row r="218" spans="15:26">
      <c r="O218" s="59"/>
      <c r="P218" s="63"/>
      <c r="Q218" s="141"/>
      <c r="R218" s="141"/>
      <c r="S218" s="141"/>
      <c r="T218" s="141"/>
      <c r="U218" s="141"/>
      <c r="V218" s="58"/>
      <c r="X218" s="54"/>
      <c r="Y218" s="54"/>
      <c r="Z218" s="54"/>
    </row>
    <row r="219" spans="15:26">
      <c r="O219" s="59"/>
      <c r="P219" s="63"/>
      <c r="Q219" s="141"/>
      <c r="R219" s="141"/>
      <c r="S219" s="141"/>
      <c r="T219" s="141"/>
      <c r="U219" s="141"/>
      <c r="V219" s="58"/>
      <c r="X219" s="54"/>
      <c r="Y219" s="54"/>
      <c r="Z219" s="54"/>
    </row>
    <row r="220" spans="15:26">
      <c r="O220" s="59"/>
      <c r="P220" s="63"/>
      <c r="Q220" s="141"/>
      <c r="R220" s="141"/>
      <c r="S220" s="141"/>
      <c r="T220" s="141"/>
      <c r="U220" s="141"/>
      <c r="V220" s="58"/>
      <c r="X220" s="54"/>
      <c r="Y220" s="54"/>
      <c r="Z220" s="54"/>
    </row>
    <row r="221" spans="15:26">
      <c r="O221" s="59"/>
      <c r="P221" s="63"/>
      <c r="Q221" s="141"/>
      <c r="R221" s="141"/>
      <c r="S221" s="141"/>
      <c r="T221" s="141"/>
      <c r="U221" s="141"/>
      <c r="V221" s="58"/>
      <c r="X221" s="54"/>
      <c r="Y221" s="54"/>
      <c r="Z221" s="54"/>
    </row>
    <row r="222" spans="15:26">
      <c r="O222" s="59"/>
      <c r="P222" s="63"/>
      <c r="Q222" s="141"/>
      <c r="R222" s="141"/>
      <c r="S222" s="141"/>
      <c r="T222" s="141"/>
      <c r="U222" s="141"/>
      <c r="V222" s="58"/>
      <c r="X222" s="54"/>
      <c r="Y222" s="54"/>
      <c r="Z222" s="54"/>
    </row>
    <row r="223" spans="15:26">
      <c r="O223" s="59"/>
      <c r="P223" s="63"/>
      <c r="Q223" s="141"/>
      <c r="R223" s="141"/>
      <c r="S223" s="141"/>
      <c r="T223" s="141"/>
      <c r="U223" s="141"/>
      <c r="V223" s="58"/>
      <c r="X223" s="54"/>
      <c r="Y223" s="54"/>
      <c r="Z223" s="54"/>
    </row>
    <row r="224" spans="15:26">
      <c r="O224" s="59"/>
      <c r="P224" s="63"/>
      <c r="Q224" s="141"/>
      <c r="R224" s="141"/>
      <c r="S224" s="141"/>
      <c r="T224" s="141"/>
      <c r="U224" s="141"/>
      <c r="V224" s="58"/>
      <c r="X224" s="54"/>
      <c r="Y224" s="54"/>
      <c r="Z224" s="54"/>
    </row>
    <row r="225" spans="15:26">
      <c r="O225" s="59"/>
      <c r="P225" s="63"/>
      <c r="Q225" s="141"/>
      <c r="R225" s="141"/>
      <c r="S225" s="141"/>
      <c r="T225" s="141"/>
      <c r="U225" s="141"/>
      <c r="V225" s="58"/>
      <c r="X225" s="54"/>
      <c r="Y225" s="54"/>
      <c r="Z225" s="54"/>
    </row>
    <row r="226" spans="15:26">
      <c r="O226" s="59"/>
      <c r="P226" s="63"/>
      <c r="Q226" s="141"/>
      <c r="R226" s="141"/>
      <c r="S226" s="141"/>
      <c r="T226" s="141"/>
      <c r="U226" s="141"/>
      <c r="V226" s="58"/>
      <c r="X226" s="54"/>
      <c r="Y226" s="54"/>
      <c r="Z226" s="54"/>
    </row>
    <row r="227" spans="15:26">
      <c r="O227" s="59"/>
      <c r="P227" s="63"/>
      <c r="Q227" s="141"/>
      <c r="R227" s="141"/>
      <c r="S227" s="141"/>
      <c r="T227" s="141"/>
      <c r="U227" s="141"/>
      <c r="V227" s="58"/>
      <c r="X227" s="54"/>
      <c r="Y227" s="54"/>
      <c r="Z227" s="54"/>
    </row>
    <row r="228" spans="15:26">
      <c r="O228" s="59"/>
      <c r="P228" s="63"/>
      <c r="Q228" s="141"/>
      <c r="R228" s="141"/>
      <c r="S228" s="141"/>
      <c r="T228" s="141"/>
      <c r="U228" s="141"/>
      <c r="V228" s="58"/>
      <c r="X228" s="54"/>
      <c r="Y228" s="54"/>
      <c r="Z228" s="54"/>
    </row>
    <row r="229" spans="15:26">
      <c r="O229" s="59"/>
      <c r="P229" s="63"/>
      <c r="Q229" s="141"/>
      <c r="R229" s="141"/>
      <c r="S229" s="141"/>
      <c r="T229" s="141"/>
      <c r="U229" s="141"/>
      <c r="V229" s="58"/>
      <c r="X229" s="54"/>
      <c r="Y229" s="54"/>
      <c r="Z229" s="54"/>
    </row>
    <row r="230" spans="15:26">
      <c r="O230" s="59"/>
      <c r="P230" s="63"/>
      <c r="Q230" s="141"/>
      <c r="R230" s="141"/>
      <c r="S230" s="141"/>
      <c r="T230" s="141"/>
      <c r="U230" s="141"/>
      <c r="V230" s="58"/>
      <c r="X230" s="54"/>
      <c r="Y230" s="54"/>
      <c r="Z230" s="54"/>
    </row>
    <row r="231" spans="15:26">
      <c r="O231" s="59"/>
      <c r="P231" s="63"/>
      <c r="Q231" s="141"/>
      <c r="R231" s="141"/>
      <c r="S231" s="141"/>
      <c r="T231" s="141"/>
      <c r="U231" s="141"/>
      <c r="V231" s="58"/>
      <c r="X231" s="54"/>
      <c r="Y231" s="54"/>
      <c r="Z231" s="54"/>
    </row>
    <row r="232" spans="15:26">
      <c r="O232" s="59"/>
      <c r="P232" s="63"/>
      <c r="Q232" s="141"/>
      <c r="R232" s="141"/>
      <c r="S232" s="141"/>
      <c r="T232" s="141"/>
      <c r="U232" s="141"/>
      <c r="V232" s="58"/>
      <c r="X232" s="54"/>
      <c r="Y232" s="54"/>
      <c r="Z232" s="54"/>
    </row>
    <row r="233" spans="15:26">
      <c r="O233" s="59"/>
      <c r="P233" s="63"/>
      <c r="Q233" s="141"/>
      <c r="R233" s="141"/>
      <c r="S233" s="141"/>
      <c r="T233" s="141"/>
      <c r="U233" s="141"/>
      <c r="V233" s="58"/>
      <c r="X233" s="54"/>
      <c r="Y233" s="54"/>
      <c r="Z233" s="54"/>
    </row>
    <row r="234" spans="15:26">
      <c r="O234" s="59"/>
      <c r="P234" s="63"/>
      <c r="Q234" s="141"/>
      <c r="R234" s="141"/>
      <c r="S234" s="141"/>
      <c r="T234" s="141"/>
      <c r="U234" s="141"/>
      <c r="V234" s="58"/>
      <c r="X234" s="54"/>
      <c r="Y234" s="54"/>
      <c r="Z234" s="54"/>
    </row>
    <row r="235" spans="15:26">
      <c r="O235" s="59"/>
      <c r="P235" s="63"/>
      <c r="Q235" s="141"/>
      <c r="R235" s="141"/>
      <c r="S235" s="141"/>
      <c r="T235" s="141"/>
      <c r="U235" s="141"/>
      <c r="V235" s="58"/>
      <c r="X235" s="54"/>
      <c r="Y235" s="54"/>
      <c r="Z235" s="54"/>
    </row>
    <row r="236" spans="15:26">
      <c r="O236" s="59"/>
      <c r="P236" s="63"/>
      <c r="Q236" s="141"/>
      <c r="R236" s="141"/>
      <c r="S236" s="141"/>
      <c r="T236" s="141"/>
      <c r="U236" s="141"/>
      <c r="V236" s="58"/>
      <c r="X236" s="54"/>
      <c r="Y236" s="54"/>
      <c r="Z236" s="54"/>
    </row>
    <row r="237" spans="15:26">
      <c r="O237" s="59"/>
      <c r="P237" s="63"/>
      <c r="Q237" s="141"/>
      <c r="R237" s="141"/>
      <c r="S237" s="141"/>
      <c r="T237" s="141"/>
      <c r="U237" s="141"/>
      <c r="V237" s="58"/>
      <c r="X237" s="54"/>
      <c r="Y237" s="54"/>
      <c r="Z237" s="54"/>
    </row>
    <row r="238" spans="15:26">
      <c r="O238" s="60">
        <v>42401</v>
      </c>
      <c r="P238" s="63"/>
      <c r="Q238" s="141"/>
      <c r="R238" s="141"/>
      <c r="S238" s="141"/>
      <c r="T238" s="141"/>
      <c r="U238" s="141"/>
      <c r="V238" s="58"/>
      <c r="X238" s="54"/>
      <c r="Y238" s="54"/>
      <c r="Z238" s="54"/>
    </row>
    <row r="239" spans="15:26">
      <c r="O239" s="60"/>
      <c r="P239" s="63"/>
      <c r="Q239" s="141"/>
      <c r="R239" s="141"/>
      <c r="S239" s="141"/>
      <c r="T239" s="141"/>
      <c r="U239" s="141"/>
      <c r="V239" s="58"/>
      <c r="X239" s="54"/>
      <c r="Y239" s="54"/>
      <c r="Z239" s="54"/>
    </row>
    <row r="240" spans="15:26">
      <c r="O240" s="59"/>
      <c r="P240" s="63"/>
      <c r="Q240" s="141"/>
      <c r="R240" s="141"/>
      <c r="S240" s="141"/>
      <c r="T240" s="141"/>
      <c r="U240" s="141"/>
      <c r="V240" s="58"/>
      <c r="X240" s="54"/>
      <c r="Y240" s="54"/>
      <c r="Z240" s="54"/>
    </row>
    <row r="241" spans="15:26">
      <c r="O241" s="59"/>
      <c r="P241" s="63"/>
      <c r="Q241" s="141"/>
      <c r="R241" s="141"/>
      <c r="S241" s="141"/>
      <c r="T241" s="141"/>
      <c r="U241" s="141"/>
      <c r="V241" s="58"/>
      <c r="X241" s="54"/>
      <c r="Y241" s="54"/>
      <c r="Z241" s="54"/>
    </row>
    <row r="242" spans="15:26">
      <c r="O242" s="59"/>
      <c r="P242" s="63"/>
      <c r="Q242" s="141"/>
      <c r="R242" s="141"/>
      <c r="S242" s="141"/>
      <c r="T242" s="141"/>
      <c r="U242" s="141"/>
      <c r="V242" s="58"/>
      <c r="X242" s="54"/>
      <c r="Y242" s="54"/>
      <c r="Z242" s="54"/>
    </row>
    <row r="243" spans="15:26">
      <c r="O243" s="59"/>
      <c r="P243" s="63"/>
      <c r="Q243" s="141"/>
      <c r="R243" s="141"/>
      <c r="S243" s="141"/>
      <c r="T243" s="141"/>
      <c r="U243" s="141"/>
      <c r="V243" s="58"/>
      <c r="X243" s="54"/>
      <c r="Y243" s="54"/>
      <c r="Z243" s="54"/>
    </row>
    <row r="244" spans="15:26">
      <c r="O244" s="59"/>
      <c r="P244" s="63"/>
      <c r="Q244" s="141"/>
      <c r="R244" s="141"/>
      <c r="S244" s="141"/>
      <c r="T244" s="141"/>
      <c r="U244" s="141"/>
      <c r="V244" s="58"/>
      <c r="X244" s="54"/>
      <c r="Y244" s="54"/>
      <c r="Z244" s="54"/>
    </row>
    <row r="245" spans="15:26">
      <c r="O245" s="59"/>
      <c r="P245" s="63"/>
      <c r="Q245" s="141"/>
      <c r="R245" s="141"/>
      <c r="S245" s="141"/>
      <c r="T245" s="141"/>
      <c r="U245" s="141"/>
      <c r="V245" s="58"/>
      <c r="X245" s="54"/>
      <c r="Y245" s="54"/>
      <c r="Z245" s="54"/>
    </row>
    <row r="246" spans="15:26">
      <c r="O246" s="59"/>
      <c r="P246" s="63"/>
      <c r="Q246" s="141"/>
      <c r="R246" s="141"/>
      <c r="S246" s="141"/>
      <c r="T246" s="141"/>
      <c r="U246" s="141"/>
      <c r="V246" s="58"/>
      <c r="X246" s="54"/>
      <c r="Y246" s="54"/>
      <c r="Z246" s="54"/>
    </row>
    <row r="247" spans="15:26">
      <c r="O247" s="59"/>
      <c r="P247" s="63"/>
      <c r="Q247" s="141"/>
      <c r="R247" s="141"/>
      <c r="S247" s="141"/>
      <c r="T247" s="141"/>
      <c r="U247" s="141"/>
      <c r="V247" s="58"/>
      <c r="X247" s="54"/>
      <c r="Y247" s="54"/>
      <c r="Z247" s="54"/>
    </row>
    <row r="248" spans="15:26">
      <c r="O248" s="59"/>
      <c r="P248" s="63"/>
      <c r="Q248" s="141"/>
      <c r="R248" s="141"/>
      <c r="S248" s="141"/>
      <c r="T248" s="141"/>
      <c r="U248" s="141"/>
      <c r="V248" s="58"/>
      <c r="X248" s="54"/>
      <c r="Y248" s="54"/>
      <c r="Z248" s="54"/>
    </row>
    <row r="249" spans="15:26">
      <c r="O249" s="59"/>
      <c r="P249" s="63"/>
      <c r="Q249" s="141"/>
      <c r="R249" s="141"/>
      <c r="S249" s="141"/>
      <c r="T249" s="141"/>
      <c r="U249" s="141"/>
      <c r="V249" s="58"/>
      <c r="X249" s="54"/>
      <c r="Y249" s="54"/>
      <c r="Z249" s="54"/>
    </row>
    <row r="250" spans="15:26">
      <c r="O250" s="59"/>
      <c r="P250" s="63"/>
      <c r="Q250" s="141"/>
      <c r="R250" s="141"/>
      <c r="S250" s="141"/>
      <c r="T250" s="141"/>
      <c r="U250" s="141"/>
      <c r="V250" s="58"/>
      <c r="X250" s="54"/>
      <c r="Y250" s="54"/>
      <c r="Z250" s="54"/>
    </row>
    <row r="251" spans="15:26">
      <c r="O251" s="59"/>
      <c r="P251" s="63"/>
      <c r="Q251" s="141"/>
      <c r="R251" s="141"/>
      <c r="S251" s="141"/>
      <c r="T251" s="141"/>
      <c r="U251" s="141"/>
      <c r="V251" s="58"/>
      <c r="X251" s="54"/>
      <c r="Y251" s="54"/>
      <c r="Z251" s="54"/>
    </row>
    <row r="252" spans="15:26">
      <c r="O252" s="59"/>
      <c r="P252" s="63"/>
      <c r="Q252" s="141"/>
      <c r="R252" s="141"/>
      <c r="S252" s="141"/>
      <c r="T252" s="141"/>
      <c r="U252" s="141"/>
      <c r="V252" s="58"/>
      <c r="X252" s="54"/>
      <c r="Y252" s="54"/>
      <c r="Z252" s="54"/>
    </row>
    <row r="253" spans="15:26">
      <c r="O253" s="59"/>
      <c r="P253" s="63"/>
      <c r="Q253" s="141"/>
      <c r="R253" s="141"/>
      <c r="S253" s="141"/>
      <c r="T253" s="141"/>
      <c r="U253" s="141"/>
      <c r="V253" s="58"/>
      <c r="X253" s="54"/>
      <c r="Y253" s="54"/>
      <c r="Z253" s="54"/>
    </row>
    <row r="254" spans="15:26">
      <c r="O254" s="59"/>
      <c r="P254" s="63"/>
      <c r="Q254" s="141"/>
      <c r="R254" s="141"/>
      <c r="S254" s="141"/>
      <c r="T254" s="141"/>
      <c r="U254" s="141"/>
      <c r="V254" s="58"/>
      <c r="X254" s="54"/>
      <c r="Y254" s="54"/>
      <c r="Z254" s="54"/>
    </row>
    <row r="255" spans="15:26">
      <c r="O255" s="59"/>
      <c r="P255" s="63"/>
      <c r="Q255" s="141"/>
      <c r="R255" s="141"/>
      <c r="S255" s="141"/>
      <c r="T255" s="141"/>
      <c r="U255" s="141"/>
      <c r="V255" s="58"/>
      <c r="X255" s="54"/>
      <c r="Y255" s="54"/>
      <c r="Z255" s="54"/>
    </row>
    <row r="256" spans="15:26">
      <c r="O256" s="59"/>
      <c r="P256" s="63"/>
      <c r="Q256" s="141"/>
      <c r="R256" s="141"/>
      <c r="S256" s="141"/>
      <c r="T256" s="141"/>
      <c r="U256" s="141"/>
      <c r="V256" s="58"/>
      <c r="X256" s="54"/>
      <c r="Y256" s="54"/>
      <c r="Z256" s="54"/>
    </row>
    <row r="257" spans="15:26">
      <c r="O257" s="59"/>
      <c r="P257" s="63"/>
      <c r="Q257" s="141"/>
      <c r="R257" s="141"/>
      <c r="S257" s="141"/>
      <c r="T257" s="141"/>
      <c r="U257" s="141"/>
      <c r="V257" s="58"/>
      <c r="X257" s="54"/>
      <c r="Y257" s="54"/>
      <c r="Z257" s="54"/>
    </row>
    <row r="258" spans="15:26">
      <c r="O258" s="59"/>
      <c r="P258" s="63"/>
      <c r="Q258" s="141"/>
      <c r="R258" s="141"/>
      <c r="S258" s="141"/>
      <c r="T258" s="141"/>
      <c r="U258" s="141"/>
      <c r="V258" s="58"/>
      <c r="X258" s="54"/>
      <c r="Y258" s="54"/>
      <c r="Z258" s="54"/>
    </row>
    <row r="259" spans="15:26">
      <c r="O259" s="59"/>
      <c r="P259" s="63"/>
      <c r="Q259" s="141"/>
      <c r="R259" s="141"/>
      <c r="S259" s="141"/>
      <c r="T259" s="141"/>
      <c r="U259" s="141"/>
      <c r="V259" s="58"/>
      <c r="X259" s="54"/>
      <c r="Y259" s="54"/>
      <c r="Z259" s="54"/>
    </row>
    <row r="260" spans="15:26">
      <c r="O260" s="59"/>
      <c r="P260" s="63"/>
      <c r="Q260" s="141"/>
      <c r="R260" s="141"/>
      <c r="S260" s="141"/>
      <c r="T260" s="141"/>
      <c r="U260" s="141"/>
      <c r="V260" s="58"/>
      <c r="X260" s="54"/>
      <c r="Y260" s="54"/>
      <c r="Z260" s="54"/>
    </row>
    <row r="261" spans="15:26">
      <c r="O261" s="59"/>
      <c r="P261" s="63"/>
      <c r="Q261" s="141"/>
      <c r="R261" s="141"/>
      <c r="S261" s="141"/>
      <c r="T261" s="141"/>
      <c r="U261" s="141"/>
      <c r="V261" s="58"/>
      <c r="X261" s="54"/>
      <c r="Y261" s="54"/>
      <c r="Z261" s="54"/>
    </row>
    <row r="262" spans="15:26">
      <c r="O262" s="59"/>
      <c r="P262" s="63"/>
      <c r="Q262" s="141"/>
      <c r="R262" s="141"/>
      <c r="S262" s="141"/>
      <c r="T262" s="141"/>
      <c r="U262" s="141"/>
      <c r="V262" s="58"/>
      <c r="X262" s="54"/>
      <c r="Y262" s="54"/>
      <c r="Z262" s="54"/>
    </row>
    <row r="263" spans="15:26">
      <c r="O263" s="59"/>
      <c r="P263" s="63"/>
      <c r="Q263" s="141"/>
      <c r="R263" s="141"/>
      <c r="S263" s="141"/>
      <c r="T263" s="141"/>
      <c r="U263" s="141"/>
      <c r="V263" s="58"/>
      <c r="X263" s="54"/>
      <c r="Y263" s="54"/>
      <c r="Z263" s="54"/>
    </row>
    <row r="264" spans="15:26">
      <c r="O264" s="59"/>
      <c r="P264" s="63"/>
      <c r="Q264" s="141"/>
      <c r="R264" s="141"/>
      <c r="S264" s="141"/>
      <c r="T264" s="141"/>
      <c r="U264" s="141"/>
      <c r="V264" s="58"/>
      <c r="X264" s="54"/>
      <c r="Y264" s="54"/>
      <c r="Z264" s="54"/>
    </row>
    <row r="265" spans="15:26">
      <c r="O265" s="59"/>
      <c r="P265" s="63"/>
      <c r="Q265" s="141"/>
      <c r="R265" s="141"/>
      <c r="S265" s="141"/>
      <c r="T265" s="141"/>
      <c r="U265" s="141"/>
      <c r="V265" s="58"/>
      <c r="X265" s="54"/>
      <c r="Y265" s="54"/>
      <c r="Z265" s="54"/>
    </row>
    <row r="266" spans="15:26">
      <c r="O266" s="59"/>
      <c r="P266" s="63"/>
      <c r="Q266" s="141"/>
      <c r="R266" s="141"/>
      <c r="S266" s="141"/>
      <c r="T266" s="141"/>
      <c r="U266" s="141"/>
      <c r="V266" s="58"/>
      <c r="X266" s="54"/>
      <c r="Y266" s="54"/>
      <c r="Z266" s="54"/>
    </row>
    <row r="267" spans="15:26">
      <c r="O267" s="60">
        <v>42430</v>
      </c>
      <c r="P267" s="63"/>
      <c r="Q267" s="141"/>
      <c r="R267" s="141"/>
      <c r="S267" s="141"/>
      <c r="T267" s="141"/>
      <c r="U267" s="141"/>
      <c r="V267" s="58"/>
      <c r="X267" s="54"/>
      <c r="Y267" s="54"/>
      <c r="Z267" s="54"/>
    </row>
    <row r="268" spans="15:26">
      <c r="O268" s="59"/>
      <c r="P268" s="63"/>
      <c r="Q268" s="141"/>
      <c r="R268" s="141"/>
      <c r="S268" s="141"/>
      <c r="T268" s="141"/>
      <c r="U268" s="141"/>
      <c r="V268" s="58"/>
      <c r="X268" s="54"/>
      <c r="Y268" s="54"/>
      <c r="Z268" s="54"/>
    </row>
    <row r="269" spans="15:26">
      <c r="O269" s="60"/>
      <c r="P269" s="63"/>
      <c r="Q269" s="141"/>
      <c r="R269" s="141"/>
      <c r="S269" s="141"/>
      <c r="T269" s="141"/>
      <c r="U269" s="141"/>
      <c r="V269" s="58"/>
      <c r="X269" s="54"/>
      <c r="Y269" s="54"/>
      <c r="Z269" s="54"/>
    </row>
    <row r="270" spans="15:26">
      <c r="O270" s="60"/>
      <c r="P270" s="63"/>
      <c r="Q270" s="141"/>
      <c r="R270" s="141"/>
      <c r="S270" s="141"/>
      <c r="T270" s="141"/>
      <c r="U270" s="141"/>
      <c r="V270" s="58"/>
      <c r="X270" s="54"/>
      <c r="Y270" s="54"/>
      <c r="Z270" s="54"/>
    </row>
    <row r="271" spans="15:26">
      <c r="O271" s="59"/>
      <c r="P271" s="63"/>
      <c r="Q271" s="141"/>
      <c r="R271" s="141"/>
      <c r="S271" s="141"/>
      <c r="T271" s="141"/>
      <c r="U271" s="141"/>
      <c r="V271" s="58"/>
      <c r="X271" s="54"/>
      <c r="Y271" s="54"/>
      <c r="Z271" s="54"/>
    </row>
    <row r="272" spans="15:26">
      <c r="O272" s="59"/>
      <c r="P272" s="63"/>
      <c r="Q272" s="141"/>
      <c r="R272" s="141"/>
      <c r="S272" s="141"/>
      <c r="T272" s="141"/>
      <c r="U272" s="141"/>
      <c r="V272" s="58"/>
      <c r="X272" s="54"/>
      <c r="Y272" s="54"/>
      <c r="Z272" s="54"/>
    </row>
    <row r="273" spans="15:26">
      <c r="O273" s="59"/>
      <c r="P273" s="63"/>
      <c r="Q273" s="141"/>
      <c r="R273" s="141"/>
      <c r="S273" s="141"/>
      <c r="T273" s="141"/>
      <c r="U273" s="141"/>
      <c r="V273" s="58"/>
      <c r="X273" s="54"/>
      <c r="Y273" s="54"/>
      <c r="Z273" s="54"/>
    </row>
    <row r="274" spans="15:26">
      <c r="O274" s="59"/>
      <c r="P274" s="63"/>
      <c r="Q274" s="141"/>
      <c r="R274" s="141"/>
      <c r="S274" s="141"/>
      <c r="T274" s="141"/>
      <c r="U274" s="141"/>
      <c r="V274" s="58"/>
      <c r="X274" s="54"/>
      <c r="Y274" s="54"/>
      <c r="Z274" s="54"/>
    </row>
    <row r="275" spans="15:26">
      <c r="O275" s="59"/>
      <c r="P275" s="63"/>
      <c r="Q275" s="141"/>
      <c r="R275" s="141"/>
      <c r="S275" s="141"/>
      <c r="T275" s="141"/>
      <c r="U275" s="141"/>
      <c r="V275" s="58"/>
      <c r="X275" s="54"/>
      <c r="Y275" s="54"/>
      <c r="Z275" s="54"/>
    </row>
    <row r="276" spans="15:26">
      <c r="O276" s="59"/>
      <c r="P276" s="63"/>
      <c r="Q276" s="141"/>
      <c r="R276" s="141"/>
      <c r="S276" s="141"/>
      <c r="T276" s="141"/>
      <c r="U276" s="141"/>
      <c r="V276" s="58"/>
      <c r="X276" s="54"/>
      <c r="Y276" s="54"/>
      <c r="Z276" s="54"/>
    </row>
    <row r="277" spans="15:26">
      <c r="O277" s="59"/>
      <c r="P277" s="63"/>
      <c r="Q277" s="141"/>
      <c r="R277" s="141"/>
      <c r="S277" s="141"/>
      <c r="T277" s="141"/>
      <c r="U277" s="141"/>
      <c r="V277" s="58"/>
      <c r="X277" s="54"/>
      <c r="Y277" s="54"/>
      <c r="Z277" s="54"/>
    </row>
    <row r="278" spans="15:26">
      <c r="O278" s="59"/>
      <c r="P278" s="63"/>
      <c r="Q278" s="141"/>
      <c r="R278" s="141"/>
      <c r="S278" s="141"/>
      <c r="T278" s="141"/>
      <c r="U278" s="141"/>
      <c r="V278" s="58"/>
      <c r="X278" s="54"/>
      <c r="Y278" s="54"/>
      <c r="Z278" s="54"/>
    </row>
    <row r="279" spans="15:26">
      <c r="O279" s="59"/>
      <c r="P279" s="63"/>
      <c r="Q279" s="141"/>
      <c r="R279" s="141"/>
      <c r="S279" s="141"/>
      <c r="T279" s="141"/>
      <c r="U279" s="141"/>
      <c r="V279" s="58"/>
      <c r="X279" s="54"/>
      <c r="Y279" s="54"/>
      <c r="Z279" s="54"/>
    </row>
    <row r="280" spans="15:26">
      <c r="O280" s="59"/>
      <c r="P280" s="63"/>
      <c r="Q280" s="141"/>
      <c r="R280" s="141"/>
      <c r="S280" s="141"/>
      <c r="T280" s="141"/>
      <c r="U280" s="141"/>
      <c r="V280" s="58"/>
      <c r="X280" s="54"/>
      <c r="Y280" s="54"/>
      <c r="Z280" s="54"/>
    </row>
    <row r="281" spans="15:26">
      <c r="O281" s="59"/>
      <c r="P281" s="63"/>
      <c r="Q281" s="141"/>
      <c r="R281" s="141"/>
      <c r="S281" s="141"/>
      <c r="T281" s="141"/>
      <c r="U281" s="141"/>
      <c r="V281" s="58"/>
      <c r="X281" s="54"/>
      <c r="Y281" s="54"/>
      <c r="Z281" s="54"/>
    </row>
    <row r="282" spans="15:26">
      <c r="O282" s="59"/>
      <c r="P282" s="63"/>
      <c r="Q282" s="141"/>
      <c r="R282" s="141"/>
      <c r="S282" s="141"/>
      <c r="T282" s="141"/>
      <c r="U282" s="141"/>
      <c r="V282" s="58"/>
      <c r="X282" s="54"/>
      <c r="Y282" s="54"/>
      <c r="Z282" s="54"/>
    </row>
    <row r="283" spans="15:26">
      <c r="O283" s="59"/>
      <c r="P283" s="63"/>
      <c r="Q283" s="141"/>
      <c r="R283" s="141"/>
      <c r="S283" s="141"/>
      <c r="T283" s="141"/>
      <c r="U283" s="141"/>
      <c r="V283" s="58"/>
      <c r="X283" s="54"/>
      <c r="Y283" s="54"/>
      <c r="Z283" s="54"/>
    </row>
    <row r="284" spans="15:26">
      <c r="O284" s="59"/>
      <c r="P284" s="63"/>
      <c r="Q284" s="141"/>
      <c r="R284" s="141"/>
      <c r="S284" s="141"/>
      <c r="T284" s="141"/>
      <c r="U284" s="141"/>
      <c r="V284" s="58"/>
      <c r="X284" s="54"/>
      <c r="Y284" s="54"/>
      <c r="Z284" s="54"/>
    </row>
    <row r="285" spans="15:26">
      <c r="O285" s="59"/>
      <c r="P285" s="63"/>
      <c r="Q285" s="141"/>
      <c r="R285" s="141"/>
      <c r="S285" s="141"/>
      <c r="T285" s="141"/>
      <c r="U285" s="141"/>
      <c r="V285" s="58"/>
      <c r="X285" s="54"/>
      <c r="Y285" s="54"/>
      <c r="Z285" s="54"/>
    </row>
    <row r="286" spans="15:26">
      <c r="O286" s="59"/>
      <c r="P286" s="63"/>
      <c r="Q286" s="141"/>
      <c r="R286" s="141"/>
      <c r="S286" s="141"/>
      <c r="T286" s="141"/>
      <c r="U286" s="141"/>
      <c r="V286" s="58"/>
      <c r="X286" s="54"/>
      <c r="Y286" s="54"/>
      <c r="Z286" s="54"/>
    </row>
    <row r="287" spans="15:26">
      <c r="O287" s="59"/>
      <c r="P287" s="63"/>
      <c r="Q287" s="141"/>
      <c r="R287" s="141"/>
      <c r="S287" s="141"/>
      <c r="T287" s="141"/>
      <c r="U287" s="141"/>
      <c r="V287" s="58"/>
      <c r="X287" s="54"/>
      <c r="Y287" s="54"/>
      <c r="Z287" s="54"/>
    </row>
    <row r="288" spans="15:26">
      <c r="O288" s="59"/>
      <c r="P288" s="63"/>
      <c r="Q288" s="141"/>
      <c r="R288" s="141"/>
      <c r="S288" s="141"/>
      <c r="T288" s="141"/>
      <c r="U288" s="141"/>
      <c r="V288" s="58"/>
      <c r="X288" s="54"/>
      <c r="Y288" s="54"/>
      <c r="Z288" s="54"/>
    </row>
    <row r="289" spans="15:26">
      <c r="O289" s="59"/>
      <c r="P289" s="63"/>
      <c r="Q289" s="141"/>
      <c r="R289" s="141"/>
      <c r="S289" s="141"/>
      <c r="T289" s="141"/>
      <c r="U289" s="141"/>
      <c r="V289" s="58"/>
      <c r="X289" s="54"/>
      <c r="Y289" s="54"/>
      <c r="Z289" s="54"/>
    </row>
    <row r="290" spans="15:26">
      <c r="O290" s="59"/>
      <c r="P290" s="63"/>
      <c r="Q290" s="141"/>
      <c r="R290" s="141"/>
      <c r="S290" s="141"/>
      <c r="T290" s="141"/>
      <c r="U290" s="141"/>
      <c r="V290" s="58"/>
      <c r="X290" s="54"/>
      <c r="Y290" s="54"/>
      <c r="Z290" s="54"/>
    </row>
    <row r="291" spans="15:26">
      <c r="O291" s="59"/>
      <c r="P291" s="63"/>
      <c r="Q291" s="141"/>
      <c r="R291" s="141"/>
      <c r="S291" s="141"/>
      <c r="T291" s="141"/>
      <c r="U291" s="141"/>
      <c r="V291" s="58"/>
      <c r="X291" s="54"/>
      <c r="Y291" s="54"/>
      <c r="Z291" s="54"/>
    </row>
    <row r="292" spans="15:26">
      <c r="O292" s="59"/>
      <c r="P292" s="63"/>
      <c r="Q292" s="141"/>
      <c r="R292" s="141"/>
      <c r="S292" s="141"/>
      <c r="T292" s="141"/>
      <c r="U292" s="141"/>
      <c r="V292" s="58"/>
      <c r="X292" s="54"/>
      <c r="Y292" s="54"/>
      <c r="Z292" s="54"/>
    </row>
    <row r="293" spans="15:26">
      <c r="O293" s="59"/>
      <c r="P293" s="63"/>
      <c r="Q293" s="141"/>
      <c r="R293" s="141"/>
      <c r="S293" s="141"/>
      <c r="T293" s="141"/>
      <c r="U293" s="141"/>
      <c r="V293" s="58"/>
      <c r="X293" s="54"/>
      <c r="Y293" s="54"/>
      <c r="Z293" s="54"/>
    </row>
    <row r="294" spans="15:26">
      <c r="O294" s="59"/>
      <c r="P294" s="63"/>
      <c r="Q294" s="141"/>
      <c r="R294" s="141"/>
      <c r="S294" s="141"/>
      <c r="T294" s="141"/>
      <c r="U294" s="141"/>
      <c r="V294" s="58"/>
      <c r="X294" s="54"/>
      <c r="Y294" s="54"/>
      <c r="Z294" s="54"/>
    </row>
    <row r="295" spans="15:26">
      <c r="O295" s="59"/>
      <c r="P295" s="63"/>
      <c r="Q295" s="141"/>
      <c r="R295" s="141"/>
      <c r="S295" s="141"/>
      <c r="T295" s="141"/>
      <c r="U295" s="141"/>
      <c r="V295" s="58"/>
      <c r="X295" s="54"/>
      <c r="Y295" s="54"/>
      <c r="Z295" s="54"/>
    </row>
    <row r="296" spans="15:26">
      <c r="O296" s="59"/>
      <c r="P296" s="63"/>
      <c r="Q296" s="141"/>
      <c r="R296" s="141"/>
      <c r="S296" s="141"/>
      <c r="T296" s="141"/>
      <c r="U296" s="141"/>
      <c r="V296" s="58"/>
      <c r="X296" s="54"/>
      <c r="Y296" s="54"/>
      <c r="Z296" s="54"/>
    </row>
    <row r="297" spans="15:26">
      <c r="O297" s="60"/>
      <c r="P297" s="63"/>
      <c r="Q297" s="141"/>
      <c r="R297" s="141"/>
      <c r="S297" s="141"/>
      <c r="T297" s="141"/>
      <c r="U297" s="141"/>
      <c r="V297" s="58"/>
      <c r="X297" s="54"/>
      <c r="Y297" s="54"/>
      <c r="Z297" s="54"/>
    </row>
    <row r="298" spans="15:26">
      <c r="O298" s="60">
        <v>42461</v>
      </c>
      <c r="P298" s="63"/>
      <c r="Q298" s="141"/>
      <c r="R298" s="141"/>
      <c r="S298" s="141"/>
      <c r="T298" s="141"/>
      <c r="U298" s="141"/>
      <c r="V298" s="58"/>
      <c r="X298" s="54"/>
      <c r="Y298" s="54"/>
      <c r="Z298" s="54"/>
    </row>
    <row r="299" spans="15:26">
      <c r="O299" s="59"/>
      <c r="P299" s="63"/>
      <c r="Q299" s="141"/>
      <c r="R299" s="141"/>
      <c r="S299" s="141"/>
      <c r="T299" s="141"/>
      <c r="U299" s="141"/>
      <c r="V299" s="58"/>
      <c r="X299" s="54"/>
      <c r="Y299" s="54"/>
      <c r="Z299" s="54"/>
    </row>
    <row r="300" spans="15:26">
      <c r="O300" s="59"/>
      <c r="P300" s="63"/>
      <c r="Q300" s="141"/>
      <c r="R300" s="141"/>
      <c r="S300" s="141"/>
      <c r="T300" s="141"/>
      <c r="U300" s="141"/>
      <c r="V300" s="58"/>
      <c r="X300" s="54"/>
      <c r="Y300" s="54"/>
      <c r="Z300" s="54"/>
    </row>
    <row r="301" spans="15:26">
      <c r="O301" s="59"/>
      <c r="P301" s="63"/>
      <c r="Q301" s="141"/>
      <c r="R301" s="141"/>
      <c r="S301" s="141"/>
      <c r="T301" s="141"/>
      <c r="U301" s="141"/>
      <c r="V301" s="58"/>
      <c r="X301" s="54"/>
      <c r="Y301" s="54"/>
      <c r="Z301" s="54"/>
    </row>
    <row r="302" spans="15:26">
      <c r="O302" s="59"/>
      <c r="P302" s="63"/>
      <c r="Q302" s="141"/>
      <c r="R302" s="141"/>
      <c r="S302" s="141"/>
      <c r="T302" s="141"/>
      <c r="U302" s="141"/>
      <c r="V302" s="58"/>
      <c r="X302" s="54"/>
      <c r="Y302" s="54"/>
      <c r="Z302" s="54"/>
    </row>
    <row r="303" spans="15:26">
      <c r="O303" s="59"/>
      <c r="P303" s="63"/>
      <c r="Q303" s="141"/>
      <c r="R303" s="141"/>
      <c r="S303" s="141"/>
      <c r="T303" s="141"/>
      <c r="U303" s="141"/>
      <c r="V303" s="58"/>
      <c r="X303" s="54"/>
      <c r="Y303" s="54"/>
      <c r="Z303" s="54"/>
    </row>
    <row r="304" spans="15:26">
      <c r="O304" s="59"/>
      <c r="P304" s="63"/>
      <c r="Q304" s="141"/>
      <c r="R304" s="141"/>
      <c r="S304" s="141"/>
      <c r="T304" s="141"/>
      <c r="U304" s="141"/>
      <c r="V304" s="58"/>
      <c r="X304" s="54"/>
      <c r="Y304" s="54"/>
      <c r="Z304" s="54"/>
    </row>
    <row r="305" spans="15:26">
      <c r="O305" s="59"/>
      <c r="P305" s="63"/>
      <c r="Q305" s="141"/>
      <c r="R305" s="141"/>
      <c r="S305" s="141"/>
      <c r="T305" s="141"/>
      <c r="U305" s="141"/>
      <c r="V305" s="58"/>
      <c r="X305" s="54"/>
      <c r="Y305" s="54"/>
      <c r="Z305" s="54"/>
    </row>
    <row r="306" spans="15:26">
      <c r="O306" s="59"/>
      <c r="P306" s="63"/>
      <c r="Q306" s="141"/>
      <c r="R306" s="141"/>
      <c r="S306" s="141"/>
      <c r="T306" s="141"/>
      <c r="U306" s="141"/>
      <c r="V306" s="58"/>
      <c r="X306" s="54"/>
      <c r="Y306" s="54"/>
      <c r="Z306" s="54"/>
    </row>
    <row r="307" spans="15:26">
      <c r="O307" s="59"/>
      <c r="P307" s="63"/>
      <c r="Q307" s="141"/>
      <c r="R307" s="141"/>
      <c r="S307" s="141"/>
      <c r="T307" s="141"/>
      <c r="U307" s="141"/>
      <c r="V307" s="58"/>
      <c r="X307" s="54"/>
      <c r="Y307" s="54"/>
      <c r="Z307" s="54"/>
    </row>
    <row r="308" spans="15:26">
      <c r="O308" s="59"/>
      <c r="P308" s="63"/>
      <c r="Q308" s="141"/>
      <c r="R308" s="141"/>
      <c r="S308" s="141"/>
      <c r="T308" s="141"/>
      <c r="U308" s="141"/>
      <c r="V308" s="58"/>
      <c r="X308" s="54"/>
      <c r="Y308" s="54"/>
      <c r="Z308" s="54"/>
    </row>
    <row r="309" spans="15:26">
      <c r="O309" s="59"/>
      <c r="P309" s="63"/>
      <c r="Q309" s="141"/>
      <c r="R309" s="141"/>
      <c r="S309" s="141"/>
      <c r="T309" s="141"/>
      <c r="U309" s="141"/>
      <c r="V309" s="58"/>
      <c r="X309" s="54"/>
      <c r="Y309" s="54"/>
      <c r="Z309" s="54"/>
    </row>
    <row r="310" spans="15:26">
      <c r="O310" s="59"/>
      <c r="P310" s="63"/>
      <c r="Q310" s="141"/>
      <c r="R310" s="141"/>
      <c r="S310" s="141"/>
      <c r="T310" s="141"/>
      <c r="U310" s="141"/>
      <c r="V310" s="58"/>
      <c r="X310" s="54"/>
      <c r="Y310" s="54"/>
      <c r="Z310" s="54"/>
    </row>
    <row r="311" spans="15:26">
      <c r="O311" s="59"/>
      <c r="P311" s="63"/>
      <c r="Q311" s="141"/>
      <c r="R311" s="141"/>
      <c r="S311" s="141"/>
      <c r="T311" s="141"/>
      <c r="U311" s="141"/>
      <c r="V311" s="58"/>
      <c r="X311" s="54"/>
      <c r="Y311" s="54"/>
      <c r="Z311" s="54"/>
    </row>
    <row r="312" spans="15:26">
      <c r="O312" s="59"/>
      <c r="P312" s="63"/>
      <c r="Q312" s="141"/>
      <c r="R312" s="141"/>
      <c r="S312" s="141"/>
      <c r="T312" s="141"/>
      <c r="U312" s="141"/>
      <c r="V312" s="58"/>
      <c r="X312" s="54"/>
      <c r="Y312" s="54"/>
      <c r="Z312" s="54"/>
    </row>
    <row r="313" spans="15:26">
      <c r="O313" s="59"/>
      <c r="P313" s="63"/>
      <c r="Q313" s="141"/>
      <c r="R313" s="141"/>
      <c r="S313" s="141"/>
      <c r="T313" s="141"/>
      <c r="U313" s="141"/>
      <c r="V313" s="58"/>
      <c r="X313" s="54"/>
      <c r="Y313" s="54"/>
      <c r="Z313" s="54"/>
    </row>
    <row r="314" spans="15:26">
      <c r="O314" s="59"/>
      <c r="P314" s="63"/>
      <c r="Q314" s="141"/>
      <c r="R314" s="141"/>
      <c r="S314" s="141"/>
      <c r="T314" s="141"/>
      <c r="U314" s="141"/>
      <c r="V314" s="58"/>
      <c r="X314" s="54"/>
      <c r="Y314" s="54"/>
      <c r="Z314" s="54"/>
    </row>
    <row r="315" spans="15:26">
      <c r="O315" s="59"/>
      <c r="P315" s="63"/>
      <c r="Q315" s="141"/>
      <c r="R315" s="141"/>
      <c r="S315" s="141"/>
      <c r="T315" s="141"/>
      <c r="U315" s="141"/>
      <c r="V315" s="58"/>
      <c r="X315" s="54"/>
      <c r="Y315" s="54"/>
      <c r="Z315" s="54"/>
    </row>
    <row r="316" spans="15:26">
      <c r="O316" s="59"/>
      <c r="P316" s="63"/>
      <c r="Q316" s="141"/>
      <c r="R316" s="141"/>
      <c r="S316" s="141"/>
      <c r="T316" s="141"/>
      <c r="U316" s="141"/>
      <c r="V316" s="58"/>
      <c r="X316" s="54"/>
      <c r="Y316" s="54"/>
      <c r="Z316" s="54"/>
    </row>
    <row r="317" spans="15:26">
      <c r="O317" s="59"/>
      <c r="P317" s="63"/>
      <c r="Q317" s="141"/>
      <c r="R317" s="141"/>
      <c r="S317" s="141"/>
      <c r="T317" s="141"/>
      <c r="U317" s="141"/>
      <c r="V317" s="58"/>
      <c r="X317" s="54"/>
      <c r="Y317" s="54"/>
      <c r="Z317" s="54"/>
    </row>
    <row r="318" spans="15:26">
      <c r="O318" s="59"/>
      <c r="P318" s="63"/>
      <c r="Q318" s="141"/>
      <c r="R318" s="141"/>
      <c r="S318" s="141"/>
      <c r="T318" s="141"/>
      <c r="U318" s="141"/>
      <c r="V318" s="58"/>
      <c r="X318" s="54"/>
      <c r="Y318" s="54"/>
      <c r="Z318" s="54"/>
    </row>
    <row r="319" spans="15:26">
      <c r="O319" s="59"/>
      <c r="P319" s="63"/>
      <c r="Q319" s="141"/>
      <c r="R319" s="141"/>
      <c r="S319" s="141"/>
      <c r="T319" s="141"/>
      <c r="U319" s="141"/>
      <c r="V319" s="58"/>
      <c r="X319" s="54"/>
      <c r="Y319" s="54"/>
      <c r="Z319" s="54"/>
    </row>
    <row r="320" spans="15:26">
      <c r="O320" s="59"/>
      <c r="P320" s="63"/>
      <c r="Q320" s="141"/>
      <c r="R320" s="141"/>
      <c r="S320" s="141"/>
      <c r="T320" s="141"/>
      <c r="U320" s="141"/>
      <c r="V320" s="58"/>
      <c r="X320" s="54"/>
      <c r="Y320" s="54"/>
      <c r="Z320" s="54"/>
    </row>
    <row r="321" spans="15:26">
      <c r="O321" s="59"/>
      <c r="P321" s="63"/>
      <c r="Q321" s="141"/>
      <c r="R321" s="141"/>
      <c r="S321" s="141"/>
      <c r="T321" s="141"/>
      <c r="U321" s="141"/>
      <c r="V321" s="58"/>
      <c r="X321" s="54"/>
      <c r="Y321" s="54"/>
      <c r="Z321" s="54"/>
    </row>
    <row r="322" spans="15:26">
      <c r="O322" s="59"/>
      <c r="P322" s="63"/>
      <c r="Q322" s="141"/>
      <c r="R322" s="141"/>
      <c r="S322" s="141"/>
      <c r="T322" s="141"/>
      <c r="U322" s="141"/>
      <c r="V322" s="58"/>
      <c r="X322" s="54"/>
      <c r="Y322" s="54"/>
      <c r="Z322" s="54"/>
    </row>
    <row r="323" spans="15:26">
      <c r="O323" s="59"/>
      <c r="P323" s="63"/>
      <c r="Q323" s="141"/>
      <c r="R323" s="141"/>
      <c r="S323" s="141"/>
      <c r="T323" s="141"/>
      <c r="U323" s="141"/>
      <c r="V323" s="58"/>
      <c r="X323" s="54"/>
      <c r="Y323" s="54"/>
      <c r="Z323" s="54"/>
    </row>
    <row r="324" spans="15:26">
      <c r="O324" s="59"/>
      <c r="P324" s="63"/>
      <c r="Q324" s="141"/>
      <c r="R324" s="141"/>
      <c r="S324" s="141"/>
      <c r="T324" s="141"/>
      <c r="U324" s="141"/>
      <c r="V324" s="58"/>
      <c r="X324" s="54"/>
      <c r="Y324" s="54"/>
      <c r="Z324" s="54"/>
    </row>
    <row r="325" spans="15:26">
      <c r="O325" s="59"/>
      <c r="P325" s="63"/>
      <c r="Q325" s="141"/>
      <c r="R325" s="141"/>
      <c r="S325" s="141"/>
      <c r="T325" s="141"/>
      <c r="U325" s="141"/>
      <c r="V325" s="58"/>
      <c r="X325" s="54"/>
      <c r="Y325" s="54"/>
      <c r="Z325" s="54"/>
    </row>
    <row r="326" spans="15:26">
      <c r="O326" s="59"/>
      <c r="P326" s="63"/>
      <c r="Q326" s="141"/>
      <c r="R326" s="141"/>
      <c r="S326" s="141"/>
      <c r="T326" s="141"/>
      <c r="U326" s="141"/>
      <c r="V326" s="58"/>
      <c r="X326" s="54"/>
      <c r="Y326" s="54"/>
      <c r="Z326" s="54"/>
    </row>
    <row r="327" spans="15:26">
      <c r="O327" s="59"/>
      <c r="P327" s="63"/>
      <c r="Q327" s="141"/>
      <c r="R327" s="141"/>
      <c r="S327" s="141"/>
      <c r="T327" s="141"/>
      <c r="U327" s="141"/>
      <c r="V327" s="58"/>
      <c r="X327" s="54"/>
      <c r="Y327" s="54"/>
      <c r="Z327" s="54"/>
    </row>
    <row r="328" spans="15:26">
      <c r="O328" s="60">
        <v>42491</v>
      </c>
      <c r="P328" s="63"/>
      <c r="Q328" s="141"/>
      <c r="R328" s="141"/>
      <c r="S328" s="141"/>
      <c r="T328" s="141"/>
      <c r="U328" s="141"/>
      <c r="V328" s="58"/>
      <c r="X328" s="54"/>
      <c r="Y328" s="54"/>
      <c r="Z328" s="54"/>
    </row>
    <row r="329" spans="15:26">
      <c r="O329" s="60"/>
      <c r="P329" s="63"/>
      <c r="Q329" s="141"/>
      <c r="R329" s="141"/>
      <c r="S329" s="141"/>
      <c r="T329" s="141"/>
      <c r="U329" s="141"/>
      <c r="V329" s="58"/>
      <c r="X329" s="54"/>
      <c r="Y329" s="54"/>
      <c r="Z329" s="54"/>
    </row>
    <row r="330" spans="15:26">
      <c r="O330" s="59"/>
      <c r="P330" s="63"/>
      <c r="Q330" s="141"/>
      <c r="R330" s="141"/>
      <c r="S330" s="141"/>
      <c r="T330" s="141"/>
      <c r="U330" s="141"/>
      <c r="V330" s="58"/>
      <c r="X330" s="54"/>
      <c r="Y330" s="54"/>
      <c r="Z330" s="54"/>
    </row>
    <row r="331" spans="15:26">
      <c r="O331" s="59"/>
      <c r="P331" s="63"/>
      <c r="Q331" s="141"/>
      <c r="R331" s="141"/>
      <c r="S331" s="141"/>
      <c r="T331" s="141"/>
      <c r="U331" s="141"/>
      <c r="V331" s="58"/>
      <c r="X331" s="54"/>
      <c r="Y331" s="54"/>
      <c r="Z331" s="54"/>
    </row>
    <row r="332" spans="15:26">
      <c r="O332" s="59"/>
      <c r="P332" s="63"/>
      <c r="Q332" s="141"/>
      <c r="R332" s="141"/>
      <c r="S332" s="141"/>
      <c r="T332" s="141"/>
      <c r="U332" s="141"/>
      <c r="V332" s="58"/>
      <c r="X332" s="54"/>
      <c r="Y332" s="54"/>
      <c r="Z332" s="54"/>
    </row>
    <row r="333" spans="15:26">
      <c r="O333" s="59"/>
      <c r="P333" s="63"/>
      <c r="Q333" s="141"/>
      <c r="R333" s="141"/>
      <c r="S333" s="141"/>
      <c r="T333" s="141"/>
      <c r="U333" s="141"/>
      <c r="V333" s="58"/>
      <c r="X333" s="54"/>
      <c r="Y333" s="54"/>
      <c r="Z333" s="54"/>
    </row>
    <row r="334" spans="15:26">
      <c r="O334" s="59"/>
      <c r="P334" s="63"/>
      <c r="Q334" s="141"/>
      <c r="R334" s="141"/>
      <c r="S334" s="141"/>
      <c r="T334" s="141"/>
      <c r="U334" s="141"/>
      <c r="V334" s="58"/>
      <c r="X334" s="54"/>
      <c r="Y334" s="54"/>
      <c r="Z334" s="54"/>
    </row>
    <row r="335" spans="15:26">
      <c r="O335" s="59"/>
      <c r="P335" s="63"/>
      <c r="Q335" s="141"/>
      <c r="R335" s="141"/>
      <c r="S335" s="141"/>
      <c r="T335" s="141"/>
      <c r="U335" s="141"/>
      <c r="V335" s="58"/>
      <c r="X335" s="54"/>
      <c r="Y335" s="54"/>
      <c r="Z335" s="54"/>
    </row>
    <row r="336" spans="15:26">
      <c r="O336" s="59"/>
      <c r="P336" s="63"/>
      <c r="Q336" s="141"/>
      <c r="R336" s="141"/>
      <c r="S336" s="141"/>
      <c r="T336" s="141"/>
      <c r="U336" s="141"/>
      <c r="V336" s="58"/>
      <c r="X336" s="54"/>
      <c r="Y336" s="54"/>
      <c r="Z336" s="54"/>
    </row>
    <row r="337" spans="15:26">
      <c r="O337" s="59"/>
      <c r="P337" s="63"/>
      <c r="Q337" s="141"/>
      <c r="R337" s="141"/>
      <c r="S337" s="141"/>
      <c r="T337" s="141"/>
      <c r="U337" s="141"/>
      <c r="V337" s="58"/>
      <c r="X337" s="54"/>
      <c r="Y337" s="54"/>
      <c r="Z337" s="54"/>
    </row>
    <row r="338" spans="15:26">
      <c r="O338" s="59"/>
      <c r="P338" s="63"/>
      <c r="Q338" s="141"/>
      <c r="R338" s="141"/>
      <c r="S338" s="141"/>
      <c r="T338" s="141"/>
      <c r="U338" s="141"/>
      <c r="V338" s="58"/>
      <c r="X338" s="54"/>
      <c r="Y338" s="54"/>
      <c r="Z338" s="54"/>
    </row>
    <row r="339" spans="15:26">
      <c r="O339" s="59"/>
      <c r="P339" s="63"/>
      <c r="Q339" s="141"/>
      <c r="R339" s="141"/>
      <c r="S339" s="141"/>
      <c r="T339" s="141"/>
      <c r="U339" s="141"/>
      <c r="V339" s="58"/>
      <c r="X339" s="54"/>
      <c r="Y339" s="54"/>
      <c r="Z339" s="54"/>
    </row>
    <row r="340" spans="15:26">
      <c r="O340" s="59"/>
      <c r="P340" s="63"/>
      <c r="Q340" s="141"/>
      <c r="R340" s="141"/>
      <c r="S340" s="141"/>
      <c r="T340" s="141"/>
      <c r="U340" s="141"/>
      <c r="V340" s="58"/>
      <c r="X340" s="54"/>
      <c r="Y340" s="54"/>
      <c r="Z340" s="54"/>
    </row>
    <row r="341" spans="15:26">
      <c r="O341" s="59"/>
      <c r="P341" s="63"/>
      <c r="Q341" s="141"/>
      <c r="R341" s="141"/>
      <c r="S341" s="141"/>
      <c r="T341" s="141"/>
      <c r="U341" s="141"/>
      <c r="V341" s="58"/>
      <c r="X341" s="54"/>
      <c r="Y341" s="54"/>
      <c r="Z341" s="54"/>
    </row>
    <row r="342" spans="15:26">
      <c r="O342" s="59"/>
      <c r="P342" s="63"/>
      <c r="Q342" s="141"/>
      <c r="R342" s="141"/>
      <c r="S342" s="141"/>
      <c r="T342" s="141"/>
      <c r="U342" s="141"/>
      <c r="V342" s="58"/>
      <c r="X342" s="54"/>
      <c r="Y342" s="54"/>
      <c r="Z342" s="54"/>
    </row>
    <row r="343" spans="15:26">
      <c r="O343" s="59"/>
      <c r="P343" s="63"/>
      <c r="Q343" s="141"/>
      <c r="R343" s="141"/>
      <c r="S343" s="141"/>
      <c r="T343" s="141"/>
      <c r="U343" s="141"/>
      <c r="V343" s="58"/>
      <c r="X343" s="54"/>
      <c r="Y343" s="54"/>
      <c r="Z343" s="54"/>
    </row>
    <row r="344" spans="15:26">
      <c r="O344" s="59"/>
      <c r="P344" s="63"/>
      <c r="Q344" s="141"/>
      <c r="R344" s="141"/>
      <c r="S344" s="141"/>
      <c r="T344" s="141"/>
      <c r="U344" s="141"/>
      <c r="V344" s="58"/>
      <c r="X344" s="54"/>
      <c r="Y344" s="54"/>
      <c r="Z344" s="54"/>
    </row>
    <row r="345" spans="15:26">
      <c r="O345" s="59"/>
      <c r="P345" s="63"/>
      <c r="Q345" s="141"/>
      <c r="R345" s="141"/>
      <c r="S345" s="141"/>
      <c r="T345" s="141"/>
      <c r="U345" s="141"/>
      <c r="V345" s="58"/>
      <c r="X345" s="54"/>
      <c r="Y345" s="54"/>
      <c r="Z345" s="54"/>
    </row>
    <row r="346" spans="15:26">
      <c r="O346" s="59"/>
      <c r="P346" s="63"/>
      <c r="Q346" s="141"/>
      <c r="R346" s="141"/>
      <c r="S346" s="141"/>
      <c r="T346" s="141"/>
      <c r="U346" s="141"/>
      <c r="V346" s="58"/>
      <c r="X346" s="54"/>
      <c r="Y346" s="54"/>
      <c r="Z346" s="54"/>
    </row>
    <row r="347" spans="15:26">
      <c r="O347" s="59"/>
      <c r="P347" s="63"/>
      <c r="Q347" s="141"/>
      <c r="R347" s="141"/>
      <c r="S347" s="141"/>
      <c r="T347" s="141"/>
      <c r="U347" s="141"/>
      <c r="V347" s="58"/>
      <c r="X347" s="54"/>
      <c r="Y347" s="54"/>
      <c r="Z347" s="54"/>
    </row>
    <row r="348" spans="15:26">
      <c r="O348" s="59"/>
      <c r="P348" s="63"/>
      <c r="Q348" s="141"/>
      <c r="R348" s="141"/>
      <c r="S348" s="141"/>
      <c r="T348" s="141"/>
      <c r="U348" s="141"/>
      <c r="V348" s="58"/>
      <c r="X348" s="54"/>
      <c r="Y348" s="54"/>
      <c r="Z348" s="54"/>
    </row>
    <row r="349" spans="15:26">
      <c r="O349" s="59"/>
      <c r="P349" s="63"/>
      <c r="Q349" s="141"/>
      <c r="R349" s="141"/>
      <c r="S349" s="141"/>
      <c r="T349" s="141"/>
      <c r="U349" s="141"/>
      <c r="V349" s="58"/>
      <c r="X349" s="54"/>
      <c r="Y349" s="54"/>
      <c r="Z349" s="54"/>
    </row>
    <row r="350" spans="15:26">
      <c r="O350" s="59"/>
      <c r="P350" s="63"/>
      <c r="Q350" s="141"/>
      <c r="R350" s="141"/>
      <c r="S350" s="141"/>
      <c r="T350" s="141"/>
      <c r="U350" s="141"/>
      <c r="V350" s="58"/>
      <c r="X350" s="54"/>
      <c r="Y350" s="54"/>
      <c r="Z350" s="54"/>
    </row>
    <row r="351" spans="15:26">
      <c r="O351" s="59"/>
      <c r="P351" s="63"/>
      <c r="Q351" s="141"/>
      <c r="R351" s="141"/>
      <c r="S351" s="141"/>
      <c r="T351" s="141"/>
      <c r="U351" s="141"/>
      <c r="V351" s="58"/>
      <c r="X351" s="54"/>
      <c r="Y351" s="54"/>
      <c r="Z351" s="54"/>
    </row>
    <row r="352" spans="15:26">
      <c r="O352" s="59"/>
      <c r="P352" s="63"/>
      <c r="Q352" s="141"/>
      <c r="R352" s="141"/>
      <c r="S352" s="141"/>
      <c r="T352" s="141"/>
      <c r="U352" s="141"/>
      <c r="V352" s="58"/>
      <c r="X352" s="54"/>
      <c r="Y352" s="54"/>
      <c r="Z352" s="54"/>
    </row>
    <row r="353" spans="15:26">
      <c r="O353" s="59"/>
      <c r="P353" s="63"/>
      <c r="Q353" s="141"/>
      <c r="R353" s="141"/>
      <c r="S353" s="141"/>
      <c r="T353" s="141"/>
      <c r="U353" s="141"/>
      <c r="V353" s="58"/>
      <c r="X353" s="54"/>
      <c r="Y353" s="54"/>
      <c r="Z353" s="54"/>
    </row>
    <row r="354" spans="15:26">
      <c r="O354" s="59"/>
      <c r="P354" s="63"/>
      <c r="Q354" s="141"/>
      <c r="R354" s="141"/>
      <c r="S354" s="141"/>
      <c r="T354" s="141"/>
      <c r="U354" s="141"/>
      <c r="V354" s="58"/>
      <c r="X354" s="54"/>
      <c r="Y354" s="54"/>
      <c r="Z354" s="54"/>
    </row>
    <row r="355" spans="15:26">
      <c r="O355" s="59"/>
      <c r="P355" s="63"/>
      <c r="Q355" s="141"/>
      <c r="R355" s="141"/>
      <c r="S355" s="141"/>
      <c r="T355" s="141"/>
      <c r="U355" s="141"/>
      <c r="V355" s="58"/>
      <c r="X355" s="54"/>
      <c r="Y355" s="54"/>
      <c r="Z355" s="54"/>
    </row>
    <row r="356" spans="15:26">
      <c r="O356" s="59"/>
      <c r="P356" s="63"/>
      <c r="Q356" s="141"/>
      <c r="R356" s="141"/>
      <c r="S356" s="141"/>
      <c r="T356" s="141"/>
      <c r="U356" s="141"/>
      <c r="V356" s="58"/>
      <c r="X356" s="54"/>
      <c r="Y356" s="54"/>
      <c r="Z356" s="54"/>
    </row>
    <row r="357" spans="15:26">
      <c r="O357" s="59"/>
      <c r="P357" s="63"/>
      <c r="Q357" s="141"/>
      <c r="R357" s="141"/>
      <c r="S357" s="141"/>
      <c r="T357" s="141"/>
      <c r="U357" s="141"/>
      <c r="V357" s="58"/>
      <c r="X357" s="54"/>
      <c r="Y357" s="54"/>
      <c r="Z357" s="54"/>
    </row>
    <row r="358" spans="15:26">
      <c r="O358" s="60"/>
      <c r="P358" s="63"/>
      <c r="Q358" s="141"/>
      <c r="R358" s="141"/>
      <c r="S358" s="141"/>
      <c r="T358" s="141"/>
      <c r="U358" s="141"/>
      <c r="V358" s="58"/>
      <c r="X358" s="54"/>
      <c r="Y358" s="54"/>
      <c r="Z358" s="54"/>
    </row>
    <row r="359" spans="15:26">
      <c r="O359" s="60">
        <v>42522</v>
      </c>
      <c r="P359" s="63"/>
      <c r="Q359" s="141"/>
      <c r="R359" s="141"/>
      <c r="S359" s="141"/>
      <c r="T359" s="141"/>
      <c r="U359" s="141"/>
      <c r="V359" s="58"/>
      <c r="X359" s="54"/>
      <c r="Y359" s="54"/>
      <c r="Z359" s="54"/>
    </row>
    <row r="360" spans="15:26">
      <c r="O360" s="59"/>
      <c r="P360" s="63"/>
      <c r="Q360" s="141"/>
      <c r="R360" s="141"/>
      <c r="S360" s="141"/>
      <c r="T360" s="141"/>
      <c r="U360" s="141"/>
      <c r="V360" s="58"/>
      <c r="X360" s="54"/>
      <c r="Y360" s="54"/>
      <c r="Z360" s="54"/>
    </row>
    <row r="361" spans="15:26">
      <c r="O361" s="59"/>
      <c r="P361" s="63"/>
      <c r="Q361" s="141"/>
      <c r="R361" s="141"/>
      <c r="S361" s="141"/>
      <c r="T361" s="141"/>
      <c r="U361" s="141"/>
      <c r="V361" s="58"/>
      <c r="X361" s="54"/>
      <c r="Y361" s="54"/>
      <c r="Z361" s="54"/>
    </row>
    <row r="362" spans="15:26">
      <c r="O362" s="59"/>
      <c r="P362" s="63"/>
      <c r="Q362" s="141"/>
      <c r="R362" s="141"/>
      <c r="S362" s="141"/>
      <c r="T362" s="141"/>
      <c r="U362" s="141"/>
      <c r="V362" s="58"/>
      <c r="X362" s="54"/>
      <c r="Y362" s="54"/>
      <c r="Z362" s="54"/>
    </row>
    <row r="363" spans="15:26">
      <c r="O363" s="59"/>
      <c r="P363" s="63"/>
      <c r="Q363" s="141"/>
      <c r="R363" s="141"/>
      <c r="S363" s="141"/>
      <c r="T363" s="141"/>
      <c r="U363" s="141"/>
      <c r="V363" s="58"/>
      <c r="X363" s="54"/>
      <c r="Y363" s="54"/>
      <c r="Z363" s="54"/>
    </row>
    <row r="364" spans="15:26">
      <c r="O364" s="59"/>
      <c r="P364" s="63"/>
      <c r="Q364" s="141"/>
      <c r="R364" s="141"/>
      <c r="S364" s="141"/>
      <c r="T364" s="141"/>
      <c r="U364" s="141"/>
      <c r="V364" s="58"/>
      <c r="X364" s="54"/>
      <c r="Y364" s="54"/>
      <c r="Z364" s="54"/>
    </row>
    <row r="365" spans="15:26">
      <c r="O365" s="59"/>
      <c r="P365" s="63"/>
      <c r="Q365" s="141"/>
      <c r="R365" s="141"/>
      <c r="S365" s="141"/>
      <c r="T365" s="141"/>
      <c r="U365" s="141"/>
      <c r="V365" s="58"/>
      <c r="X365" s="54"/>
      <c r="Y365" s="54"/>
      <c r="Z365" s="54"/>
    </row>
    <row r="366" spans="15:26">
      <c r="O366" s="59"/>
      <c r="P366" s="63"/>
      <c r="Q366" s="141"/>
      <c r="R366" s="141"/>
      <c r="S366" s="141"/>
      <c r="T366" s="141"/>
      <c r="U366" s="141"/>
      <c r="V366" s="58"/>
      <c r="X366" s="54"/>
      <c r="Y366" s="54"/>
      <c r="Z366" s="54"/>
    </row>
    <row r="367" spans="15:26">
      <c r="O367" s="59"/>
      <c r="P367" s="63"/>
      <c r="Q367" s="141"/>
      <c r="R367" s="141"/>
      <c r="S367" s="141"/>
      <c r="T367" s="141"/>
      <c r="U367" s="141"/>
      <c r="V367" s="58"/>
      <c r="X367" s="54"/>
      <c r="Y367" s="54"/>
      <c r="Z367" s="54"/>
    </row>
    <row r="368" spans="15:26">
      <c r="O368" s="59"/>
      <c r="P368" s="63"/>
      <c r="Q368" s="141"/>
      <c r="R368" s="141"/>
      <c r="S368" s="141"/>
      <c r="T368" s="141"/>
      <c r="U368" s="141"/>
      <c r="V368" s="58"/>
      <c r="X368" s="54"/>
      <c r="Y368" s="54"/>
      <c r="Z368" s="54"/>
    </row>
    <row r="369" spans="15:26">
      <c r="O369" s="59"/>
      <c r="P369" s="63"/>
      <c r="Q369" s="141"/>
      <c r="R369" s="141"/>
      <c r="S369" s="141"/>
      <c r="T369" s="141"/>
      <c r="U369" s="141"/>
      <c r="V369" s="58"/>
      <c r="X369" s="54"/>
      <c r="Y369" s="54"/>
      <c r="Z369" s="54"/>
    </row>
    <row r="370" spans="15:26">
      <c r="O370" s="59"/>
      <c r="P370" s="63"/>
      <c r="Q370" s="141"/>
      <c r="R370" s="141"/>
      <c r="S370" s="141"/>
      <c r="T370" s="141"/>
      <c r="U370" s="141"/>
      <c r="V370" s="58"/>
      <c r="X370" s="54"/>
      <c r="Y370" s="54"/>
      <c r="Z370" s="54"/>
    </row>
    <row r="371" spans="15:26">
      <c r="O371" s="59"/>
      <c r="P371" s="63"/>
      <c r="Q371" s="141"/>
      <c r="R371" s="141"/>
      <c r="S371" s="141"/>
      <c r="T371" s="141"/>
      <c r="U371" s="141"/>
      <c r="V371" s="58"/>
      <c r="X371" s="54"/>
      <c r="Y371" s="54"/>
      <c r="Z371" s="54"/>
    </row>
    <row r="372" spans="15:26">
      <c r="O372" s="59"/>
      <c r="P372" s="63"/>
      <c r="Q372" s="141"/>
      <c r="R372" s="141"/>
      <c r="S372" s="141"/>
      <c r="T372" s="141"/>
      <c r="U372" s="141"/>
      <c r="V372" s="58"/>
      <c r="X372" s="54"/>
      <c r="Y372" s="54"/>
      <c r="Z372" s="54"/>
    </row>
    <row r="373" spans="15:26">
      <c r="O373" s="59"/>
      <c r="P373" s="63"/>
      <c r="Q373" s="141"/>
      <c r="R373" s="141"/>
      <c r="S373" s="141"/>
      <c r="T373" s="141"/>
      <c r="U373" s="141"/>
      <c r="V373" s="58"/>
      <c r="X373" s="54"/>
      <c r="Y373" s="54"/>
      <c r="Z373" s="54"/>
    </row>
    <row r="374" spans="15:26">
      <c r="O374" s="59"/>
      <c r="P374" s="63"/>
      <c r="Q374" s="141"/>
      <c r="R374" s="141"/>
      <c r="S374" s="141"/>
      <c r="T374" s="141"/>
      <c r="U374" s="141"/>
      <c r="V374" s="58"/>
      <c r="X374" s="54"/>
      <c r="Y374" s="54"/>
      <c r="Z374" s="54"/>
    </row>
    <row r="375" spans="15:26">
      <c r="O375" s="59"/>
      <c r="P375" s="63"/>
      <c r="Q375" s="141"/>
      <c r="R375" s="141"/>
      <c r="S375" s="141"/>
      <c r="T375" s="141"/>
      <c r="U375" s="141"/>
      <c r="V375" s="58"/>
      <c r="X375" s="54"/>
      <c r="Y375" s="54"/>
      <c r="Z375" s="54"/>
    </row>
    <row r="376" spans="15:26">
      <c r="O376" s="59"/>
      <c r="P376" s="63"/>
      <c r="Q376" s="141"/>
      <c r="R376" s="141"/>
      <c r="S376" s="141"/>
      <c r="T376" s="141"/>
      <c r="U376" s="141"/>
      <c r="V376" s="58"/>
      <c r="X376" s="54"/>
      <c r="Y376" s="54"/>
      <c r="Z376" s="54"/>
    </row>
    <row r="377" spans="15:26">
      <c r="O377" s="59"/>
      <c r="P377" s="63"/>
      <c r="Q377" s="141"/>
      <c r="R377" s="141"/>
      <c r="S377" s="141"/>
      <c r="T377" s="141"/>
      <c r="U377" s="141"/>
      <c r="V377" s="58"/>
      <c r="X377" s="54"/>
      <c r="Y377" s="54"/>
      <c r="Z377" s="54"/>
    </row>
    <row r="378" spans="15:26">
      <c r="O378" s="59"/>
      <c r="P378" s="63"/>
      <c r="Q378" s="141"/>
      <c r="R378" s="141"/>
      <c r="S378" s="141"/>
      <c r="T378" s="141"/>
      <c r="U378" s="141"/>
      <c r="V378" s="58"/>
      <c r="X378" s="54"/>
      <c r="Y378" s="54"/>
      <c r="Z378" s="54"/>
    </row>
    <row r="379" spans="15:26">
      <c r="O379" s="59"/>
      <c r="P379" s="63"/>
      <c r="Q379" s="141"/>
      <c r="R379" s="141"/>
      <c r="S379" s="141"/>
      <c r="T379" s="141"/>
      <c r="U379" s="141"/>
      <c r="V379" s="58"/>
      <c r="X379" s="54"/>
      <c r="Y379" s="54"/>
      <c r="Z379" s="54"/>
    </row>
    <row r="380" spans="15:26">
      <c r="O380" s="59"/>
      <c r="P380" s="63"/>
      <c r="Q380" s="141"/>
      <c r="R380" s="141"/>
      <c r="S380" s="141"/>
      <c r="T380" s="141"/>
      <c r="U380" s="141"/>
      <c r="V380" s="58"/>
      <c r="X380" s="54"/>
      <c r="Y380" s="54"/>
      <c r="Z380" s="54"/>
    </row>
    <row r="381" spans="15:26">
      <c r="O381" s="59"/>
      <c r="P381" s="63"/>
      <c r="Q381" s="141"/>
      <c r="R381" s="141"/>
      <c r="S381" s="141"/>
      <c r="T381" s="141"/>
      <c r="U381" s="141"/>
      <c r="V381" s="58"/>
      <c r="X381" s="54"/>
      <c r="Y381" s="54"/>
      <c r="Z381" s="54"/>
    </row>
    <row r="382" spans="15:26">
      <c r="O382" s="59"/>
      <c r="P382" s="63"/>
      <c r="Q382" s="141"/>
      <c r="R382" s="141"/>
      <c r="S382" s="141"/>
      <c r="T382" s="141"/>
      <c r="U382" s="141"/>
      <c r="V382" s="58"/>
      <c r="X382" s="54"/>
      <c r="Y382" s="54"/>
      <c r="Z382" s="54"/>
    </row>
    <row r="383" spans="15:26">
      <c r="O383" s="59"/>
      <c r="P383" s="63"/>
      <c r="Q383" s="141"/>
      <c r="R383" s="141"/>
      <c r="S383" s="141"/>
      <c r="T383" s="141"/>
      <c r="U383" s="141"/>
      <c r="V383" s="58"/>
      <c r="X383" s="54"/>
      <c r="Y383" s="54"/>
      <c r="Z383" s="54"/>
    </row>
    <row r="384" spans="15:26">
      <c r="O384" s="59"/>
      <c r="P384" s="63"/>
      <c r="Q384" s="141"/>
      <c r="R384" s="141"/>
      <c r="S384" s="141"/>
      <c r="T384" s="141"/>
      <c r="U384" s="141"/>
      <c r="V384" s="58"/>
      <c r="X384" s="54"/>
      <c r="Y384" s="54"/>
      <c r="Z384" s="54"/>
    </row>
    <row r="385" spans="15:26">
      <c r="O385" s="59"/>
      <c r="P385" s="63"/>
      <c r="Q385" s="141"/>
      <c r="R385" s="141"/>
      <c r="S385" s="141"/>
      <c r="T385" s="141"/>
      <c r="U385" s="141"/>
      <c r="V385" s="58"/>
      <c r="X385" s="54"/>
      <c r="Y385" s="54"/>
      <c r="Z385" s="54"/>
    </row>
    <row r="386" spans="15:26">
      <c r="O386" s="59"/>
      <c r="P386" s="63"/>
      <c r="Q386" s="141"/>
      <c r="R386" s="141"/>
      <c r="S386" s="141"/>
      <c r="T386" s="141"/>
      <c r="U386" s="141"/>
      <c r="V386" s="58"/>
      <c r="X386" s="54"/>
      <c r="Y386" s="54"/>
      <c r="Z386" s="54"/>
    </row>
    <row r="387" spans="15:26">
      <c r="O387" s="59"/>
      <c r="P387" s="63"/>
      <c r="Q387" s="141"/>
      <c r="R387" s="141"/>
      <c r="S387" s="141"/>
      <c r="T387" s="141"/>
      <c r="U387" s="141"/>
      <c r="V387" s="58"/>
      <c r="X387" s="54"/>
      <c r="Y387" s="54"/>
      <c r="Z387" s="54"/>
    </row>
    <row r="388" spans="15:26">
      <c r="O388" s="60"/>
      <c r="P388" s="63"/>
      <c r="Q388" s="141"/>
      <c r="R388" s="141"/>
      <c r="S388" s="141"/>
      <c r="T388" s="141"/>
      <c r="U388" s="141"/>
      <c r="V388" s="58"/>
      <c r="X388" s="54"/>
      <c r="Y388" s="54"/>
      <c r="Z388" s="54"/>
    </row>
    <row r="389" spans="15:26">
      <c r="O389" s="60">
        <v>42552</v>
      </c>
      <c r="P389" s="63"/>
      <c r="Q389" s="141"/>
      <c r="R389" s="141"/>
      <c r="S389" s="141"/>
      <c r="T389" s="141"/>
      <c r="U389" s="141"/>
      <c r="V389" s="58"/>
      <c r="X389" s="54"/>
      <c r="Y389" s="54"/>
      <c r="Z389" s="54"/>
    </row>
    <row r="390" spans="15:26">
      <c r="O390" s="59"/>
      <c r="P390" s="63"/>
      <c r="Q390" s="141"/>
      <c r="R390" s="141"/>
      <c r="S390" s="141"/>
      <c r="T390" s="141"/>
      <c r="U390" s="141"/>
      <c r="V390" s="58"/>
      <c r="X390" s="54"/>
      <c r="Y390" s="54"/>
      <c r="Z390" s="54"/>
    </row>
    <row r="391" spans="15:26">
      <c r="O391" s="59"/>
      <c r="P391" s="63"/>
      <c r="Q391" s="141"/>
      <c r="R391" s="141"/>
      <c r="S391" s="141"/>
      <c r="T391" s="141"/>
      <c r="U391" s="141"/>
      <c r="V391" s="58"/>
      <c r="X391" s="54"/>
      <c r="Y391" s="54"/>
      <c r="Z391" s="54"/>
    </row>
    <row r="392" spans="15:26">
      <c r="O392" s="59"/>
      <c r="P392" s="63"/>
      <c r="Q392" s="141"/>
      <c r="R392" s="141"/>
      <c r="S392" s="141"/>
      <c r="T392" s="141"/>
      <c r="U392" s="141"/>
      <c r="V392" s="58"/>
      <c r="X392" s="54"/>
      <c r="Y392" s="54"/>
      <c r="Z392" s="54"/>
    </row>
    <row r="393" spans="15:26">
      <c r="O393" s="59"/>
      <c r="P393" s="63"/>
      <c r="Q393" s="141"/>
      <c r="R393" s="141"/>
      <c r="S393" s="141"/>
      <c r="T393" s="141"/>
      <c r="U393" s="141"/>
      <c r="V393" s="58"/>
      <c r="X393" s="54"/>
      <c r="Y393" s="54"/>
      <c r="Z393" s="54"/>
    </row>
    <row r="394" spans="15:26">
      <c r="O394" s="59"/>
      <c r="P394" s="63"/>
      <c r="Q394" s="141"/>
      <c r="R394" s="141"/>
      <c r="S394" s="141"/>
      <c r="T394" s="141"/>
      <c r="U394" s="141"/>
      <c r="V394" s="58"/>
      <c r="X394" s="54"/>
      <c r="Y394" s="54"/>
      <c r="Z394" s="54"/>
    </row>
    <row r="395" spans="15:26">
      <c r="O395" s="59"/>
      <c r="P395" s="63"/>
      <c r="Q395" s="141"/>
      <c r="R395" s="141"/>
      <c r="S395" s="141"/>
      <c r="T395" s="141"/>
      <c r="U395" s="141"/>
      <c r="V395" s="58"/>
      <c r="X395" s="54"/>
      <c r="Y395" s="54"/>
      <c r="Z395" s="54"/>
    </row>
    <row r="396" spans="15:26">
      <c r="O396" s="59"/>
      <c r="P396" s="63"/>
      <c r="Q396" s="141"/>
      <c r="R396" s="141"/>
      <c r="S396" s="141"/>
      <c r="T396" s="141"/>
      <c r="U396" s="141"/>
      <c r="V396" s="58"/>
      <c r="X396" s="54"/>
      <c r="Y396" s="54"/>
      <c r="Z396" s="54"/>
    </row>
    <row r="397" spans="15:26">
      <c r="O397" s="59"/>
      <c r="P397" s="63"/>
      <c r="Q397" s="141"/>
      <c r="R397" s="141"/>
      <c r="S397" s="141"/>
      <c r="T397" s="141"/>
      <c r="U397" s="141"/>
      <c r="V397" s="58"/>
      <c r="X397" s="54"/>
      <c r="Y397" s="54"/>
      <c r="Z397" s="54"/>
    </row>
    <row r="398" spans="15:26">
      <c r="O398" s="59"/>
      <c r="P398" s="63"/>
      <c r="Q398" s="141"/>
      <c r="R398" s="141"/>
      <c r="S398" s="141"/>
      <c r="T398" s="141"/>
      <c r="U398" s="141"/>
      <c r="V398" s="58"/>
      <c r="X398" s="54"/>
      <c r="Y398" s="54"/>
      <c r="Z398" s="54"/>
    </row>
    <row r="399" spans="15:26">
      <c r="O399" s="59"/>
      <c r="P399" s="63"/>
      <c r="Q399" s="141"/>
      <c r="R399" s="141"/>
      <c r="S399" s="141"/>
      <c r="T399" s="141"/>
      <c r="U399" s="141"/>
      <c r="V399" s="58"/>
      <c r="X399" s="54"/>
      <c r="Y399" s="54"/>
      <c r="Z399" s="54"/>
    </row>
    <row r="400" spans="15:26">
      <c r="O400" s="59"/>
      <c r="P400" s="63"/>
      <c r="Q400" s="141"/>
      <c r="R400" s="141"/>
      <c r="S400" s="141"/>
      <c r="T400" s="141"/>
      <c r="U400" s="141"/>
      <c r="V400" s="58"/>
      <c r="X400" s="54"/>
      <c r="Y400" s="54"/>
      <c r="Z400" s="54"/>
    </row>
    <row r="401" spans="15:26">
      <c r="O401" s="59"/>
      <c r="P401" s="63"/>
      <c r="Q401" s="141"/>
      <c r="R401" s="141"/>
      <c r="S401" s="141"/>
      <c r="T401" s="141"/>
      <c r="U401" s="141"/>
      <c r="V401" s="58"/>
      <c r="X401" s="54"/>
      <c r="Y401" s="54"/>
      <c r="Z401" s="54"/>
    </row>
    <row r="402" spans="15:26">
      <c r="O402" s="59"/>
      <c r="P402" s="63"/>
      <c r="Q402" s="141"/>
      <c r="R402" s="141"/>
      <c r="S402" s="141"/>
      <c r="T402" s="141"/>
      <c r="U402" s="141"/>
      <c r="V402" s="58"/>
      <c r="X402" s="54"/>
      <c r="Y402" s="54"/>
      <c r="Z402" s="54"/>
    </row>
    <row r="403" spans="15:26">
      <c r="O403" s="59"/>
      <c r="P403" s="63"/>
      <c r="Q403" s="141"/>
      <c r="R403" s="141"/>
      <c r="S403" s="141"/>
      <c r="T403" s="141"/>
      <c r="U403" s="141"/>
      <c r="V403" s="58"/>
      <c r="X403" s="54"/>
      <c r="Y403" s="54"/>
      <c r="Z403" s="54"/>
    </row>
    <row r="404" spans="15:26">
      <c r="O404" s="59"/>
      <c r="P404" s="63"/>
      <c r="Q404" s="141"/>
      <c r="R404" s="141"/>
      <c r="S404" s="141"/>
      <c r="T404" s="141"/>
      <c r="U404" s="141"/>
      <c r="V404" s="58"/>
      <c r="X404" s="54"/>
      <c r="Y404" s="54"/>
      <c r="Z404" s="54"/>
    </row>
    <row r="405" spans="15:26">
      <c r="O405" s="59"/>
      <c r="P405" s="63"/>
      <c r="Q405" s="141"/>
      <c r="R405" s="141"/>
      <c r="S405" s="141"/>
      <c r="T405" s="141"/>
      <c r="U405" s="141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workbookViewId="0">
      <selection activeCell="H25" sqref="H25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Octubre 2025</v>
      </c>
    </row>
    <row r="4" spans="2:18" s="71" customFormat="1" ht="20.25" customHeight="1">
      <c r="B4" s="70"/>
      <c r="C4" s="99" t="s">
        <v>64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17" t="s">
        <v>74</v>
      </c>
      <c r="D7" s="74"/>
      <c r="E7" s="75"/>
      <c r="P7" s="76"/>
      <c r="Q7" s="76"/>
      <c r="R7" s="76"/>
    </row>
    <row r="8" spans="2:18" s="71" customFormat="1" ht="12.75" customHeight="1">
      <c r="B8" s="70"/>
      <c r="C8" s="317"/>
      <c r="D8" s="74"/>
      <c r="E8" s="75"/>
      <c r="P8" s="77"/>
      <c r="Q8" s="77"/>
      <c r="R8" s="77"/>
    </row>
    <row r="9" spans="2:18" s="71" customFormat="1" ht="12.75" customHeight="1">
      <c r="B9" s="70"/>
      <c r="C9" s="317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11"/>
    </row>
    <row r="29" spans="2:9">
      <c r="E29" s="311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Octubre 2025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15" t="s">
        <v>218</v>
      </c>
      <c r="D7" s="32"/>
      <c r="E7" s="39"/>
    </row>
    <row r="8" spans="2:6" s="29" customFormat="1" ht="12.75" customHeight="1">
      <c r="B8" s="28"/>
      <c r="C8" s="315"/>
      <c r="D8" s="32"/>
      <c r="E8" s="39"/>
    </row>
    <row r="9" spans="2:6" s="29" customFormat="1" ht="12.75" customHeight="1">
      <c r="B9" s="28"/>
      <c r="C9" s="271" t="str">
        <f>CONCATENATE(TEXT(Dat_01!I36,"0.0")," MW")</f>
        <v>3.363 MW</v>
      </c>
      <c r="D9" s="32"/>
      <c r="E9" s="39"/>
    </row>
    <row r="10" spans="2:6" s="29" customFormat="1" ht="12.75" customHeight="1">
      <c r="B10" s="28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261</v>
      </c>
    </row>
    <row r="2" spans="1:2">
      <c r="A2" t="s">
        <v>257</v>
      </c>
    </row>
    <row r="3" spans="1:2">
      <c r="A3" t="s">
        <v>258</v>
      </c>
    </row>
    <row r="4" spans="1:2">
      <c r="A4" t="s">
        <v>252</v>
      </c>
    </row>
    <row r="5" spans="1:2">
      <c r="A5" t="s">
        <v>242</v>
      </c>
    </row>
    <row r="6" spans="1:2">
      <c r="A6" t="s">
        <v>255</v>
      </c>
    </row>
    <row r="7" spans="1:2">
      <c r="A7" t="s">
        <v>254</v>
      </c>
    </row>
    <row r="8" spans="1:2">
      <c r="A8" t="s">
        <v>259</v>
      </c>
    </row>
    <row r="9" spans="1:2">
      <c r="A9" t="s">
        <v>260</v>
      </c>
    </row>
    <row r="10" spans="1:2">
      <c r="A10" t="s">
        <v>251</v>
      </c>
    </row>
    <row r="11" spans="1:2">
      <c r="A11" t="s">
        <v>250</v>
      </c>
    </row>
    <row r="12" spans="1:2">
      <c r="A12" t="s">
        <v>256</v>
      </c>
    </row>
    <row r="13" spans="1:2">
      <c r="A13" t="s">
        <v>262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4"/>
    <col min="8" max="8" width="15.7109375" style="274" customWidth="1"/>
    <col min="9" max="16384" width="11.42578125" style="274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247</v>
      </c>
    </row>
    <row r="3" spans="1:13" s="71" customFormat="1" ht="20.25" customHeight="1">
      <c r="A3" s="69"/>
      <c r="B3" s="99" t="s">
        <v>64</v>
      </c>
      <c r="D3" s="273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4"/>
      <c r="G6" s="275"/>
      <c r="H6" s="276"/>
      <c r="I6" s="276"/>
      <c r="J6" s="276"/>
      <c r="K6" s="276"/>
      <c r="L6" s="276"/>
      <c r="M6" s="276"/>
    </row>
    <row r="7" spans="1:13" ht="12.75" customHeight="1">
      <c r="A7" s="70"/>
      <c r="B7" s="315" t="s">
        <v>219</v>
      </c>
      <c r="C7" s="74"/>
      <c r="D7" s="277"/>
      <c r="E7" s="71"/>
      <c r="F7" s="278"/>
    </row>
    <row r="8" spans="1:13" ht="12.75" customHeight="1">
      <c r="A8" s="70"/>
      <c r="B8" s="315"/>
      <c r="C8" s="74"/>
      <c r="D8" s="277"/>
      <c r="E8" s="71"/>
      <c r="F8" s="278"/>
    </row>
    <row r="9" spans="1:13">
      <c r="A9" s="274"/>
      <c r="B9" s="126" t="s">
        <v>0</v>
      </c>
      <c r="C9" s="74"/>
      <c r="D9" s="277"/>
      <c r="E9" s="71"/>
      <c r="F9" s="279"/>
    </row>
    <row r="10" spans="1:13">
      <c r="A10" s="274"/>
      <c r="B10" s="85"/>
      <c r="C10" s="74"/>
      <c r="D10" s="277"/>
      <c r="E10" s="71"/>
      <c r="F10" s="279"/>
    </row>
    <row r="11" spans="1:13">
      <c r="A11" s="274"/>
      <c r="B11" s="85"/>
      <c r="C11" s="74"/>
      <c r="D11" s="74"/>
      <c r="E11" s="71"/>
      <c r="F11" s="279"/>
    </row>
    <row r="12" spans="1:13">
      <c r="A12" s="274"/>
      <c r="B12" s="85"/>
      <c r="C12" s="74"/>
      <c r="D12" s="74"/>
      <c r="E12" s="71"/>
      <c r="F12" s="279"/>
    </row>
    <row r="13" spans="1:13">
      <c r="A13" s="274"/>
      <c r="B13" s="85"/>
      <c r="C13" s="74"/>
      <c r="D13" s="74"/>
      <c r="E13" s="71"/>
      <c r="F13" s="279"/>
    </row>
    <row r="14" spans="1:13">
      <c r="A14" s="274"/>
      <c r="B14" s="73"/>
      <c r="C14" s="74"/>
      <c r="D14" s="74"/>
      <c r="E14" s="71"/>
      <c r="F14" s="279"/>
    </row>
    <row r="15" spans="1:13">
      <c r="A15" s="274"/>
      <c r="B15" s="73"/>
      <c r="C15" s="74"/>
      <c r="D15" s="74"/>
      <c r="E15" s="71"/>
      <c r="F15" s="279"/>
    </row>
    <row r="16" spans="1:13">
      <c r="A16" s="274"/>
      <c r="B16" s="73"/>
      <c r="C16" s="74"/>
      <c r="D16" s="74"/>
      <c r="E16" s="71"/>
      <c r="F16" s="279"/>
    </row>
    <row r="17" spans="1:6">
      <c r="A17" s="274"/>
      <c r="B17" s="73"/>
      <c r="C17" s="74"/>
      <c r="D17" s="74"/>
      <c r="E17" s="71"/>
      <c r="F17" s="279"/>
    </row>
    <row r="18" spans="1:6">
      <c r="A18" s="274"/>
      <c r="B18" s="73"/>
      <c r="C18" s="74"/>
      <c r="D18" s="74"/>
      <c r="E18" s="71"/>
      <c r="F18" s="279"/>
    </row>
    <row r="19" spans="1:6">
      <c r="A19" s="274"/>
      <c r="B19" s="73"/>
      <c r="C19" s="74"/>
      <c r="D19" s="74"/>
      <c r="E19" s="71"/>
      <c r="F19" s="279"/>
    </row>
    <row r="20" spans="1:6">
      <c r="A20" s="274"/>
      <c r="B20" s="73"/>
      <c r="C20" s="74"/>
      <c r="D20" s="74"/>
      <c r="E20" s="71"/>
      <c r="F20" s="279"/>
    </row>
    <row r="21" spans="1:6">
      <c r="A21" s="274"/>
      <c r="B21" s="73"/>
      <c r="C21" s="74"/>
      <c r="D21" s="74"/>
      <c r="E21" s="71"/>
      <c r="F21" s="279"/>
    </row>
    <row r="28" spans="1:6">
      <c r="D28" s="280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1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73E-8F1F-4E48-AFB6-DF58E8BE73A8}">
  <sheetPr codeName="Hoja1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4"/>
    <col min="8" max="8" width="15.7109375" style="274" customWidth="1"/>
    <col min="9" max="16384" width="11.42578125" style="274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247</v>
      </c>
    </row>
    <row r="3" spans="1:13" s="71" customFormat="1" ht="20.25" customHeight="1">
      <c r="A3" s="69"/>
      <c r="B3" s="99" t="s">
        <v>64</v>
      </c>
      <c r="D3" s="273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4"/>
      <c r="G6" s="275"/>
      <c r="H6" s="276"/>
      <c r="I6" s="276"/>
      <c r="J6" s="276"/>
      <c r="K6" s="276"/>
      <c r="L6" s="276"/>
      <c r="M6" s="276"/>
    </row>
    <row r="7" spans="1:13" ht="12.75" customHeight="1">
      <c r="A7" s="70"/>
      <c r="B7" s="315" t="s">
        <v>219</v>
      </c>
      <c r="C7" s="74"/>
      <c r="D7" s="277"/>
      <c r="E7" s="71"/>
      <c r="F7" s="278"/>
    </row>
    <row r="8" spans="1:13" ht="12.75" customHeight="1">
      <c r="A8" s="70"/>
      <c r="B8" s="315"/>
      <c r="C8" s="74"/>
      <c r="D8" s="277"/>
      <c r="E8" s="71"/>
      <c r="F8" s="278"/>
    </row>
    <row r="9" spans="1:13">
      <c r="A9" s="274"/>
      <c r="B9" s="126" t="s">
        <v>0</v>
      </c>
      <c r="C9" s="74"/>
      <c r="D9" s="277"/>
      <c r="E9" s="71"/>
      <c r="F9" s="279"/>
    </row>
    <row r="10" spans="1:13">
      <c r="A10" s="274"/>
      <c r="B10" s="85"/>
      <c r="C10" s="74"/>
      <c r="D10" s="277"/>
      <c r="E10" s="71"/>
      <c r="F10" s="279"/>
    </row>
    <row r="11" spans="1:13">
      <c r="A11" s="274"/>
      <c r="B11" s="85"/>
      <c r="C11" s="74"/>
      <c r="D11" s="74"/>
      <c r="E11" s="71"/>
      <c r="F11" s="279"/>
    </row>
    <row r="12" spans="1:13">
      <c r="A12" s="274"/>
      <c r="B12" s="85"/>
      <c r="C12" s="74"/>
      <c r="D12" s="74"/>
      <c r="E12" s="71"/>
      <c r="F12" s="279"/>
    </row>
    <row r="13" spans="1:13">
      <c r="A13" s="274"/>
      <c r="B13" s="85"/>
      <c r="C13" s="74"/>
      <c r="D13" s="74"/>
      <c r="E13" s="71"/>
      <c r="F13" s="279"/>
    </row>
    <row r="14" spans="1:13">
      <c r="A14" s="274"/>
      <c r="B14" s="73"/>
      <c r="C14" s="74"/>
      <c r="D14" s="74"/>
      <c r="E14" s="71"/>
      <c r="F14" s="279"/>
    </row>
    <row r="15" spans="1:13">
      <c r="A15" s="274"/>
      <c r="B15" s="73"/>
      <c r="C15" s="74"/>
      <c r="D15" s="74"/>
      <c r="E15" s="71"/>
      <c r="F15" s="279"/>
    </row>
    <row r="16" spans="1:13">
      <c r="A16" s="274"/>
      <c r="B16" s="73"/>
      <c r="C16" s="74"/>
      <c r="D16" s="74"/>
      <c r="E16" s="71"/>
      <c r="F16" s="279"/>
    </row>
    <row r="17" spans="1:6">
      <c r="A17" s="274"/>
      <c r="B17" s="73"/>
      <c r="C17" s="74"/>
      <c r="D17" s="74"/>
      <c r="E17" s="71"/>
      <c r="F17" s="279"/>
    </row>
    <row r="18" spans="1:6">
      <c r="A18" s="274"/>
      <c r="B18" s="73"/>
      <c r="C18" s="74"/>
      <c r="D18" s="74"/>
      <c r="E18" s="71"/>
      <c r="F18" s="279"/>
    </row>
    <row r="19" spans="1:6">
      <c r="A19" s="274"/>
      <c r="B19" s="73"/>
      <c r="C19" s="74"/>
      <c r="D19" s="74"/>
      <c r="E19" s="71"/>
      <c r="F19" s="279"/>
    </row>
    <row r="20" spans="1:6">
      <c r="A20" s="274"/>
      <c r="B20" s="73"/>
      <c r="C20" s="74"/>
      <c r="D20" s="74"/>
      <c r="E20" s="71"/>
      <c r="F20" s="279"/>
    </row>
    <row r="21" spans="1:6">
      <c r="A21" s="274"/>
      <c r="B21" s="73"/>
      <c r="C21" s="74"/>
      <c r="D21" s="74"/>
      <c r="E21" s="71"/>
      <c r="F21" s="279"/>
    </row>
    <row r="28" spans="1:6">
      <c r="D28" s="280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1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Octubre 2025</v>
      </c>
    </row>
    <row r="4" spans="1:14" s="7" customFormat="1" ht="20.25" customHeight="1">
      <c r="B4" s="8"/>
      <c r="C4" s="99" t="s">
        <v>64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07" t="s">
        <v>221</v>
      </c>
      <c r="D7" s="12"/>
      <c r="E7" s="323" t="s">
        <v>222</v>
      </c>
      <c r="F7" s="323"/>
      <c r="G7" s="9"/>
    </row>
    <row r="8" spans="1:14" ht="12.75" customHeight="1">
      <c r="A8" s="7"/>
      <c r="B8" s="8"/>
      <c r="C8" s="307"/>
      <c r="D8" s="12"/>
      <c r="E8" s="324" t="str">
        <f>CONCATENATE(TEXT(SUM(Dat_01!B22:B25)/1000,"0,0")," GWh")</f>
        <v>-359,6 GWh</v>
      </c>
      <c r="F8" s="324"/>
      <c r="G8" s="16"/>
    </row>
    <row r="9" spans="1:14">
      <c r="A9" s="7"/>
      <c r="B9" s="8"/>
      <c r="C9" s="18"/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321" t="s">
        <v>223</v>
      </c>
      <c r="F10" s="322" t="str">
        <f>CONCATENATE(TEXT(SUM(Dat_01!B22,Dat_01!B24)/1000,"0,0")," GWh")</f>
        <v>445,8 GWh</v>
      </c>
    </row>
    <row r="11" spans="1:14">
      <c r="E11" s="321"/>
      <c r="F11" s="322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21" t="s">
        <v>225</v>
      </c>
      <c r="F23" s="322" t="str">
        <f>CONCATENATE(TEXT(SUM(Dat_01!B23,Dat_01!B25)/1000,"0,0")," GWh")</f>
        <v>-805,4 GWh</v>
      </c>
    </row>
    <row r="24" spans="1:14" s="22" customFormat="1">
      <c r="A24" s="5"/>
      <c r="B24" s="5"/>
      <c r="C24" s="5"/>
      <c r="D24" s="5"/>
      <c r="E24" s="321"/>
      <c r="F24" s="322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AA310"/>
  <sheetViews>
    <sheetView topLeftCell="A178" zoomScale="90" zoomScaleNormal="90" zoomScaleSheetLayoutView="100" workbookViewId="0">
      <selection activeCell="H216" sqref="H216:I216"/>
    </sheetView>
  </sheetViews>
  <sheetFormatPr baseColWidth="10" defaultRowHeight="12.75"/>
  <cols>
    <col min="1" max="1" width="34.28515625" customWidth="1"/>
    <col min="2" max="9" width="19.28515625" customWidth="1"/>
    <col min="10" max="15" width="17.42578125" bestFit="1" customWidth="1"/>
    <col min="16" max="23" width="15.5703125" customWidth="1"/>
    <col min="24" max="26" width="18.5703125" customWidth="1"/>
    <col min="27" max="250" width="15.5703125" customWidth="1"/>
  </cols>
  <sheetData>
    <row r="1" spans="1:15">
      <c r="A1" s="167" t="s">
        <v>28</v>
      </c>
      <c r="B1" s="167" t="s">
        <v>103</v>
      </c>
    </row>
    <row r="2" spans="1:15">
      <c r="A2" s="300" t="s">
        <v>247</v>
      </c>
      <c r="B2" s="300" t="s">
        <v>248</v>
      </c>
    </row>
    <row r="4" spans="1:15">
      <c r="A4" s="163" t="s">
        <v>28</v>
      </c>
      <c r="B4" s="329" t="s">
        <v>247</v>
      </c>
      <c r="C4" s="330"/>
      <c r="D4" s="330"/>
      <c r="E4" s="330"/>
      <c r="F4" s="330"/>
      <c r="G4" s="330"/>
      <c r="H4" s="330"/>
      <c r="I4" s="330"/>
      <c r="J4" s="330"/>
      <c r="L4" s="248" t="s">
        <v>101</v>
      </c>
      <c r="M4" s="249" t="s">
        <v>164</v>
      </c>
    </row>
    <row r="5" spans="1:15">
      <c r="A5" s="163" t="s">
        <v>100</v>
      </c>
      <c r="B5" s="331" t="s">
        <v>93</v>
      </c>
      <c r="C5" s="332"/>
      <c r="D5" s="332"/>
      <c r="E5" s="332"/>
      <c r="F5" s="332"/>
      <c r="G5" s="332"/>
      <c r="H5" s="332"/>
      <c r="I5" s="332"/>
      <c r="J5" s="332"/>
      <c r="L5" s="248" t="s">
        <v>28</v>
      </c>
      <c r="M5" s="249" t="s">
        <v>249</v>
      </c>
    </row>
    <row r="6" spans="1:15">
      <c r="A6" s="163" t="s">
        <v>101</v>
      </c>
      <c r="B6" s="164" t="s">
        <v>94</v>
      </c>
      <c r="C6" s="164" t="s">
        <v>156</v>
      </c>
      <c r="D6" s="164" t="s">
        <v>95</v>
      </c>
      <c r="E6" s="164" t="s">
        <v>96</v>
      </c>
      <c r="F6" s="164" t="s">
        <v>143</v>
      </c>
      <c r="G6" s="164" t="s">
        <v>97</v>
      </c>
      <c r="H6" s="164" t="s">
        <v>98</v>
      </c>
      <c r="I6" s="164" t="s">
        <v>157</v>
      </c>
      <c r="J6" s="164" t="s">
        <v>99</v>
      </c>
      <c r="L6" s="248" t="s">
        <v>165</v>
      </c>
      <c r="M6" s="250"/>
    </row>
    <row r="7" spans="1:15">
      <c r="A7" s="163" t="s">
        <v>102</v>
      </c>
      <c r="B7" s="165"/>
      <c r="C7" s="165"/>
      <c r="D7" s="165"/>
      <c r="E7" s="165"/>
      <c r="F7" s="165"/>
      <c r="G7" s="165"/>
      <c r="H7" s="165"/>
      <c r="I7" s="165"/>
      <c r="J7" s="165"/>
      <c r="L7" s="219" t="s">
        <v>4</v>
      </c>
      <c r="M7" s="304">
        <v>1258.0899999999999</v>
      </c>
      <c r="O7" s="253"/>
    </row>
    <row r="8" spans="1:15">
      <c r="A8" s="300" t="s">
        <v>2</v>
      </c>
      <c r="B8" s="293">
        <v>1776331.4679479999</v>
      </c>
      <c r="C8" s="293">
        <v>2894850.7707469999</v>
      </c>
      <c r="D8" s="301">
        <v>-0.38638237040000001</v>
      </c>
      <c r="E8" s="293">
        <v>28380735.029674001</v>
      </c>
      <c r="F8" s="293">
        <v>29746233.637301002</v>
      </c>
      <c r="G8" s="301">
        <v>-4.5904924399999998E-2</v>
      </c>
      <c r="H8" s="293">
        <v>33574700.673790999</v>
      </c>
      <c r="I8" s="293">
        <v>37259937.448310003</v>
      </c>
      <c r="J8" s="301">
        <v>-9.8906145000000001E-2</v>
      </c>
      <c r="L8" s="219" t="s">
        <v>120</v>
      </c>
      <c r="M8" s="304">
        <v>24561.845000000001</v>
      </c>
      <c r="O8" s="253"/>
    </row>
    <row r="9" spans="1:15">
      <c r="A9" s="300" t="s">
        <v>3</v>
      </c>
      <c r="B9" s="293">
        <v>3695400.9619999998</v>
      </c>
      <c r="C9" s="293">
        <v>4636156.5559999999</v>
      </c>
      <c r="D9" s="301">
        <v>-0.20291713250000001</v>
      </c>
      <c r="E9" s="293">
        <v>43338868.053000003</v>
      </c>
      <c r="F9" s="293">
        <v>44511098.950999998</v>
      </c>
      <c r="G9" s="301">
        <v>-2.6335698899999999E-2</v>
      </c>
      <c r="H9" s="293">
        <v>51218572.038999997</v>
      </c>
      <c r="I9" s="293">
        <v>53307096.637000002</v>
      </c>
      <c r="J9" s="301">
        <v>-3.9179109900000002E-2</v>
      </c>
      <c r="L9" s="219" t="s">
        <v>9</v>
      </c>
      <c r="M9" s="304">
        <v>5220.3779999999997</v>
      </c>
      <c r="O9" s="253"/>
    </row>
    <row r="10" spans="1:15">
      <c r="A10" s="300" t="s">
        <v>4</v>
      </c>
      <c r="B10" s="293">
        <v>19604.61</v>
      </c>
      <c r="C10" s="293">
        <v>310385.93599999999</v>
      </c>
      <c r="D10" s="301">
        <v>-0.93683795650000001</v>
      </c>
      <c r="E10" s="293">
        <v>1366341.9850000001</v>
      </c>
      <c r="F10" s="293">
        <v>2369226.3879999998</v>
      </c>
      <c r="G10" s="301">
        <v>-0.42329614770000001</v>
      </c>
      <c r="H10" s="293">
        <v>1969504.6710000001</v>
      </c>
      <c r="I10" s="293">
        <v>2817275.5980000002</v>
      </c>
      <c r="J10" s="301">
        <v>-0.30091870590000003</v>
      </c>
      <c r="L10" s="219" t="s">
        <v>5</v>
      </c>
      <c r="M10" s="304">
        <v>32161.951499999999</v>
      </c>
      <c r="O10" s="253"/>
    </row>
    <row r="11" spans="1:15">
      <c r="A11" s="300" t="s">
        <v>135</v>
      </c>
      <c r="B11" s="293">
        <v>208338.96799999999</v>
      </c>
      <c r="C11" s="293">
        <v>0</v>
      </c>
      <c r="D11" s="301">
        <v>0</v>
      </c>
      <c r="E11" s="293">
        <v>666281.17599999998</v>
      </c>
      <c r="F11" s="293">
        <v>0</v>
      </c>
      <c r="G11" s="301">
        <v>0</v>
      </c>
      <c r="H11" s="293">
        <v>666281.17599999998</v>
      </c>
      <c r="I11" s="293">
        <v>0</v>
      </c>
      <c r="J11" s="301">
        <v>0</v>
      </c>
      <c r="L11" s="219" t="s">
        <v>230</v>
      </c>
      <c r="M11" s="304">
        <v>7.95</v>
      </c>
      <c r="O11" s="253"/>
    </row>
    <row r="12" spans="1:15">
      <c r="A12" s="300" t="s">
        <v>230</v>
      </c>
      <c r="B12" s="293">
        <v>4.2</v>
      </c>
      <c r="C12" s="293">
        <v>0</v>
      </c>
      <c r="D12" s="301">
        <v>0</v>
      </c>
      <c r="E12" s="293">
        <v>4.2009999999999996</v>
      </c>
      <c r="F12" s="293">
        <v>0</v>
      </c>
      <c r="G12" s="301">
        <v>0</v>
      </c>
      <c r="H12" s="293">
        <v>4.2009999999999996</v>
      </c>
      <c r="I12" s="293">
        <v>0</v>
      </c>
      <c r="J12" s="301">
        <v>0</v>
      </c>
      <c r="L12" s="219" t="s">
        <v>2</v>
      </c>
      <c r="M12" s="304">
        <v>17075.798030000002</v>
      </c>
      <c r="O12" s="253"/>
    </row>
    <row r="13" spans="1:15">
      <c r="A13" s="300" t="s">
        <v>11</v>
      </c>
      <c r="B13" s="293">
        <v>4520037.3679999998</v>
      </c>
      <c r="C13" s="293">
        <v>2264896.2990000001</v>
      </c>
      <c r="D13" s="301">
        <v>0.99569285799999996</v>
      </c>
      <c r="E13" s="293">
        <v>30857468.416000001</v>
      </c>
      <c r="F13" s="293">
        <v>21084871.796</v>
      </c>
      <c r="G13" s="301">
        <v>0.46348854830000003</v>
      </c>
      <c r="H13" s="293">
        <v>38879227.542000003</v>
      </c>
      <c r="I13" s="293">
        <v>26142289.638</v>
      </c>
      <c r="J13" s="301">
        <v>0.48721585140000001</v>
      </c>
      <c r="L13" s="219" t="s">
        <v>3</v>
      </c>
      <c r="M13" s="304">
        <v>7117.29</v>
      </c>
      <c r="O13" s="253"/>
    </row>
    <row r="14" spans="1:15">
      <c r="A14" s="300" t="s">
        <v>5</v>
      </c>
      <c r="B14" s="293">
        <v>4353217.1050000004</v>
      </c>
      <c r="C14" s="293">
        <v>5579796.8899999997</v>
      </c>
      <c r="D14" s="301">
        <v>-0.21982516730000001</v>
      </c>
      <c r="E14" s="293">
        <v>44826719.346000001</v>
      </c>
      <c r="F14" s="293">
        <v>49514625.674000002</v>
      </c>
      <c r="G14" s="301">
        <v>-9.4677204200000004E-2</v>
      </c>
      <c r="H14" s="293">
        <v>54831141.093999997</v>
      </c>
      <c r="I14" s="293">
        <v>62190466.596000001</v>
      </c>
      <c r="J14" s="301">
        <v>-0.11833526749999999</v>
      </c>
      <c r="L14" s="219" t="s">
        <v>124</v>
      </c>
      <c r="M14" s="304">
        <v>1127.71</v>
      </c>
      <c r="O14" s="253"/>
    </row>
    <row r="15" spans="1:15">
      <c r="A15" s="300" t="s">
        <v>6</v>
      </c>
      <c r="B15" s="293">
        <v>3991886.8107070001</v>
      </c>
      <c r="C15" s="293">
        <v>2723045.9870000002</v>
      </c>
      <c r="D15" s="301">
        <v>0.46596378830000001</v>
      </c>
      <c r="E15" s="293">
        <v>43915024.552707002</v>
      </c>
      <c r="F15" s="293">
        <v>38965207.181000002</v>
      </c>
      <c r="G15" s="301">
        <v>0.12703172209999999</v>
      </c>
      <c r="H15" s="293">
        <v>48631712.239707001</v>
      </c>
      <c r="I15" s="293">
        <v>42767458.324000001</v>
      </c>
      <c r="J15" s="301">
        <v>0.1371195331</v>
      </c>
      <c r="L15" s="219" t="s">
        <v>163</v>
      </c>
      <c r="M15" s="304">
        <v>378.2405</v>
      </c>
      <c r="O15" s="253"/>
    </row>
    <row r="16" spans="1:15">
      <c r="A16" s="300" t="s">
        <v>7</v>
      </c>
      <c r="B16" s="293">
        <v>246379.48529300001</v>
      </c>
      <c r="C16" s="293">
        <v>153796.77900000001</v>
      </c>
      <c r="D16" s="301">
        <v>0.60198078850000003</v>
      </c>
      <c r="E16" s="293">
        <v>3532440.468293</v>
      </c>
      <c r="F16" s="293">
        <v>3919650.2250000001</v>
      </c>
      <c r="G16" s="301">
        <v>-9.8786813700000004E-2</v>
      </c>
      <c r="H16" s="293">
        <v>3740160.8122930001</v>
      </c>
      <c r="I16" s="293">
        <v>4122994.3130000001</v>
      </c>
      <c r="J16" s="301">
        <v>-9.2853269200000005E-2</v>
      </c>
      <c r="L16" s="219" t="s">
        <v>123</v>
      </c>
      <c r="M16" s="304">
        <v>131.6275</v>
      </c>
      <c r="O16" s="253"/>
    </row>
    <row r="17" spans="1:15">
      <c r="A17" s="300" t="s">
        <v>8</v>
      </c>
      <c r="B17" s="293">
        <v>328824.46500000003</v>
      </c>
      <c r="C17" s="293">
        <v>275041.72200000001</v>
      </c>
      <c r="D17" s="301">
        <v>0.1955439437</v>
      </c>
      <c r="E17" s="293">
        <v>3232955.7259999998</v>
      </c>
      <c r="F17" s="293">
        <v>3034377.446</v>
      </c>
      <c r="G17" s="301">
        <v>6.5442840799999999E-2</v>
      </c>
      <c r="H17" s="293">
        <v>3879089.5610000002</v>
      </c>
      <c r="I17" s="293">
        <v>3528648.094</v>
      </c>
      <c r="J17" s="301">
        <v>9.9313237700000001E-2</v>
      </c>
      <c r="L17" s="219" t="s">
        <v>121</v>
      </c>
      <c r="M17" s="304">
        <v>37419.474993999997</v>
      </c>
      <c r="O17" s="253"/>
    </row>
    <row r="18" spans="1:15">
      <c r="A18" s="300" t="s">
        <v>9</v>
      </c>
      <c r="B18" s="293">
        <v>1356977.0009999999</v>
      </c>
      <c r="C18" s="293">
        <v>1224063.7609999999</v>
      </c>
      <c r="D18" s="301">
        <v>0.10858359200000001</v>
      </c>
      <c r="E18" s="293">
        <v>12728442.233999999</v>
      </c>
      <c r="F18" s="293">
        <v>13324090.512</v>
      </c>
      <c r="G18" s="301">
        <v>-4.47046106E-2</v>
      </c>
      <c r="H18" s="293">
        <v>15778492.536</v>
      </c>
      <c r="I18" s="293">
        <v>15491993.414000001</v>
      </c>
      <c r="J18" s="301">
        <v>1.8493367100000001E-2</v>
      </c>
      <c r="L18" s="219" t="s">
        <v>122</v>
      </c>
      <c r="M18" s="304">
        <v>2300.8229999999999</v>
      </c>
      <c r="O18" s="253"/>
    </row>
    <row r="19" spans="1:15">
      <c r="A19" s="300" t="s">
        <v>66</v>
      </c>
      <c r="B19" s="293">
        <v>51785.544000000002</v>
      </c>
      <c r="C19" s="293">
        <v>56188.989000000001</v>
      </c>
      <c r="D19" s="301">
        <v>-7.8368468199999999E-2</v>
      </c>
      <c r="E19" s="293">
        <v>459915.89150000003</v>
      </c>
      <c r="F19" s="293">
        <v>520580.45549999998</v>
      </c>
      <c r="G19" s="301">
        <v>-0.11653254239999999</v>
      </c>
      <c r="H19" s="293">
        <v>592923.6</v>
      </c>
      <c r="I19" s="293">
        <v>638071.85649999999</v>
      </c>
      <c r="J19" s="301">
        <v>-7.0757323100000005E-2</v>
      </c>
      <c r="L19" s="219" t="s">
        <v>78</v>
      </c>
      <c r="M19" s="304">
        <v>3331.4</v>
      </c>
      <c r="O19" s="253"/>
    </row>
    <row r="20" spans="1:15">
      <c r="A20" s="300" t="s">
        <v>67</v>
      </c>
      <c r="B20" s="293">
        <v>89153.630999999994</v>
      </c>
      <c r="C20" s="293">
        <v>120829.299</v>
      </c>
      <c r="D20" s="301">
        <v>-0.26215221189999999</v>
      </c>
      <c r="E20" s="293">
        <v>750982.90150000004</v>
      </c>
      <c r="F20" s="293">
        <v>968001.14850000001</v>
      </c>
      <c r="G20" s="301">
        <v>-0.2241921379</v>
      </c>
      <c r="H20" s="293">
        <v>978047.01500000001</v>
      </c>
      <c r="I20" s="293">
        <v>1163096.6195</v>
      </c>
      <c r="J20" s="301">
        <v>-0.15910080160000001</v>
      </c>
      <c r="L20" s="219" t="s">
        <v>231</v>
      </c>
      <c r="M20" s="304">
        <v>561.88499999999999</v>
      </c>
      <c r="O20" s="253"/>
    </row>
    <row r="21" spans="1:15">
      <c r="A21" s="251" t="s">
        <v>10</v>
      </c>
      <c r="B21" s="294">
        <v>20637941.617947999</v>
      </c>
      <c r="C21" s="294">
        <v>20239052.988747001</v>
      </c>
      <c r="D21" s="295">
        <v>1.9708858400000001E-2</v>
      </c>
      <c r="E21" s="294">
        <v>214056179.980674</v>
      </c>
      <c r="F21" s="294">
        <v>207957963.41430101</v>
      </c>
      <c r="G21" s="295">
        <v>2.9324275300000001E-2</v>
      </c>
      <c r="H21" s="294">
        <v>254739857.16079101</v>
      </c>
      <c r="I21" s="294">
        <v>249429328.53830999</v>
      </c>
      <c r="J21" s="295">
        <v>2.1290714499999999E-2</v>
      </c>
      <c r="L21" s="219" t="s">
        <v>205</v>
      </c>
      <c r="M21" s="304">
        <v>31.62997</v>
      </c>
    </row>
    <row r="22" spans="1:15">
      <c r="A22" s="300" t="s">
        <v>78</v>
      </c>
      <c r="B22" s="293">
        <v>445686.01117200003</v>
      </c>
      <c r="C22" s="293">
        <v>341078.52178100002</v>
      </c>
      <c r="D22" s="301">
        <v>0.3066962084</v>
      </c>
      <c r="E22" s="293">
        <v>4998771.2192660002</v>
      </c>
      <c r="F22" s="293">
        <v>4829208.6556860004</v>
      </c>
      <c r="G22" s="301">
        <v>3.5111873500000002E-2</v>
      </c>
      <c r="H22" s="293">
        <v>5627982.450309</v>
      </c>
      <c r="I22" s="293">
        <v>5725020.8861959996</v>
      </c>
      <c r="J22" s="301">
        <v>-1.6949883299999999E-2</v>
      </c>
      <c r="L22" s="305" t="s">
        <v>15</v>
      </c>
      <c r="M22" s="306">
        <v>132686.093494</v>
      </c>
    </row>
    <row r="23" spans="1:15">
      <c r="A23" s="300" t="s">
        <v>115</v>
      </c>
      <c r="B23" s="293">
        <v>-805188.94400000002</v>
      </c>
      <c r="C23" s="293">
        <v>-528090.72713799996</v>
      </c>
      <c r="D23" s="301">
        <v>0.5247170659</v>
      </c>
      <c r="E23" s="293">
        <v>-7918880.6734530004</v>
      </c>
      <c r="F23" s="293">
        <v>-7670169.7887030002</v>
      </c>
      <c r="G23" s="301">
        <v>3.2425733900000003E-2</v>
      </c>
      <c r="H23" s="293">
        <v>-8912919.6900050007</v>
      </c>
      <c r="I23" s="293">
        <v>-9159075.2351980004</v>
      </c>
      <c r="J23" s="301">
        <v>-2.68755894E-2</v>
      </c>
    </row>
    <row r="24" spans="1:15">
      <c r="A24" s="300" t="s">
        <v>201</v>
      </c>
      <c r="B24" s="293">
        <v>141.60599999999999</v>
      </c>
      <c r="C24" s="293">
        <v>1070.81</v>
      </c>
      <c r="D24" s="301">
        <v>-0.86775805230000003</v>
      </c>
      <c r="E24" s="293">
        <v>5056.2420000000002</v>
      </c>
      <c r="F24" s="293">
        <v>7139.7510000000002</v>
      </c>
      <c r="G24" s="301">
        <v>-0.29181815999999999</v>
      </c>
      <c r="H24" s="293">
        <v>7015.5829999999996</v>
      </c>
      <c r="I24" s="293">
        <v>8192.4609999999993</v>
      </c>
      <c r="J24" s="301">
        <v>-0.1436537812</v>
      </c>
      <c r="L24" s="272" t="s">
        <v>211</v>
      </c>
      <c r="M24" s="282">
        <f>(+M19+M21)/M22</f>
        <v>2.5345760670481075E-2</v>
      </c>
    </row>
    <row r="25" spans="1:15">
      <c r="A25" s="300" t="s">
        <v>202</v>
      </c>
      <c r="B25" s="293">
        <v>-254.56800000000001</v>
      </c>
      <c r="C25" s="293">
        <v>-1287.288</v>
      </c>
      <c r="D25" s="301">
        <v>-0.80224471909999995</v>
      </c>
      <c r="E25" s="293">
        <v>-6762.27</v>
      </c>
      <c r="F25" s="293">
        <v>-8836.3770000000004</v>
      </c>
      <c r="G25" s="301">
        <v>-0.2347236882</v>
      </c>
      <c r="H25" s="293">
        <v>-9114.3379999999997</v>
      </c>
      <c r="I25" s="293">
        <v>-10163.538</v>
      </c>
      <c r="J25" s="301">
        <v>-0.1032317683</v>
      </c>
    </row>
    <row r="26" spans="1:15">
      <c r="A26" s="300" t="s">
        <v>92</v>
      </c>
      <c r="B26" s="293">
        <v>-119297.056</v>
      </c>
      <c r="C26" s="293">
        <v>-144544.43599999999</v>
      </c>
      <c r="D26" s="301">
        <v>-0.17466863960000001</v>
      </c>
      <c r="E26" s="293">
        <v>-1338796.6200000001</v>
      </c>
      <c r="F26" s="293">
        <v>-1423627.4339999999</v>
      </c>
      <c r="G26" s="301">
        <v>-5.9587791000000001E-2</v>
      </c>
      <c r="H26" s="293">
        <v>-1494977.07</v>
      </c>
      <c r="I26" s="293">
        <v>-1606803.392</v>
      </c>
      <c r="J26" s="301">
        <v>-6.9595522699999995E-2</v>
      </c>
    </row>
    <row r="27" spans="1:15">
      <c r="A27" s="300" t="s">
        <v>116</v>
      </c>
      <c r="B27" s="293">
        <v>-1270423.68</v>
      </c>
      <c r="C27" s="293">
        <v>-889269.18700000003</v>
      </c>
      <c r="D27" s="301">
        <v>0.4286154278</v>
      </c>
      <c r="E27" s="293">
        <v>-11210058.106000001</v>
      </c>
      <c r="F27" s="293">
        <v>-9243021.4849999994</v>
      </c>
      <c r="G27" s="301">
        <v>0.21281316119999999</v>
      </c>
      <c r="H27" s="293">
        <v>-12194031.356000001</v>
      </c>
      <c r="I27" s="293">
        <v>-10865048.249</v>
      </c>
      <c r="J27" s="301">
        <v>0.1223172761</v>
      </c>
    </row>
    <row r="28" spans="1:15">
      <c r="A28" s="251" t="s">
        <v>117</v>
      </c>
      <c r="B28" s="294">
        <v>18888604.987119999</v>
      </c>
      <c r="C28" s="294">
        <v>19018010.682390001</v>
      </c>
      <c r="D28" s="295">
        <v>-6.804376E-3</v>
      </c>
      <c r="E28" s="294">
        <v>198585509.77248701</v>
      </c>
      <c r="F28" s="294">
        <v>194448656.73628399</v>
      </c>
      <c r="G28" s="295">
        <v>2.1274783299999999E-2</v>
      </c>
      <c r="H28" s="294">
        <v>237763812.74009499</v>
      </c>
      <c r="I28" s="294">
        <v>233521451.47130799</v>
      </c>
      <c r="J28" s="295">
        <v>1.8166901799999999E-2</v>
      </c>
    </row>
    <row r="29" spans="1:15">
      <c r="A29" s="300" t="s">
        <v>241</v>
      </c>
      <c r="B29" s="293">
        <v>909.68</v>
      </c>
      <c r="C29" s="293">
        <v>0</v>
      </c>
      <c r="D29" s="301">
        <v>0</v>
      </c>
      <c r="E29" s="293">
        <v>6392.1450000000004</v>
      </c>
      <c r="F29" s="293">
        <v>0</v>
      </c>
      <c r="G29" s="301">
        <v>0</v>
      </c>
      <c r="H29" s="293">
        <v>6392.1450000000004</v>
      </c>
      <c r="I29" s="293">
        <v>0</v>
      </c>
      <c r="J29" s="301">
        <v>0</v>
      </c>
    </row>
    <row r="30" spans="1:15">
      <c r="A30" s="272" t="s">
        <v>211</v>
      </c>
      <c r="B30" s="293">
        <f>SUM(B22:B25)</f>
        <v>-359615.89482799999</v>
      </c>
      <c r="C30" s="293">
        <f>SUM(C22:C25)</f>
        <v>-187228.68335699994</v>
      </c>
      <c r="D30" s="293">
        <f>((B30/C30)-1)*100</f>
        <v>92.073077896029005</v>
      </c>
      <c r="E30" s="293">
        <f>SUM(E22:E25)</f>
        <v>-2921815.4821870001</v>
      </c>
      <c r="F30" s="293">
        <f>SUM(F22:F25)</f>
        <v>-2842657.7590169995</v>
      </c>
      <c r="G30" s="293">
        <f>((E30/F30)-1)*100</f>
        <v>2.7846378241949798</v>
      </c>
      <c r="H30" s="293">
        <f>SUM(H22:H25)</f>
        <v>-3287035.9946960006</v>
      </c>
      <c r="I30" s="293">
        <f>SUM(I22:I25)</f>
        <v>-3436025.4260020009</v>
      </c>
      <c r="J30" s="293">
        <f>((H30/I30)-1)*100</f>
        <v>-4.3360980445176001</v>
      </c>
    </row>
    <row r="31" spans="1:15">
      <c r="B31" s="2"/>
      <c r="C31" s="2"/>
      <c r="D31" s="44"/>
    </row>
    <row r="32" spans="1:15">
      <c r="A32" s="102" t="s">
        <v>54</v>
      </c>
      <c r="B32" s="156"/>
      <c r="C32" s="156"/>
      <c r="D32" s="156"/>
      <c r="E32" s="104"/>
      <c r="F32" s="104"/>
      <c r="H32" s="102" t="s">
        <v>218</v>
      </c>
    </row>
    <row r="33" spans="1:13">
      <c r="A33" s="103"/>
      <c r="B33" s="86" t="s">
        <v>55</v>
      </c>
      <c r="C33" s="86" t="s">
        <v>14</v>
      </c>
      <c r="D33" s="104"/>
      <c r="E33" s="159"/>
      <c r="F33" s="160" t="s">
        <v>14</v>
      </c>
      <c r="H33" s="103"/>
      <c r="I33" s="86" t="s">
        <v>55</v>
      </c>
      <c r="J33" s="86" t="s">
        <v>14</v>
      </c>
    </row>
    <row r="34" spans="1:13">
      <c r="A34" s="105" t="s">
        <v>3</v>
      </c>
      <c r="B34" s="123">
        <f>VLOOKUP(A34,L$7:M$21,2,FALSE)</f>
        <v>7117.29</v>
      </c>
      <c r="C34" s="106">
        <f t="shared" ref="C34:C46" si="0">B34/$B$47*100</f>
        <v>5.5034962875582982</v>
      </c>
      <c r="D34" s="104"/>
      <c r="E34" s="157" t="s">
        <v>16</v>
      </c>
      <c r="F34" s="158">
        <f>SUM(C34:C40)</f>
        <v>30.238750486097711</v>
      </c>
      <c r="H34" s="105" t="s">
        <v>78</v>
      </c>
      <c r="I34" s="123">
        <f>VLOOKUP(H34,L$7:M$21,2,FALSE)</f>
        <v>3331.4</v>
      </c>
      <c r="J34" s="283">
        <f>I34/$I$36</f>
        <v>0.99059479984354704</v>
      </c>
      <c r="K34" s="285" t="str">
        <f>CONCATENATE(H34," ",TEXT(I34,"0.0")," MW")</f>
        <v>Turbinación bombeo 3.331 MW</v>
      </c>
      <c r="L34" s="285"/>
      <c r="M34" s="284">
        <f>1-J34</f>
        <v>9.4052001564529641E-3</v>
      </c>
    </row>
    <row r="35" spans="1:13">
      <c r="A35" s="105" t="s">
        <v>4</v>
      </c>
      <c r="B35" s="123">
        <f t="shared" ref="B35:B46" si="1">VLOOKUP(A35,L$7:M$21,2,FALSE)</f>
        <v>1258.0899999999999</v>
      </c>
      <c r="C35" s="106">
        <f t="shared" si="0"/>
        <v>0.97282724806973131</v>
      </c>
      <c r="D35" s="104"/>
      <c r="E35" s="161" t="s">
        <v>17</v>
      </c>
      <c r="F35" s="162">
        <f>SUM(C41:C46)</f>
        <v>69.761249513902285</v>
      </c>
      <c r="H35" s="105" t="s">
        <v>205</v>
      </c>
      <c r="I35" s="123">
        <f>VLOOKUP(H35,L$7:M$21,2,FALSE)</f>
        <v>31.62997</v>
      </c>
      <c r="J35" s="283">
        <f>I35/$I$36</f>
        <v>9.4052001564529624E-3</v>
      </c>
      <c r="K35" s="285" t="str">
        <f>CONCATENATE(H35," ",TEXT(I35,"0.0")," MW")</f>
        <v>Baterías 32 MW</v>
      </c>
      <c r="L35" s="285"/>
      <c r="M35" s="284">
        <f>1-J35</f>
        <v>0.99059479984354704</v>
      </c>
    </row>
    <row r="36" spans="1:13">
      <c r="A36" s="105" t="s">
        <v>11</v>
      </c>
      <c r="B36" s="123">
        <f t="shared" si="1"/>
        <v>24561.845000000001</v>
      </c>
      <c r="C36" s="106">
        <f t="shared" si="0"/>
        <v>18.992625391558072</v>
      </c>
      <c r="D36" s="104"/>
      <c r="H36" s="107" t="s">
        <v>15</v>
      </c>
      <c r="I36" s="124">
        <f>SUM(I34:I35)</f>
        <v>3363.02997</v>
      </c>
      <c r="J36" s="286">
        <f>SUM(J34:J35)</f>
        <v>1</v>
      </c>
    </row>
    <row r="37" spans="1:13">
      <c r="A37" s="105" t="s">
        <v>135</v>
      </c>
      <c r="B37" s="123">
        <f t="shared" si="1"/>
        <v>561.88499999999999</v>
      </c>
      <c r="C37" s="106">
        <f t="shared" si="0"/>
        <v>0.43448166528758753</v>
      </c>
      <c r="D37" s="104"/>
      <c r="H37" s="290"/>
      <c r="I37" s="291"/>
      <c r="J37" s="292"/>
    </row>
    <row r="38" spans="1:13">
      <c r="A38" s="105" t="s">
        <v>9</v>
      </c>
      <c r="B38" s="123">
        <f t="shared" si="1"/>
        <v>5220.3779999999997</v>
      </c>
      <c r="C38" s="106">
        <f t="shared" si="0"/>
        <v>4.0366952790529842</v>
      </c>
      <c r="D38" s="104"/>
      <c r="I38" s="44"/>
    </row>
    <row r="39" spans="1:13">
      <c r="A39" s="105" t="s">
        <v>230</v>
      </c>
      <c r="B39" s="123">
        <f>VLOOKUP(A39,L$7:M$21,2,FALSE)</f>
        <v>7.95</v>
      </c>
      <c r="C39" s="106">
        <f t="shared" si="0"/>
        <v>6.1473953549860232E-3</v>
      </c>
      <c r="D39" s="104"/>
      <c r="E39" s="104"/>
      <c r="F39" s="104"/>
      <c r="I39" s="44"/>
    </row>
    <row r="40" spans="1:13">
      <c r="A40" s="105" t="s">
        <v>67</v>
      </c>
      <c r="B40" s="123">
        <f t="shared" si="1"/>
        <v>378.2405</v>
      </c>
      <c r="C40" s="106">
        <f t="shared" si="0"/>
        <v>0.29247721921604913</v>
      </c>
      <c r="D40" s="104"/>
      <c r="E40" s="104"/>
      <c r="F40" s="104"/>
      <c r="I40" s="44"/>
    </row>
    <row r="41" spans="1:13">
      <c r="A41" s="105" t="s">
        <v>66</v>
      </c>
      <c r="B41" s="123">
        <f t="shared" si="1"/>
        <v>131.6275</v>
      </c>
      <c r="C41" s="106">
        <f t="shared" si="0"/>
        <v>0.1017819222752733</v>
      </c>
      <c r="D41" s="104"/>
      <c r="E41" s="104"/>
      <c r="F41" s="104"/>
      <c r="I41" s="44"/>
    </row>
    <row r="42" spans="1:13">
      <c r="A42" s="105" t="s">
        <v>5</v>
      </c>
      <c r="B42" s="123">
        <f>VLOOKUP(A42,L$7:M$21,2,FALSE)</f>
        <v>32161.951499999999</v>
      </c>
      <c r="C42" s="106">
        <f t="shared" si="0"/>
        <v>24.869463051369276</v>
      </c>
      <c r="D42" s="104"/>
      <c r="E42" s="104"/>
      <c r="F42" s="104"/>
      <c r="I42" s="44"/>
    </row>
    <row r="43" spans="1:13">
      <c r="A43" s="105" t="s">
        <v>2</v>
      </c>
      <c r="B43" s="123">
        <f t="shared" si="1"/>
        <v>17075.798030000002</v>
      </c>
      <c r="C43" s="106">
        <f t="shared" si="0"/>
        <v>13.203985093371257</v>
      </c>
      <c r="D43" s="104"/>
      <c r="E43" s="104"/>
      <c r="F43" s="104"/>
      <c r="I43" s="44"/>
    </row>
    <row r="44" spans="1:13">
      <c r="A44" s="105" t="s">
        <v>6</v>
      </c>
      <c r="B44" s="123">
        <f t="shared" si="1"/>
        <v>37419.474993999997</v>
      </c>
      <c r="C44" s="106">
        <f t="shared" si="0"/>
        <v>28.934881353978771</v>
      </c>
      <c r="D44" s="104"/>
      <c r="E44" s="104"/>
      <c r="F44" s="104"/>
      <c r="I44" s="44"/>
    </row>
    <row r="45" spans="1:13">
      <c r="A45" s="105" t="s">
        <v>7</v>
      </c>
      <c r="B45" s="123">
        <f t="shared" si="1"/>
        <v>2300.8229999999999</v>
      </c>
      <c r="C45" s="106">
        <f t="shared" si="0"/>
        <v>1.7791281286597491</v>
      </c>
      <c r="D45" s="104"/>
      <c r="E45" s="104"/>
      <c r="F45" s="104"/>
    </row>
    <row r="46" spans="1:13">
      <c r="A46" s="105" t="s">
        <v>8</v>
      </c>
      <c r="B46" s="123">
        <f t="shared" si="1"/>
        <v>1127.71</v>
      </c>
      <c r="C46" s="106">
        <f t="shared" si="0"/>
        <v>0.87200996424796084</v>
      </c>
      <c r="E46" s="104"/>
      <c r="F46" s="104"/>
    </row>
    <row r="47" spans="1:13">
      <c r="A47" s="107" t="s">
        <v>15</v>
      </c>
      <c r="B47" s="124">
        <f>SUM(B34:B46)</f>
        <v>129323.06352400001</v>
      </c>
      <c r="C47" s="108">
        <f>SUM(C34:C46)</f>
        <v>100</v>
      </c>
      <c r="D47" s="104" t="str">
        <f>CONCATENATE(TEXT(B47,"#.##0")," MW")</f>
        <v>129.323 MW</v>
      </c>
    </row>
    <row r="49" spans="1:13">
      <c r="A49" s="102" t="s">
        <v>56</v>
      </c>
      <c r="B49" s="156"/>
      <c r="C49" s="156"/>
      <c r="D49" s="156"/>
      <c r="E49" s="104"/>
      <c r="F49" s="104"/>
      <c r="H49" s="102" t="s">
        <v>224</v>
      </c>
    </row>
    <row r="50" spans="1:13">
      <c r="A50" s="103"/>
      <c r="B50" s="86" t="s">
        <v>0</v>
      </c>
      <c r="C50" s="86" t="s">
        <v>14</v>
      </c>
      <c r="D50" s="104"/>
      <c r="E50" s="159"/>
      <c r="F50" s="160" t="s">
        <v>14</v>
      </c>
      <c r="H50" s="103"/>
      <c r="I50" s="86" t="s">
        <v>0</v>
      </c>
      <c r="J50" s="86" t="s">
        <v>14</v>
      </c>
    </row>
    <row r="51" spans="1:13">
      <c r="A51" s="105" t="s">
        <v>3</v>
      </c>
      <c r="B51" s="88">
        <f t="shared" ref="B51:B62" si="2">VLOOKUP(A51,A$8:B$28,2,FALSE)/1000</f>
        <v>3695.4009619999997</v>
      </c>
      <c r="C51" s="106">
        <f t="shared" ref="C51:C62" si="3">B51/$B$63*100</f>
        <v>17.905863784557535</v>
      </c>
      <c r="D51" s="125"/>
      <c r="E51" s="157" t="s">
        <v>16</v>
      </c>
      <c r="F51" s="158">
        <f>SUM(C51:C56)</f>
        <v>47.919093559221089</v>
      </c>
      <c r="H51" s="105" t="s">
        <v>78</v>
      </c>
      <c r="I51" s="106">
        <f>VLOOKUP(H51,A$8:B$28,2,FALSE)/1000</f>
        <v>445.68601117200001</v>
      </c>
      <c r="J51" s="283">
        <f>I51/$I$53</f>
        <v>0.99968237499305612</v>
      </c>
      <c r="K51" s="285" t="str">
        <f>CONCATENATE(H51," ",TEXT(I51,"0,0")," GWh")</f>
        <v>Turbinación bombeo 445,7 GWh</v>
      </c>
      <c r="L51" s="285"/>
      <c r="M51" s="284">
        <f>1-J51</f>
        <v>3.1762500694387796E-4</v>
      </c>
    </row>
    <row r="52" spans="1:13">
      <c r="A52" s="105" t="s">
        <v>4</v>
      </c>
      <c r="B52" s="88">
        <f t="shared" si="2"/>
        <v>19.604610000000001</v>
      </c>
      <c r="C52" s="106">
        <f t="shared" si="3"/>
        <v>9.4993068362299843E-2</v>
      </c>
      <c r="D52" s="125"/>
      <c r="E52" s="161" t="s">
        <v>17</v>
      </c>
      <c r="F52" s="162">
        <f>SUM(C57:C62)</f>
        <v>52.080906440778911</v>
      </c>
      <c r="H52" s="105" t="s">
        <v>201</v>
      </c>
      <c r="I52" s="106">
        <f>VLOOKUP(H52,A$8:B$28,2,FALSE)/1000</f>
        <v>0.14160599999999998</v>
      </c>
      <c r="J52" s="283">
        <f>I52/$I$53</f>
        <v>3.1762500694381269E-4</v>
      </c>
      <c r="K52" s="285" t="str">
        <f>CONCATENATE(H52," ",TEXT(I52,"0,0")," GWh")</f>
        <v>Entrega batería 0,1 GWh</v>
      </c>
      <c r="L52" s="285"/>
      <c r="M52" s="284">
        <f>1-J52</f>
        <v>0.99968237499305623</v>
      </c>
    </row>
    <row r="53" spans="1:13">
      <c r="A53" s="105" t="s">
        <v>11</v>
      </c>
      <c r="B53" s="88">
        <f t="shared" si="2"/>
        <v>4520.0373679999993</v>
      </c>
      <c r="C53" s="106">
        <f t="shared" si="3"/>
        <v>21.90159450754561</v>
      </c>
      <c r="D53" s="125"/>
      <c r="H53" s="107" t="s">
        <v>15</v>
      </c>
      <c r="I53" s="108">
        <f>SUM(I51:I52)</f>
        <v>445.82761717200003</v>
      </c>
      <c r="J53" s="286">
        <f>SUM(J51:J52)</f>
        <v>0.99999999999999989</v>
      </c>
      <c r="K53" t="s">
        <v>244</v>
      </c>
      <c r="M53" s="303">
        <f>(SUM(B22,B24)/SUM(C22,C24)-1)*100</f>
        <v>30.302056956043266</v>
      </c>
    </row>
    <row r="54" spans="1:13">
      <c r="A54" s="105" t="s">
        <v>135</v>
      </c>
      <c r="B54" s="88">
        <f t="shared" si="2"/>
        <v>208.33896799999999</v>
      </c>
      <c r="C54" s="106">
        <f t="shared" si="3"/>
        <v>1.0094951049653624</v>
      </c>
      <c r="D54" s="125"/>
      <c r="J54" s="44"/>
    </row>
    <row r="55" spans="1:13">
      <c r="A55" s="105" t="s">
        <v>9</v>
      </c>
      <c r="B55" s="88">
        <f t="shared" si="2"/>
        <v>1356.977001</v>
      </c>
      <c r="C55" s="106">
        <f t="shared" si="3"/>
        <v>6.575158037934016</v>
      </c>
      <c r="D55" s="125"/>
    </row>
    <row r="56" spans="1:13">
      <c r="A56" s="105" t="s">
        <v>67</v>
      </c>
      <c r="B56" s="88">
        <f t="shared" si="2"/>
        <v>89.15363099999999</v>
      </c>
      <c r="C56" s="106">
        <f t="shared" si="3"/>
        <v>0.43198905585626302</v>
      </c>
      <c r="D56" s="125"/>
      <c r="E56" s="104"/>
      <c r="F56" s="104"/>
      <c r="H56" s="102" t="s">
        <v>224</v>
      </c>
    </row>
    <row r="57" spans="1:13">
      <c r="A57" s="105" t="s">
        <v>66</v>
      </c>
      <c r="B57" s="88">
        <f t="shared" si="2"/>
        <v>51.785544000000002</v>
      </c>
      <c r="C57" s="106">
        <f t="shared" si="3"/>
        <v>0.25092402865299979</v>
      </c>
      <c r="D57" s="125"/>
      <c r="E57" s="104"/>
      <c r="F57" s="104"/>
      <c r="H57" s="103"/>
      <c r="I57" s="86" t="s">
        <v>0</v>
      </c>
      <c r="J57" s="86" t="s">
        <v>14</v>
      </c>
    </row>
    <row r="58" spans="1:13">
      <c r="A58" s="105" t="s">
        <v>5</v>
      </c>
      <c r="B58" s="88">
        <f t="shared" si="2"/>
        <v>4353.2171050000006</v>
      </c>
      <c r="C58" s="106">
        <f t="shared" si="3"/>
        <v>21.093276022894514</v>
      </c>
      <c r="D58" s="125"/>
      <c r="E58" s="104"/>
      <c r="F58" s="104"/>
      <c r="H58" s="105" t="s">
        <v>115</v>
      </c>
      <c r="I58" s="106">
        <f>VLOOKUP(H58,A$8:B$28,2,FALSE)/1000</f>
        <v>-805.18894399999999</v>
      </c>
      <c r="J58" s="283">
        <f>I58/$I$60</f>
        <v>0.9996839405914788</v>
      </c>
      <c r="K58" s="285" t="str">
        <f>CONCATENATE(H58," ",TEXT(I58,"0,0")," GWh")</f>
        <v>Consumo de bombeo -805,2 GWh</v>
      </c>
      <c r="L58" s="285"/>
      <c r="M58" s="284">
        <f>1-J58</f>
        <v>3.1605940852119652E-4</v>
      </c>
    </row>
    <row r="59" spans="1:13">
      <c r="A59" s="105" t="s">
        <v>2</v>
      </c>
      <c r="B59" s="88">
        <f t="shared" si="2"/>
        <v>1776.331467948</v>
      </c>
      <c r="C59" s="106">
        <f t="shared" si="3"/>
        <v>8.6071172325738061</v>
      </c>
      <c r="D59" s="125"/>
      <c r="E59" s="104"/>
      <c r="F59" s="104"/>
      <c r="H59" s="105" t="s">
        <v>202</v>
      </c>
      <c r="I59" s="106">
        <f>VLOOKUP(H59,A$8:B$28,2,FALSE)/1000</f>
        <v>-0.25456800000000002</v>
      </c>
      <c r="J59" s="283">
        <f>I59/$I$60</f>
        <v>3.1605940852125214E-4</v>
      </c>
      <c r="K59" s="285" t="str">
        <f>CONCATENATE(H59," ",TEXT(I59,"0,0")," GWh")</f>
        <v>Carga batería -0,3 GWh</v>
      </c>
      <c r="L59" s="285"/>
      <c r="M59" s="284">
        <f>1-J59</f>
        <v>0.99968394059147869</v>
      </c>
    </row>
    <row r="60" spans="1:13">
      <c r="A60" s="105" t="s">
        <v>6</v>
      </c>
      <c r="B60" s="88">
        <f t="shared" si="2"/>
        <v>3991.8868107070002</v>
      </c>
      <c r="C60" s="106">
        <f t="shared" si="3"/>
        <v>19.342469791750673</v>
      </c>
      <c r="D60" s="125"/>
      <c r="E60" s="104"/>
      <c r="F60" s="104"/>
      <c r="H60" s="107" t="s">
        <v>15</v>
      </c>
      <c r="I60" s="108">
        <f>SUM(I58:I59)</f>
        <v>-805.44351199999994</v>
      </c>
      <c r="J60" s="286">
        <f>SUM(J58:J59)</f>
        <v>1</v>
      </c>
      <c r="K60" t="s">
        <v>244</v>
      </c>
      <c r="M60" s="303">
        <f>(SUM(B23,B25)/SUM(C23,C25)-1)*100</f>
        <v>52.149029420882641</v>
      </c>
    </row>
    <row r="61" spans="1:13">
      <c r="A61" s="105" t="s">
        <v>7</v>
      </c>
      <c r="B61" s="88">
        <f t="shared" si="2"/>
        <v>246.37948529300002</v>
      </c>
      <c r="C61" s="106">
        <f t="shared" si="3"/>
        <v>1.1938183564736149</v>
      </c>
      <c r="D61" s="125"/>
      <c r="E61" s="104"/>
      <c r="F61" s="104"/>
    </row>
    <row r="62" spans="1:13">
      <c r="A62" s="105" t="s">
        <v>8</v>
      </c>
      <c r="B62" s="88">
        <f t="shared" si="2"/>
        <v>328.82446500000003</v>
      </c>
      <c r="C62" s="106">
        <f t="shared" si="3"/>
        <v>1.5933010084333059</v>
      </c>
      <c r="D62" s="104"/>
      <c r="E62" s="104"/>
      <c r="F62" s="104"/>
    </row>
    <row r="63" spans="1:13">
      <c r="A63" s="107" t="s">
        <v>15</v>
      </c>
      <c r="B63" s="124">
        <f>SUM(B51:B62)</f>
        <v>20637.937417948</v>
      </c>
      <c r="C63" s="108">
        <f>SUM(C51:C62)</f>
        <v>100.00000000000001</v>
      </c>
    </row>
    <row r="67" spans="1:8">
      <c r="A67" s="163" t="s">
        <v>29</v>
      </c>
      <c r="B67" s="270" t="s">
        <v>253</v>
      </c>
      <c r="G67" s="163" t="s">
        <v>29</v>
      </c>
      <c r="H67" s="270" t="s">
        <v>214</v>
      </c>
    </row>
    <row r="68" spans="1:8">
      <c r="A68" s="163" t="s">
        <v>101</v>
      </c>
      <c r="B68" s="164" t="s">
        <v>104</v>
      </c>
      <c r="G68" s="163" t="s">
        <v>101</v>
      </c>
      <c r="H68" s="164" t="s">
        <v>104</v>
      </c>
    </row>
    <row r="69" spans="1:8">
      <c r="A69" s="163" t="s">
        <v>105</v>
      </c>
      <c r="B69" s="165"/>
      <c r="G69" s="163" t="s">
        <v>216</v>
      </c>
      <c r="H69" s="165"/>
    </row>
    <row r="70" spans="1:8">
      <c r="A70" s="300" t="s">
        <v>2</v>
      </c>
      <c r="B70" s="166">
        <v>38.382599999999996</v>
      </c>
      <c r="G70" s="300" t="s">
        <v>2</v>
      </c>
      <c r="H70" s="166">
        <v>114.993744312</v>
      </c>
    </row>
    <row r="71" spans="1:8">
      <c r="A71" s="300" t="s">
        <v>3</v>
      </c>
      <c r="B71" s="166">
        <v>116.92829999999999</v>
      </c>
      <c r="G71" s="300" t="s">
        <v>3</v>
      </c>
      <c r="H71" s="166">
        <v>136.109554</v>
      </c>
    </row>
    <row r="72" spans="1:8">
      <c r="A72" s="300" t="s">
        <v>4</v>
      </c>
      <c r="B72" s="166">
        <v>-0.12</v>
      </c>
      <c r="G72" s="300" t="s">
        <v>4</v>
      </c>
      <c r="H72" s="166">
        <v>8.9430519999999998</v>
      </c>
    </row>
    <row r="73" spans="1:8">
      <c r="A73" s="300" t="s">
        <v>135</v>
      </c>
      <c r="B73" s="166">
        <v>6.6420000000000003</v>
      </c>
      <c r="G73" s="300" t="s">
        <v>11</v>
      </c>
      <c r="H73" s="166">
        <v>38.053229000000002</v>
      </c>
    </row>
    <row r="74" spans="1:8">
      <c r="A74" s="300" t="s">
        <v>11</v>
      </c>
      <c r="B74" s="166">
        <v>83.125500000000002</v>
      </c>
      <c r="G74" s="300" t="s">
        <v>5</v>
      </c>
      <c r="H74" s="166">
        <v>372.38735200000002</v>
      </c>
    </row>
    <row r="75" spans="1:8">
      <c r="A75" s="300" t="s">
        <v>5</v>
      </c>
      <c r="B75" s="166">
        <v>342.41219999999998</v>
      </c>
      <c r="G75" s="300" t="s">
        <v>6</v>
      </c>
      <c r="H75" s="166">
        <v>84.907807000000005</v>
      </c>
    </row>
    <row r="76" spans="1:8">
      <c r="A76" s="300" t="s">
        <v>6</v>
      </c>
      <c r="B76" s="166">
        <v>102.10677489299999</v>
      </c>
      <c r="G76" s="300" t="s">
        <v>7</v>
      </c>
      <c r="H76" s="166">
        <v>1.22116</v>
      </c>
    </row>
    <row r="77" spans="1:8">
      <c r="A77" s="300" t="s">
        <v>7</v>
      </c>
      <c r="B77" s="166">
        <v>3.4006251070000002</v>
      </c>
      <c r="G77" s="300" t="s">
        <v>8</v>
      </c>
      <c r="H77" s="166">
        <v>7.4884649999999997</v>
      </c>
    </row>
    <row r="78" spans="1:8">
      <c r="A78" s="300" t="s">
        <v>8</v>
      </c>
      <c r="B78" s="166">
        <v>9.2802000000000007</v>
      </c>
      <c r="G78" s="300" t="s">
        <v>9</v>
      </c>
      <c r="H78" s="166">
        <v>27.245652</v>
      </c>
    </row>
    <row r="79" spans="1:8">
      <c r="A79" s="300" t="s">
        <v>9</v>
      </c>
      <c r="B79" s="166">
        <v>32.2361</v>
      </c>
      <c r="G79" s="300" t="s">
        <v>66</v>
      </c>
      <c r="H79" s="166">
        <v>1.3821574999999999</v>
      </c>
    </row>
    <row r="80" spans="1:8">
      <c r="A80" s="300" t="s">
        <v>66</v>
      </c>
      <c r="B80" s="166">
        <v>1.3491500000000001</v>
      </c>
      <c r="G80" s="300" t="s">
        <v>67</v>
      </c>
      <c r="H80" s="166">
        <v>2.0075745</v>
      </c>
    </row>
    <row r="81" spans="1:11">
      <c r="A81" s="300" t="s">
        <v>67</v>
      </c>
      <c r="B81" s="166">
        <v>2.5442499999999999</v>
      </c>
      <c r="G81" s="251" t="s">
        <v>10</v>
      </c>
      <c r="H81" s="254">
        <v>794.73974731199996</v>
      </c>
      <c r="I81">
        <f>SUM(H70,H74:H77,H79)</f>
        <v>582.38068581200002</v>
      </c>
    </row>
    <row r="82" spans="1:11">
      <c r="A82" s="251" t="s">
        <v>10</v>
      </c>
      <c r="B82" s="254">
        <v>738.28769999999997</v>
      </c>
      <c r="C82">
        <f>SUM(B70,B75:B78,B80)</f>
        <v>496.93154999999996</v>
      </c>
      <c r="G82" s="300" t="s">
        <v>78</v>
      </c>
      <c r="H82" s="166">
        <v>15.080808744</v>
      </c>
    </row>
    <row r="83" spans="1:11">
      <c r="A83" s="300" t="s">
        <v>78</v>
      </c>
      <c r="B83" s="166">
        <v>12.376899999999999</v>
      </c>
      <c r="G83" s="300" t="s">
        <v>115</v>
      </c>
      <c r="H83" s="166">
        <v>-35.224547999999999</v>
      </c>
    </row>
    <row r="84" spans="1:11">
      <c r="A84" s="300" t="s">
        <v>115</v>
      </c>
      <c r="B84" s="166">
        <v>-39.128599999999999</v>
      </c>
      <c r="G84" s="300" t="s">
        <v>201</v>
      </c>
      <c r="H84" s="166">
        <v>1.3363E-2</v>
      </c>
    </row>
    <row r="85" spans="1:11">
      <c r="A85" s="300" t="s">
        <v>92</v>
      </c>
      <c r="B85" s="166">
        <v>-4.5039999999999996</v>
      </c>
      <c r="G85" s="300" t="s">
        <v>202</v>
      </c>
      <c r="H85" s="166">
        <v>-1.6553999999999999E-2</v>
      </c>
    </row>
    <row r="86" spans="1:11">
      <c r="A86" s="300" t="s">
        <v>116</v>
      </c>
      <c r="B86" s="166">
        <v>-73.012100000000004</v>
      </c>
      <c r="G86" s="300" t="s">
        <v>92</v>
      </c>
      <c r="H86" s="166">
        <v>-3.938501</v>
      </c>
    </row>
    <row r="87" spans="1:11">
      <c r="A87" s="251" t="s">
        <v>117</v>
      </c>
      <c r="B87" s="254">
        <v>634.01990000000001</v>
      </c>
      <c r="G87" s="300" t="s">
        <v>116</v>
      </c>
      <c r="H87" s="166">
        <v>-61.979940999999997</v>
      </c>
    </row>
    <row r="88" spans="1:11">
      <c r="G88" s="251" t="s">
        <v>117</v>
      </c>
      <c r="H88" s="254">
        <v>708.67437505600003</v>
      </c>
    </row>
    <row r="89" spans="1:11">
      <c r="G89" s="251" t="s">
        <v>117</v>
      </c>
      <c r="H89" s="254">
        <v>708.67437505600003</v>
      </c>
    </row>
    <row r="94" spans="1:11">
      <c r="B94" s="172" t="str">
        <f>"Mes " &amp;B67</f>
        <v>Mes 22/10/2025</v>
      </c>
      <c r="H94" s="172" t="str">
        <f>"Histórico " &amp;H67</f>
        <v>Histórico 20/03/2025</v>
      </c>
    </row>
    <row r="95" spans="1:11">
      <c r="A95" s="142" t="str">
        <f>"Estructura de generacion mensual de energía eléctrica peninsular " &amp; B67</f>
        <v>Estructura de generacion mensual de energía eléctrica peninsular 22/10/2025</v>
      </c>
      <c r="B95" s="156"/>
      <c r="C95" s="156"/>
      <c r="D95" s="156"/>
      <c r="E95" s="171" t="str">
        <f>CONCATENATE("Mes",CHAR(13),MID(A95,66,10))</f>
        <v>Mes_x000D_22/10/2025</v>
      </c>
      <c r="G95" s="142" t="str">
        <f>"Estructura de generacion mensual de energía eléctrica peninsular " &amp; H67</f>
        <v>Estructura de generacion mensual de energía eléctrica peninsular 20/03/2025</v>
      </c>
      <c r="H95" s="156"/>
      <c r="I95" s="156"/>
      <c r="J95" s="156"/>
      <c r="K95" s="156"/>
    </row>
    <row r="96" spans="1:11">
      <c r="A96" s="103"/>
      <c r="B96" s="86" t="s">
        <v>14</v>
      </c>
      <c r="C96" s="104"/>
      <c r="G96" s="103"/>
      <c r="H96" s="86" t="s">
        <v>14</v>
      </c>
      <c r="I96" s="104"/>
    </row>
    <row r="97" spans="1:11">
      <c r="A97" s="105" t="s">
        <v>3</v>
      </c>
      <c r="B97" s="170">
        <f>VLOOKUP(A97,A$70:B$89,2,FALSE)/VLOOKUP("Generación",A$70:B$89,2,FALSE)*100</f>
        <v>15.837768934793306</v>
      </c>
      <c r="C97" s="104"/>
      <c r="G97" s="105" t="s">
        <v>3</v>
      </c>
      <c r="H97" s="170">
        <f>VLOOKUP(G97,G$70:H$91,2,FALSE)/VLOOKUP("Generación",G$70:H$91,2,FALSE)*100</f>
        <v>17.126305115650133</v>
      </c>
      <c r="I97" s="104"/>
    </row>
    <row r="98" spans="1:11">
      <c r="A98" s="105" t="s">
        <v>4</v>
      </c>
      <c r="B98" s="170">
        <f t="shared" ref="B98:B108" si="4">VLOOKUP(A98,A$70:B$89,2,FALSE)/VLOOKUP("Generación",A$70:B$89,2,FALSE)*100</f>
        <v>-1.6253826252286205E-2</v>
      </c>
      <c r="C98" s="104"/>
      <c r="D98" s="104"/>
      <c r="E98" s="104"/>
      <c r="G98" s="105" t="s">
        <v>4</v>
      </c>
      <c r="H98" s="170">
        <f t="shared" ref="H98:H108" si="5">VLOOKUP(G98,G$70:H$91,2,FALSE)/VLOOKUP("Generación",G$70:H$91,2,FALSE)*100</f>
        <v>1.1252805752131489</v>
      </c>
      <c r="I98" s="104"/>
      <c r="J98" s="104"/>
      <c r="K98" s="104"/>
    </row>
    <row r="99" spans="1:11">
      <c r="A99" s="105" t="s">
        <v>11</v>
      </c>
      <c r="B99" s="170">
        <f>VLOOKUP(A99,A$70:B$89,2,FALSE)/VLOOKUP("Generación",A$70:B$89,2,FALSE)*100</f>
        <v>11.259228617786807</v>
      </c>
      <c r="C99" s="104"/>
      <c r="D99" s="104"/>
      <c r="E99" s="104"/>
      <c r="G99" s="105" t="s">
        <v>11</v>
      </c>
      <c r="H99" s="170">
        <f>VLOOKUP(G99,G$70:H$91,2,FALSE)/VLOOKUP("Generación",G$70:H$91,2,FALSE)*100</f>
        <v>4.7881371390703853</v>
      </c>
      <c r="I99" s="104"/>
      <c r="J99" s="104"/>
      <c r="K99" s="104"/>
    </row>
    <row r="100" spans="1:11">
      <c r="A100" s="105" t="s">
        <v>135</v>
      </c>
      <c r="B100" s="170">
        <f>IF(ISERROR(VLOOKUP(A100,A$70:B$92,2,FALSE)),"-",VLOOKUP(A100,A$70:B$92,2,FALSE)/VLOOKUP("Generación",A$70:B$92,2,FALSE)*100)</f>
        <v>0.89964928306404146</v>
      </c>
      <c r="C100" s="104"/>
      <c r="D100" s="104"/>
      <c r="E100" s="104"/>
      <c r="G100" s="105" t="s">
        <v>135</v>
      </c>
      <c r="H100" s="170" t="str">
        <f>IF(ISERROR(VLOOKUP(G100,G$70:H$92,2,FALSE)),"-",VLOOKUP(G100,G$70:H$92,2,FALSE)/VLOOKUP("Generación",G$70:H$92,2,FALSE)*100)</f>
        <v>-</v>
      </c>
      <c r="I100" s="104"/>
      <c r="J100" s="104"/>
      <c r="K100" s="104"/>
    </row>
    <row r="101" spans="1:11">
      <c r="A101" s="105" t="s">
        <v>9</v>
      </c>
      <c r="B101" s="170">
        <f t="shared" si="4"/>
        <v>4.3663330704276939</v>
      </c>
      <c r="C101" s="104"/>
      <c r="D101" s="104"/>
      <c r="E101" s="104"/>
      <c r="G101" s="105" t="s">
        <v>9</v>
      </c>
      <c r="H101" s="170">
        <f t="shared" si="5"/>
        <v>3.4282483155210639</v>
      </c>
      <c r="I101" s="104"/>
      <c r="J101" s="104"/>
      <c r="K101" s="104"/>
    </row>
    <row r="102" spans="1:11">
      <c r="A102" s="105" t="s">
        <v>67</v>
      </c>
      <c r="B102" s="170">
        <f t="shared" si="4"/>
        <v>0.3446149786864931</v>
      </c>
      <c r="C102" s="104"/>
      <c r="D102" s="104"/>
      <c r="E102" s="104"/>
      <c r="G102" s="105" t="s">
        <v>67</v>
      </c>
      <c r="H102" s="170">
        <f t="shared" si="5"/>
        <v>0.25260778849807092</v>
      </c>
      <c r="I102" s="104"/>
      <c r="J102" s="104"/>
      <c r="K102" s="104"/>
    </row>
    <row r="103" spans="1:11">
      <c r="A103" s="105" t="s">
        <v>66</v>
      </c>
      <c r="B103" s="170">
        <f t="shared" si="4"/>
        <v>0.18274041406893277</v>
      </c>
      <c r="C103" s="104"/>
      <c r="D103" s="104"/>
      <c r="E103" s="104"/>
      <c r="G103" s="105" t="s">
        <v>66</v>
      </c>
      <c r="H103" s="170">
        <f t="shared" si="5"/>
        <v>0.1739132218659992</v>
      </c>
      <c r="I103" s="104"/>
      <c r="J103" s="104"/>
      <c r="K103" s="104"/>
    </row>
    <row r="104" spans="1:11">
      <c r="A104" s="105" t="s">
        <v>5</v>
      </c>
      <c r="B104" s="170">
        <f t="shared" si="4"/>
        <v>46.379236712192281</v>
      </c>
      <c r="C104" s="104"/>
      <c r="D104" s="104"/>
      <c r="E104" s="104"/>
      <c r="G104" s="105" t="s">
        <v>5</v>
      </c>
      <c r="H104" s="170">
        <f t="shared" si="5"/>
        <v>46.856515388780181</v>
      </c>
      <c r="I104" s="104"/>
      <c r="J104" s="104"/>
      <c r="K104" s="104"/>
    </row>
    <row r="105" spans="1:11">
      <c r="A105" s="105" t="s">
        <v>2</v>
      </c>
      <c r="B105" s="170">
        <f t="shared" si="4"/>
        <v>5.1988675959250035</v>
      </c>
      <c r="C105" s="104"/>
      <c r="D105" s="104"/>
      <c r="E105" s="104"/>
      <c r="G105" s="105" t="s">
        <v>2</v>
      </c>
      <c r="H105" s="170">
        <f t="shared" si="5"/>
        <v>14.469358642365174</v>
      </c>
      <c r="I105" s="104"/>
      <c r="J105" s="104"/>
      <c r="K105" s="104"/>
    </row>
    <row r="106" spans="1:11">
      <c r="A106" s="105" t="s">
        <v>6</v>
      </c>
      <c r="B106" s="170">
        <f t="shared" si="4"/>
        <v>13.830214819101009</v>
      </c>
      <c r="C106" s="104"/>
      <c r="D106" s="104"/>
      <c r="E106" s="104"/>
      <c r="G106" s="105" t="s">
        <v>6</v>
      </c>
      <c r="H106" s="170">
        <f t="shared" si="5"/>
        <v>10.68372473972499</v>
      </c>
      <c r="I106" s="104"/>
      <c r="J106" s="104"/>
      <c r="K106" s="104"/>
    </row>
    <row r="107" spans="1:11">
      <c r="A107" s="105" t="s">
        <v>7</v>
      </c>
      <c r="B107" s="170">
        <f t="shared" si="4"/>
        <v>0.46060974698616819</v>
      </c>
      <c r="C107" s="104"/>
      <c r="D107" s="104"/>
      <c r="E107" s="104"/>
      <c r="G107" s="105" t="s">
        <v>7</v>
      </c>
      <c r="H107" s="170">
        <f t="shared" si="5"/>
        <v>0.15365533234373333</v>
      </c>
      <c r="I107" s="104"/>
      <c r="J107" s="104"/>
      <c r="K107" s="104"/>
    </row>
    <row r="108" spans="1:11">
      <c r="A108" s="105" t="s">
        <v>8</v>
      </c>
      <c r="B108" s="170">
        <f t="shared" si="4"/>
        <v>1.2569896532205536</v>
      </c>
      <c r="C108" s="156"/>
      <c r="D108" s="156"/>
      <c r="E108" s="156"/>
      <c r="G108" s="105" t="s">
        <v>8</v>
      </c>
      <c r="H108" s="170">
        <f t="shared" si="5"/>
        <v>0.94225374096712555</v>
      </c>
      <c r="I108" s="104"/>
      <c r="J108" s="104"/>
      <c r="K108" s="104"/>
    </row>
    <row r="109" spans="1:11">
      <c r="A109" s="107" t="s">
        <v>15</v>
      </c>
      <c r="B109" s="108">
        <f>SUM(B97:B108)</f>
        <v>100</v>
      </c>
      <c r="C109" s="156"/>
      <c r="D109" s="156"/>
      <c r="E109" s="156"/>
      <c r="G109" s="107" t="s">
        <v>15</v>
      </c>
      <c r="H109" s="108">
        <f>SUM(H97:H108)</f>
        <v>100.00000000000003</v>
      </c>
      <c r="I109" s="104"/>
      <c r="J109" s="104"/>
      <c r="K109" s="104"/>
    </row>
    <row r="111" spans="1:11">
      <c r="A111" s="159"/>
      <c r="B111" s="160" t="s">
        <v>14</v>
      </c>
      <c r="G111" s="159"/>
      <c r="H111" s="160" t="s">
        <v>14</v>
      </c>
    </row>
    <row r="112" spans="1:11">
      <c r="A112" s="157" t="s">
        <v>16</v>
      </c>
      <c r="B112" s="158">
        <f>SUM(B97:B102)</f>
        <v>32.691341058506055</v>
      </c>
      <c r="G112" s="157" t="s">
        <v>16</v>
      </c>
      <c r="H112" s="158">
        <f>SUM(H97:H102)</f>
        <v>26.720578933952805</v>
      </c>
    </row>
    <row r="113" spans="1:26">
      <c r="A113" s="161" t="s">
        <v>17</v>
      </c>
      <c r="B113" s="162">
        <f>SUM(B103:B108)</f>
        <v>67.308658941493945</v>
      </c>
      <c r="G113" s="161" t="s">
        <v>17</v>
      </c>
      <c r="H113" s="162">
        <f>SUM(H103:H108)</f>
        <v>73.279421066047206</v>
      </c>
    </row>
    <row r="118" spans="1:26">
      <c r="A118" s="163" t="s">
        <v>100</v>
      </c>
      <c r="B118" s="329" t="s">
        <v>93</v>
      </c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</row>
    <row r="119" spans="1:26">
      <c r="A119" s="163" t="s">
        <v>101</v>
      </c>
      <c r="B119" s="325" t="s">
        <v>104</v>
      </c>
      <c r="C119" s="326"/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</row>
    <row r="120" spans="1:26">
      <c r="A120" s="167" t="s">
        <v>28</v>
      </c>
      <c r="B120" s="270" t="s">
        <v>185</v>
      </c>
      <c r="C120" s="270" t="s">
        <v>186</v>
      </c>
      <c r="D120" s="270" t="s">
        <v>187</v>
      </c>
      <c r="E120" s="270" t="s">
        <v>188</v>
      </c>
      <c r="F120" s="270" t="s">
        <v>189</v>
      </c>
      <c r="G120" s="270" t="s">
        <v>190</v>
      </c>
      <c r="H120" s="270" t="s">
        <v>192</v>
      </c>
      <c r="I120" s="270" t="s">
        <v>193</v>
      </c>
      <c r="J120" s="270" t="s">
        <v>194</v>
      </c>
      <c r="K120" s="270" t="s">
        <v>195</v>
      </c>
      <c r="L120" s="270" t="s">
        <v>196</v>
      </c>
      <c r="M120" s="270" t="s">
        <v>197</v>
      </c>
      <c r="N120" s="270" t="s">
        <v>198</v>
      </c>
      <c r="O120" s="270" t="s">
        <v>199</v>
      </c>
      <c r="P120" s="270" t="s">
        <v>200</v>
      </c>
      <c r="Q120" s="270" t="s">
        <v>204</v>
      </c>
      <c r="R120" s="270" t="s">
        <v>212</v>
      </c>
      <c r="S120" s="270" t="s">
        <v>213</v>
      </c>
      <c r="T120" s="270" t="s">
        <v>215</v>
      </c>
      <c r="U120" s="270" t="s">
        <v>226</v>
      </c>
      <c r="V120" s="270" t="s">
        <v>227</v>
      </c>
      <c r="W120" s="270" t="s">
        <v>229</v>
      </c>
      <c r="X120" s="270" t="s">
        <v>243</v>
      </c>
      <c r="Y120" s="270" t="s">
        <v>245</v>
      </c>
      <c r="Z120" s="270" t="s">
        <v>247</v>
      </c>
    </row>
    <row r="121" spans="1:26">
      <c r="A121" s="163" t="s">
        <v>102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</row>
    <row r="122" spans="1:26">
      <c r="A122" s="300" t="s">
        <v>2</v>
      </c>
      <c r="B122" s="166">
        <v>1484.574992583</v>
      </c>
      <c r="C122" s="166">
        <v>3482.4853226509999</v>
      </c>
      <c r="D122" s="166">
        <v>4031.2184883579998</v>
      </c>
      <c r="E122" s="166">
        <v>3971.6333326650001</v>
      </c>
      <c r="F122" s="166">
        <v>3041.976203748</v>
      </c>
      <c r="G122" s="166">
        <v>4736.9269511880002</v>
      </c>
      <c r="H122" s="166">
        <v>4064.5454934929999</v>
      </c>
      <c r="I122" s="166">
        <v>2965.4114541650001</v>
      </c>
      <c r="J122" s="166">
        <v>2438.0574653990002</v>
      </c>
      <c r="K122" s="166">
        <v>2170.2057400829999</v>
      </c>
      <c r="L122" s="166">
        <v>1809.4675256800001</v>
      </c>
      <c r="M122" s="166">
        <v>1653.1587001329999</v>
      </c>
      <c r="N122" s="166">
        <v>2894.8507707469998</v>
      </c>
      <c r="O122" s="166">
        <v>2726.4816031639998</v>
      </c>
      <c r="P122" s="166">
        <v>2467.4840409530002</v>
      </c>
      <c r="Q122" s="166">
        <v>3124.3219639069998</v>
      </c>
      <c r="R122" s="166">
        <v>4134.3578483439996</v>
      </c>
      <c r="S122" s="166">
        <v>4148.5503963519996</v>
      </c>
      <c r="T122" s="166">
        <v>3938.8483733960002</v>
      </c>
      <c r="U122" s="166">
        <v>3578.0521202079999</v>
      </c>
      <c r="V122" s="166">
        <v>2404.3850213360001</v>
      </c>
      <c r="W122" s="166">
        <v>1895.084100153</v>
      </c>
      <c r="X122" s="166">
        <v>1781.8070495100001</v>
      </c>
      <c r="Y122" s="166">
        <v>1598.9966885199999</v>
      </c>
      <c r="Z122" s="166">
        <v>1776.331467948</v>
      </c>
    </row>
    <row r="123" spans="1:26">
      <c r="A123" s="300" t="s">
        <v>3</v>
      </c>
      <c r="B123" s="166">
        <v>3784.160488</v>
      </c>
      <c r="C123" s="166">
        <v>3783.6570109999998</v>
      </c>
      <c r="D123" s="166">
        <v>5012.3406750000004</v>
      </c>
      <c r="E123" s="166">
        <v>5179.8859259999999</v>
      </c>
      <c r="F123" s="166">
        <v>4529.2780810000004</v>
      </c>
      <c r="G123" s="166">
        <v>3507.782451</v>
      </c>
      <c r="H123" s="166">
        <v>3525.8637629999998</v>
      </c>
      <c r="I123" s="166">
        <v>3543.073292</v>
      </c>
      <c r="J123" s="166">
        <v>4365.7648140000001</v>
      </c>
      <c r="K123" s="166">
        <v>5078.7451019999999</v>
      </c>
      <c r="L123" s="166">
        <v>5127.9636950000004</v>
      </c>
      <c r="M123" s="166">
        <v>5016.5852709999999</v>
      </c>
      <c r="N123" s="166">
        <v>4636.1565559999999</v>
      </c>
      <c r="O123" s="166">
        <v>3631.6146010000002</v>
      </c>
      <c r="P123" s="166">
        <v>4248.0893850000002</v>
      </c>
      <c r="Q123" s="166">
        <v>5226.0164349999995</v>
      </c>
      <c r="R123" s="166">
        <v>4737.4506929999998</v>
      </c>
      <c r="S123" s="166">
        <v>4877.9919600000003</v>
      </c>
      <c r="T123" s="166">
        <v>2951.0691240000001</v>
      </c>
      <c r="U123" s="166">
        <v>3062.4801870000001</v>
      </c>
      <c r="V123" s="166">
        <v>4096.3802539999997</v>
      </c>
      <c r="W123" s="166">
        <v>5059.0227649999997</v>
      </c>
      <c r="X123" s="166">
        <v>5094.8395760000003</v>
      </c>
      <c r="Y123" s="166">
        <v>4538.2160970000004</v>
      </c>
      <c r="Z123" s="166">
        <v>3695.4009620000002</v>
      </c>
    </row>
    <row r="124" spans="1:26">
      <c r="A124" s="300" t="s">
        <v>4</v>
      </c>
      <c r="B124" s="166">
        <v>382.30216999999999</v>
      </c>
      <c r="C124" s="166">
        <v>228.074839</v>
      </c>
      <c r="D124" s="166">
        <v>219.97437099999999</v>
      </c>
      <c r="E124" s="166">
        <v>273.95835399999999</v>
      </c>
      <c r="F124" s="166">
        <v>211.24855400000001</v>
      </c>
      <c r="G124" s="166">
        <v>213.900071</v>
      </c>
      <c r="H124" s="166">
        <v>219.58059800000001</v>
      </c>
      <c r="I124" s="166">
        <v>214.35232400000001</v>
      </c>
      <c r="J124" s="166">
        <v>190.86832699999999</v>
      </c>
      <c r="K124" s="166">
        <v>210.52961099999999</v>
      </c>
      <c r="L124" s="166">
        <v>224.37374800000001</v>
      </c>
      <c r="M124" s="166">
        <v>300.028865</v>
      </c>
      <c r="N124" s="166">
        <v>310.38593600000002</v>
      </c>
      <c r="O124" s="166">
        <v>288.07616899999999</v>
      </c>
      <c r="P124" s="166">
        <v>315.08651700000001</v>
      </c>
      <c r="Q124" s="166">
        <v>297.46981799999998</v>
      </c>
      <c r="R124" s="166">
        <v>278.05515800000001</v>
      </c>
      <c r="S124" s="166">
        <v>190.53958</v>
      </c>
      <c r="T124" s="166">
        <v>169.82641100000001</v>
      </c>
      <c r="U124" s="166">
        <v>143.526748</v>
      </c>
      <c r="V124" s="166">
        <v>154.141783</v>
      </c>
      <c r="W124" s="166">
        <v>105.938849</v>
      </c>
      <c r="X124" s="166">
        <v>1.1E-4</v>
      </c>
      <c r="Y124" s="166">
        <v>7.238918</v>
      </c>
      <c r="Z124" s="166">
        <v>19.604610000000001</v>
      </c>
    </row>
    <row r="125" spans="1:26">
      <c r="A125" s="300" t="s">
        <v>135</v>
      </c>
      <c r="B125" s="166">
        <v>0</v>
      </c>
      <c r="C125" s="166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O125" s="166">
        <v>0</v>
      </c>
      <c r="P125" s="166">
        <v>0</v>
      </c>
      <c r="Q125" s="166">
        <v>0</v>
      </c>
      <c r="R125" s="166">
        <v>0</v>
      </c>
      <c r="S125" s="166">
        <v>0</v>
      </c>
      <c r="T125" s="166">
        <v>0</v>
      </c>
      <c r="U125" s="166">
        <v>0</v>
      </c>
      <c r="V125" s="166">
        <v>0</v>
      </c>
      <c r="W125" s="166">
        <v>108.616974</v>
      </c>
      <c r="X125" s="166">
        <v>164.26569699999999</v>
      </c>
      <c r="Y125" s="166">
        <v>185.05953700000001</v>
      </c>
      <c r="Z125" s="166">
        <v>208.33896799999999</v>
      </c>
    </row>
    <row r="126" spans="1:26">
      <c r="A126" s="300" t="s">
        <v>230</v>
      </c>
      <c r="B126" s="166">
        <v>0</v>
      </c>
      <c r="C126" s="166">
        <v>0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0</v>
      </c>
      <c r="R126" s="166">
        <v>0</v>
      </c>
      <c r="S126" s="166">
        <v>0</v>
      </c>
      <c r="T126" s="166">
        <v>0</v>
      </c>
      <c r="U126" s="166">
        <v>0</v>
      </c>
      <c r="V126" s="166">
        <v>0</v>
      </c>
      <c r="W126" s="166">
        <v>0</v>
      </c>
      <c r="X126" s="166">
        <v>0</v>
      </c>
      <c r="Y126" s="166">
        <v>9.9999999999999995E-7</v>
      </c>
      <c r="Z126" s="166">
        <v>4.1999999999999997E-3</v>
      </c>
    </row>
    <row r="127" spans="1:26">
      <c r="A127" s="300" t="s">
        <v>11</v>
      </c>
      <c r="B127" s="166">
        <v>3508.120997</v>
      </c>
      <c r="C127" s="166">
        <v>2386.6242459999999</v>
      </c>
      <c r="D127" s="166">
        <v>2670.793596</v>
      </c>
      <c r="E127" s="166">
        <v>2812.182871</v>
      </c>
      <c r="F127" s="166">
        <v>1629.724757</v>
      </c>
      <c r="G127" s="166">
        <v>1701.9297220000001</v>
      </c>
      <c r="H127" s="166">
        <v>1535.346955</v>
      </c>
      <c r="I127" s="166">
        <v>1529.7979190000001</v>
      </c>
      <c r="J127" s="166">
        <v>1635.0450960000001</v>
      </c>
      <c r="K127" s="166">
        <v>2713.2663069999999</v>
      </c>
      <c r="L127" s="166">
        <v>2914.4289709999998</v>
      </c>
      <c r="M127" s="166">
        <v>2348.2528990000001</v>
      </c>
      <c r="N127" s="166">
        <v>2264.896299</v>
      </c>
      <c r="O127" s="166">
        <v>3505.494428</v>
      </c>
      <c r="P127" s="166">
        <v>4516.264698</v>
      </c>
      <c r="Q127" s="166">
        <v>2796.3871949999998</v>
      </c>
      <c r="R127" s="166">
        <v>2601.0313259999998</v>
      </c>
      <c r="S127" s="166">
        <v>1974.6932220000001</v>
      </c>
      <c r="T127" s="166">
        <v>2023.7233229999999</v>
      </c>
      <c r="U127" s="166">
        <v>2692.3510759999999</v>
      </c>
      <c r="V127" s="166">
        <v>3980.7121860000002</v>
      </c>
      <c r="W127" s="166">
        <v>3578.6064449999999</v>
      </c>
      <c r="X127" s="166">
        <v>3538.346309</v>
      </c>
      <c r="Y127" s="166">
        <v>3151.5799659999998</v>
      </c>
      <c r="Z127" s="166">
        <v>4520.0373680000002</v>
      </c>
    </row>
    <row r="128" spans="1:26">
      <c r="A128" s="300" t="s">
        <v>5</v>
      </c>
      <c r="B128" s="166">
        <v>5748.1640870000001</v>
      </c>
      <c r="C128" s="166">
        <v>6906.465373</v>
      </c>
      <c r="D128" s="166">
        <v>5769.3755490000003</v>
      </c>
      <c r="E128" s="166">
        <v>5666.6968399999996</v>
      </c>
      <c r="F128" s="166">
        <v>6853.2107029999997</v>
      </c>
      <c r="G128" s="166">
        <v>6055.844591</v>
      </c>
      <c r="H128" s="166">
        <v>4611.153026</v>
      </c>
      <c r="I128" s="166">
        <v>4129.9438840000003</v>
      </c>
      <c r="J128" s="166">
        <v>4309.2216589999998</v>
      </c>
      <c r="K128" s="166">
        <v>4060.6748659999998</v>
      </c>
      <c r="L128" s="166">
        <v>3750.9727419999999</v>
      </c>
      <c r="M128" s="166">
        <v>4497.1104729999997</v>
      </c>
      <c r="N128" s="166">
        <v>5579.7968899999996</v>
      </c>
      <c r="O128" s="166">
        <v>4804.3846350000003</v>
      </c>
      <c r="P128" s="166">
        <v>5200.0371130000003</v>
      </c>
      <c r="Q128" s="166">
        <v>7495.0434329999998</v>
      </c>
      <c r="R128" s="166">
        <v>3639.9523490000001</v>
      </c>
      <c r="S128" s="166">
        <v>6673.3156280000003</v>
      </c>
      <c r="T128" s="166">
        <v>4252.7989029999999</v>
      </c>
      <c r="U128" s="166">
        <v>3376.1924180000001</v>
      </c>
      <c r="V128" s="166">
        <v>3076.0234719999999</v>
      </c>
      <c r="W128" s="166">
        <v>4418.4357190000001</v>
      </c>
      <c r="X128" s="166">
        <v>3597.9840709999999</v>
      </c>
      <c r="Y128" s="166">
        <v>3943.7562480000001</v>
      </c>
      <c r="Z128" s="166">
        <v>4353.2171049999997</v>
      </c>
    </row>
    <row r="129" spans="1:26">
      <c r="A129" s="300" t="s">
        <v>6</v>
      </c>
      <c r="B129" s="166">
        <v>2580.7948339999998</v>
      </c>
      <c r="C129" s="166">
        <v>1968.077119</v>
      </c>
      <c r="D129" s="166">
        <v>1834.1740239999999</v>
      </c>
      <c r="E129" s="166">
        <v>1883.483612</v>
      </c>
      <c r="F129" s="166">
        <v>2551.6391090000002</v>
      </c>
      <c r="G129" s="166">
        <v>2995.9991199999999</v>
      </c>
      <c r="H129" s="166">
        <v>3948.7260970000002</v>
      </c>
      <c r="I129" s="166">
        <v>5034.5176760000004</v>
      </c>
      <c r="J129" s="166">
        <v>4688.9022109999996</v>
      </c>
      <c r="K129" s="166">
        <v>5722.9269539999996</v>
      </c>
      <c r="L129" s="166">
        <v>5291.4148279999999</v>
      </c>
      <c r="M129" s="166">
        <v>4124.5515869999999</v>
      </c>
      <c r="N129" s="166">
        <v>2723.045987</v>
      </c>
      <c r="O129" s="166">
        <v>2273.7718799999998</v>
      </c>
      <c r="P129" s="166">
        <v>2442.9158069999999</v>
      </c>
      <c r="Q129" s="166">
        <v>2257.1212780000001</v>
      </c>
      <c r="R129" s="166">
        <v>3139.9958980000001</v>
      </c>
      <c r="S129" s="166">
        <v>3025.1360789999999</v>
      </c>
      <c r="T129" s="166">
        <v>3984.3931889999999</v>
      </c>
      <c r="U129" s="166">
        <v>4777.3132009999999</v>
      </c>
      <c r="V129" s="166">
        <v>5924.1727069999997</v>
      </c>
      <c r="W129" s="166">
        <v>6171.5286560000004</v>
      </c>
      <c r="X129" s="166">
        <v>5702.7467219999999</v>
      </c>
      <c r="Y129" s="166">
        <v>4940.730012</v>
      </c>
      <c r="Z129" s="166">
        <v>3991.8868107070002</v>
      </c>
    </row>
    <row r="130" spans="1:26">
      <c r="A130" s="300" t="s">
        <v>7</v>
      </c>
      <c r="B130" s="166">
        <v>226.73819900000001</v>
      </c>
      <c r="C130" s="166">
        <v>111.28437</v>
      </c>
      <c r="D130" s="166">
        <v>92.059718000000004</v>
      </c>
      <c r="E130" s="166">
        <v>94.242966999999993</v>
      </c>
      <c r="F130" s="166">
        <v>176.41685799999999</v>
      </c>
      <c r="G130" s="166">
        <v>151.74095500000001</v>
      </c>
      <c r="H130" s="166">
        <v>443.31944199999998</v>
      </c>
      <c r="I130" s="166">
        <v>599.701686</v>
      </c>
      <c r="J130" s="166">
        <v>494.55802</v>
      </c>
      <c r="K130" s="166">
        <v>674.74307599999997</v>
      </c>
      <c r="L130" s="166">
        <v>671.16086600000006</v>
      </c>
      <c r="M130" s="166">
        <v>459.96957600000002</v>
      </c>
      <c r="N130" s="166">
        <v>153.79677899999999</v>
      </c>
      <c r="O130" s="166">
        <v>97.190021999999999</v>
      </c>
      <c r="P130" s="166">
        <v>110.530322</v>
      </c>
      <c r="Q130" s="166">
        <v>88.888022000000007</v>
      </c>
      <c r="R130" s="166">
        <v>174.04370499999999</v>
      </c>
      <c r="S130" s="166">
        <v>187.20863</v>
      </c>
      <c r="T130" s="166">
        <v>310.83838200000002</v>
      </c>
      <c r="U130" s="166">
        <v>493.82251400000001</v>
      </c>
      <c r="V130" s="166">
        <v>486.22661499999998</v>
      </c>
      <c r="W130" s="166">
        <v>660.85651299999995</v>
      </c>
      <c r="X130" s="166">
        <v>488.094492</v>
      </c>
      <c r="Y130" s="166">
        <v>396.08211</v>
      </c>
      <c r="Z130" s="166">
        <v>246.37948529299999</v>
      </c>
    </row>
    <row r="131" spans="1:26">
      <c r="A131" s="300" t="s">
        <v>8</v>
      </c>
      <c r="B131" s="166">
        <v>262.95631200000003</v>
      </c>
      <c r="C131" s="166">
        <v>239.31590700000001</v>
      </c>
      <c r="D131" s="166">
        <v>254.95474100000001</v>
      </c>
      <c r="E131" s="166">
        <v>282.91934500000002</v>
      </c>
      <c r="F131" s="166">
        <v>257.93751700000001</v>
      </c>
      <c r="G131" s="166">
        <v>309.63790999999998</v>
      </c>
      <c r="H131" s="166">
        <v>304.12223999999998</v>
      </c>
      <c r="I131" s="166">
        <v>310.96184699999998</v>
      </c>
      <c r="J131" s="166">
        <v>329.79853700000001</v>
      </c>
      <c r="K131" s="166">
        <v>352.35558800000001</v>
      </c>
      <c r="L131" s="166">
        <v>318.10786400000001</v>
      </c>
      <c r="M131" s="166">
        <v>293.49487599999998</v>
      </c>
      <c r="N131" s="166">
        <v>275.04172199999999</v>
      </c>
      <c r="O131" s="166">
        <v>305.056352</v>
      </c>
      <c r="P131" s="166">
        <v>341.07748299999997</v>
      </c>
      <c r="Q131" s="166">
        <v>339.19863400000003</v>
      </c>
      <c r="R131" s="166">
        <v>328.25216599999999</v>
      </c>
      <c r="S131" s="166">
        <v>285.81477899999999</v>
      </c>
      <c r="T131" s="166">
        <v>295.24856199999999</v>
      </c>
      <c r="U131" s="166">
        <v>324.89031499999999</v>
      </c>
      <c r="V131" s="166">
        <v>314.31538799999998</v>
      </c>
      <c r="W131" s="166">
        <v>349.97779200000002</v>
      </c>
      <c r="X131" s="166">
        <v>335.55956400000002</v>
      </c>
      <c r="Y131" s="166">
        <v>330.87406099999998</v>
      </c>
      <c r="Z131" s="166">
        <v>328.82446499999998</v>
      </c>
    </row>
    <row r="132" spans="1:26">
      <c r="A132" s="300" t="s">
        <v>9</v>
      </c>
      <c r="B132" s="166">
        <v>1267.5232329999999</v>
      </c>
      <c r="C132" s="166">
        <v>995.96238300000005</v>
      </c>
      <c r="D132" s="166">
        <v>1171.940519</v>
      </c>
      <c r="E132" s="166">
        <v>1696.48054</v>
      </c>
      <c r="F132" s="166">
        <v>1369.532702</v>
      </c>
      <c r="G132" s="166">
        <v>1170.9069340000001</v>
      </c>
      <c r="H132" s="166">
        <v>905.96468900000002</v>
      </c>
      <c r="I132" s="166">
        <v>1326.339082</v>
      </c>
      <c r="J132" s="166">
        <v>1441.0429340000001</v>
      </c>
      <c r="K132" s="166">
        <v>1476.1582149999999</v>
      </c>
      <c r="L132" s="166">
        <v>1402.103447</v>
      </c>
      <c r="M132" s="166">
        <v>1311.498208</v>
      </c>
      <c r="N132" s="166">
        <v>1224.0637610000001</v>
      </c>
      <c r="O132" s="166">
        <v>1543.21272</v>
      </c>
      <c r="P132" s="166">
        <v>1506.8375820000001</v>
      </c>
      <c r="Q132" s="166">
        <v>1428.380842</v>
      </c>
      <c r="R132" s="166">
        <v>1374.1310619999999</v>
      </c>
      <c r="S132" s="166">
        <v>1152.9488690000001</v>
      </c>
      <c r="T132" s="166">
        <v>1135.3294229999999</v>
      </c>
      <c r="U132" s="166">
        <v>1158.4630870000001</v>
      </c>
      <c r="V132" s="166">
        <v>1365.643943</v>
      </c>
      <c r="W132" s="166">
        <v>1299.381529</v>
      </c>
      <c r="X132" s="166">
        <v>1208.5679929999999</v>
      </c>
      <c r="Y132" s="166">
        <v>1248.618485</v>
      </c>
      <c r="Z132" s="166">
        <v>1356.977001</v>
      </c>
    </row>
    <row r="133" spans="1:26">
      <c r="A133" s="300" t="s">
        <v>66</v>
      </c>
      <c r="B133" s="166">
        <v>65.383654000000007</v>
      </c>
      <c r="C133" s="166">
        <v>52.408155000000001</v>
      </c>
      <c r="D133" s="166">
        <v>65.083246000000003</v>
      </c>
      <c r="E133" s="166">
        <v>58.1329785</v>
      </c>
      <c r="F133" s="166">
        <v>53.101937</v>
      </c>
      <c r="G133" s="166">
        <v>40.449704500000003</v>
      </c>
      <c r="H133" s="166">
        <v>38.443151999999998</v>
      </c>
      <c r="I133" s="166">
        <v>36.579355999999997</v>
      </c>
      <c r="J133" s="166">
        <v>53.415584500000001</v>
      </c>
      <c r="K133" s="166">
        <v>62.396649500000002</v>
      </c>
      <c r="L133" s="166">
        <v>62.179299999999998</v>
      </c>
      <c r="M133" s="166">
        <v>59.692804500000001</v>
      </c>
      <c r="N133" s="166">
        <v>56.188988999999999</v>
      </c>
      <c r="O133" s="166">
        <v>64.965261999999996</v>
      </c>
      <c r="P133" s="166">
        <v>68.042446499999997</v>
      </c>
      <c r="Q133" s="166">
        <v>55.9446005</v>
      </c>
      <c r="R133" s="166">
        <v>53.965263</v>
      </c>
      <c r="S133" s="166">
        <v>51.637242999999998</v>
      </c>
      <c r="T133" s="166">
        <v>37.148092499999997</v>
      </c>
      <c r="U133" s="166">
        <v>29.418555000000001</v>
      </c>
      <c r="V133" s="166">
        <v>23.718672000000002</v>
      </c>
      <c r="W133" s="166">
        <v>52.036873</v>
      </c>
      <c r="X133" s="166">
        <v>59.049389499999997</v>
      </c>
      <c r="Y133" s="166">
        <v>45.211658999999997</v>
      </c>
      <c r="Z133" s="166">
        <v>51.785544000000002</v>
      </c>
    </row>
    <row r="134" spans="1:26">
      <c r="A134" s="300" t="s">
        <v>67</v>
      </c>
      <c r="B134" s="166">
        <v>109.19224699999999</v>
      </c>
      <c r="C134" s="166">
        <v>89.926468</v>
      </c>
      <c r="D134" s="166">
        <v>105.169003</v>
      </c>
      <c r="E134" s="166">
        <v>99.461145500000001</v>
      </c>
      <c r="F134" s="166">
        <v>84.220972000000003</v>
      </c>
      <c r="G134" s="166">
        <v>63.3130685</v>
      </c>
      <c r="H134" s="166">
        <v>59.505023999999999</v>
      </c>
      <c r="I134" s="166">
        <v>67.60915</v>
      </c>
      <c r="J134" s="166">
        <v>92.371871499999997</v>
      </c>
      <c r="K134" s="166">
        <v>121.09500749999999</v>
      </c>
      <c r="L134" s="166">
        <v>140.658547</v>
      </c>
      <c r="M134" s="166">
        <v>118.93706349999999</v>
      </c>
      <c r="N134" s="166">
        <v>120.82929900000001</v>
      </c>
      <c r="O134" s="166">
        <v>115.758396</v>
      </c>
      <c r="P134" s="166">
        <v>111.3057175</v>
      </c>
      <c r="Q134" s="166">
        <v>91.833926500000004</v>
      </c>
      <c r="R134" s="166">
        <v>88.809291999999999</v>
      </c>
      <c r="S134" s="166">
        <v>76.525302999999994</v>
      </c>
      <c r="T134" s="166">
        <v>55.897608499999997</v>
      </c>
      <c r="U134" s="166">
        <v>41.967689</v>
      </c>
      <c r="V134" s="166">
        <v>59.118400999999999</v>
      </c>
      <c r="W134" s="166">
        <v>84.448240999999996</v>
      </c>
      <c r="X134" s="166">
        <v>93.167946499999999</v>
      </c>
      <c r="Y134" s="166">
        <v>70.060862999999998</v>
      </c>
      <c r="Z134" s="166">
        <v>89.153631000000004</v>
      </c>
    </row>
    <row r="135" spans="1:26">
      <c r="A135" s="251" t="s">
        <v>10</v>
      </c>
      <c r="B135" s="254">
        <v>19419.911213583</v>
      </c>
      <c r="C135" s="254">
        <v>20244.281193651001</v>
      </c>
      <c r="D135" s="254">
        <v>21227.083930358</v>
      </c>
      <c r="E135" s="254">
        <v>22019.077911665001</v>
      </c>
      <c r="F135" s="254">
        <v>20758.287393748</v>
      </c>
      <c r="G135" s="254">
        <v>20948.431478187998</v>
      </c>
      <c r="H135" s="254">
        <v>19656.570479492999</v>
      </c>
      <c r="I135" s="254">
        <v>19758.287670164998</v>
      </c>
      <c r="J135" s="254">
        <v>20039.046519398998</v>
      </c>
      <c r="K135" s="254">
        <v>22643.097116083001</v>
      </c>
      <c r="L135" s="254">
        <v>21712.831533680001</v>
      </c>
      <c r="M135" s="254">
        <v>20183.280323133</v>
      </c>
      <c r="N135" s="254">
        <v>20239.052988747</v>
      </c>
      <c r="O135" s="254">
        <v>19356.006068163999</v>
      </c>
      <c r="P135" s="254">
        <v>21327.671111953001</v>
      </c>
      <c r="Q135" s="254">
        <v>23200.606147907001</v>
      </c>
      <c r="R135" s="254">
        <v>20550.044760344001</v>
      </c>
      <c r="S135" s="254">
        <v>22644.361689352001</v>
      </c>
      <c r="T135" s="254">
        <v>19155.121391395998</v>
      </c>
      <c r="U135" s="254">
        <v>19678.477910207999</v>
      </c>
      <c r="V135" s="254">
        <v>21884.838442336</v>
      </c>
      <c r="W135" s="254">
        <v>23783.934456153002</v>
      </c>
      <c r="X135" s="254">
        <v>22064.428919509999</v>
      </c>
      <c r="Y135" s="254">
        <v>20456.424645520001</v>
      </c>
      <c r="Z135" s="254">
        <v>20637.941617947999</v>
      </c>
    </row>
    <row r="136" spans="1:26">
      <c r="A136" s="300" t="s">
        <v>78</v>
      </c>
      <c r="B136" s="166">
        <v>495.27555393</v>
      </c>
      <c r="C136" s="166">
        <v>450.50834118799997</v>
      </c>
      <c r="D136" s="166">
        <v>445.30388932199997</v>
      </c>
      <c r="E136" s="166">
        <v>451.57611214299999</v>
      </c>
      <c r="F136" s="166">
        <v>539.40955004399996</v>
      </c>
      <c r="G136" s="166">
        <v>576.57993595599999</v>
      </c>
      <c r="H136" s="166">
        <v>476.80578518700003</v>
      </c>
      <c r="I136" s="166">
        <v>633.36108812299994</v>
      </c>
      <c r="J136" s="166">
        <v>503.334269565</v>
      </c>
      <c r="K136" s="166">
        <v>456.98275017200001</v>
      </c>
      <c r="L136" s="166">
        <v>426.90396357600002</v>
      </c>
      <c r="M136" s="166">
        <v>423.17667913899999</v>
      </c>
      <c r="N136" s="166">
        <v>341.07852178100001</v>
      </c>
      <c r="O136" s="166">
        <v>269.729903068</v>
      </c>
      <c r="P136" s="166">
        <v>359.481327975</v>
      </c>
      <c r="Q136" s="166">
        <v>420.38307831700001</v>
      </c>
      <c r="R136" s="166">
        <v>369.20445063199998</v>
      </c>
      <c r="S136" s="166">
        <v>426.792561396</v>
      </c>
      <c r="T136" s="166">
        <v>577.09596771600002</v>
      </c>
      <c r="U136" s="166">
        <v>632.717653176</v>
      </c>
      <c r="V136" s="166">
        <v>477.09177458400001</v>
      </c>
      <c r="W136" s="166">
        <v>534.74221343099998</v>
      </c>
      <c r="X136" s="166">
        <v>575.76503984199996</v>
      </c>
      <c r="Y136" s="166">
        <v>539.29246899999998</v>
      </c>
      <c r="Z136" s="166">
        <v>445.68601117200001</v>
      </c>
    </row>
    <row r="137" spans="1:26">
      <c r="A137" s="300" t="s">
        <v>115</v>
      </c>
      <c r="B137" s="166">
        <v>-762.19082800000001</v>
      </c>
      <c r="C137" s="166">
        <v>-805.66905997599997</v>
      </c>
      <c r="D137" s="166">
        <v>-683.23638651900001</v>
      </c>
      <c r="E137" s="166">
        <v>-735.93414696499997</v>
      </c>
      <c r="F137" s="166">
        <v>-864.33438692000004</v>
      </c>
      <c r="G137" s="166">
        <v>-1060.9025367940001</v>
      </c>
      <c r="H137" s="166">
        <v>-713.74379302299997</v>
      </c>
      <c r="I137" s="166">
        <v>-968.12307493799995</v>
      </c>
      <c r="J137" s="166">
        <v>-791.00358811399997</v>
      </c>
      <c r="K137" s="166">
        <v>-645.31335691100003</v>
      </c>
      <c r="L137" s="166">
        <v>-661.36466610000002</v>
      </c>
      <c r="M137" s="166">
        <v>-701.35951179999995</v>
      </c>
      <c r="N137" s="166">
        <v>-528.09072713800003</v>
      </c>
      <c r="O137" s="166">
        <v>-419.49846351999997</v>
      </c>
      <c r="P137" s="166">
        <v>-574.54055303200005</v>
      </c>
      <c r="Q137" s="166">
        <v>-753.55384100000003</v>
      </c>
      <c r="R137" s="166">
        <v>-511.27236605600001</v>
      </c>
      <c r="S137" s="166">
        <v>-779.77098613400005</v>
      </c>
      <c r="T137" s="166">
        <v>-963.43647009699998</v>
      </c>
      <c r="U137" s="166">
        <v>-936.56374595299997</v>
      </c>
      <c r="V137" s="166">
        <v>-718.62000988199998</v>
      </c>
      <c r="W137" s="166">
        <v>-803.21347497099998</v>
      </c>
      <c r="X137" s="166">
        <v>-846.41290735999996</v>
      </c>
      <c r="Y137" s="166">
        <v>-800.84792800000002</v>
      </c>
      <c r="Z137" s="166">
        <v>-805.18894399999999</v>
      </c>
    </row>
    <row r="138" spans="1:26">
      <c r="A138" s="300" t="s">
        <v>201</v>
      </c>
      <c r="B138" s="166">
        <v>0.52287799999999995</v>
      </c>
      <c r="C138" s="166">
        <v>0.415437</v>
      </c>
      <c r="D138" s="166">
        <v>0.63727299999999998</v>
      </c>
      <c r="E138" s="166">
        <v>0.65127100000000004</v>
      </c>
      <c r="F138" s="166">
        <v>0.62482899999999997</v>
      </c>
      <c r="G138" s="166">
        <v>0.57736399999999999</v>
      </c>
      <c r="H138" s="166">
        <v>0.556307</v>
      </c>
      <c r="I138" s="166">
        <v>0.65973300000000001</v>
      </c>
      <c r="J138" s="166">
        <v>0.59671600000000002</v>
      </c>
      <c r="K138" s="166">
        <v>0.74632600000000004</v>
      </c>
      <c r="L138" s="166">
        <v>0.98375599999999996</v>
      </c>
      <c r="M138" s="166">
        <v>0.67263899999999999</v>
      </c>
      <c r="N138" s="166">
        <v>1.07081</v>
      </c>
      <c r="O138" s="166">
        <v>1.3666769999999999</v>
      </c>
      <c r="P138" s="166">
        <v>0.59266399999999997</v>
      </c>
      <c r="Q138" s="166">
        <v>0.77196299999999995</v>
      </c>
      <c r="R138" s="166">
        <v>0.50680899999999995</v>
      </c>
      <c r="S138" s="166">
        <v>0.407918</v>
      </c>
      <c r="T138" s="166">
        <v>0.44958999999999999</v>
      </c>
      <c r="U138" s="166">
        <v>0.80445</v>
      </c>
      <c r="V138" s="166">
        <v>0.72361799999999998</v>
      </c>
      <c r="W138" s="166">
        <v>0.81677200000000005</v>
      </c>
      <c r="X138" s="166">
        <v>0.27729999999999999</v>
      </c>
      <c r="Y138" s="166">
        <v>0.15621599999999999</v>
      </c>
      <c r="Z138" s="166">
        <v>0.14160600000000001</v>
      </c>
    </row>
    <row r="139" spans="1:26">
      <c r="A139" s="300" t="s">
        <v>202</v>
      </c>
      <c r="B139" s="166">
        <v>-0.64955399999999996</v>
      </c>
      <c r="C139" s="166">
        <v>-0.52608999999999995</v>
      </c>
      <c r="D139" s="166">
        <v>-0.80107099999999998</v>
      </c>
      <c r="E139" s="166">
        <v>-0.80836600000000003</v>
      </c>
      <c r="F139" s="166">
        <v>-0.78772900000000001</v>
      </c>
      <c r="G139" s="166">
        <v>-0.72209199999999996</v>
      </c>
      <c r="H139" s="166">
        <v>-0.69275299999999995</v>
      </c>
      <c r="I139" s="166">
        <v>-0.82333000000000001</v>
      </c>
      <c r="J139" s="166">
        <v>-0.75924700000000001</v>
      </c>
      <c r="K139" s="166">
        <v>-0.92569500000000005</v>
      </c>
      <c r="L139" s="166">
        <v>-1.2036789999999999</v>
      </c>
      <c r="M139" s="166">
        <v>-0.82619799999999999</v>
      </c>
      <c r="N139" s="166">
        <v>-1.287288</v>
      </c>
      <c r="O139" s="166">
        <v>-1.6128800000000001</v>
      </c>
      <c r="P139" s="166">
        <v>-0.73918799999999996</v>
      </c>
      <c r="Q139" s="166">
        <v>-0.93555100000000002</v>
      </c>
      <c r="R139" s="166">
        <v>-0.61304400000000003</v>
      </c>
      <c r="S139" s="166">
        <v>-0.51296900000000001</v>
      </c>
      <c r="T139" s="166">
        <v>-0.56382399999999999</v>
      </c>
      <c r="U139" s="166">
        <v>-0.98076099999999999</v>
      </c>
      <c r="V139" s="166">
        <v>-0.89748099999999997</v>
      </c>
      <c r="W139" s="166">
        <v>-0.99246400000000001</v>
      </c>
      <c r="X139" s="166">
        <v>-0.66012999999999999</v>
      </c>
      <c r="Y139" s="166">
        <v>-0.35147800000000001</v>
      </c>
      <c r="Z139" s="166">
        <v>-0.25456800000000002</v>
      </c>
    </row>
    <row r="140" spans="1:26">
      <c r="A140" s="300" t="s">
        <v>92</v>
      </c>
      <c r="B140" s="166">
        <v>-131.44748999999999</v>
      </c>
      <c r="C140" s="166">
        <v>-70.735690000000005</v>
      </c>
      <c r="D140" s="166">
        <v>-112.440268</v>
      </c>
      <c r="E140" s="166">
        <v>-122.760274</v>
      </c>
      <c r="F140" s="166">
        <v>-114.74408200000001</v>
      </c>
      <c r="G140" s="166">
        <v>-110.667727</v>
      </c>
      <c r="H140" s="166">
        <v>-109.36235000000001</v>
      </c>
      <c r="I140" s="166">
        <v>-117.764884</v>
      </c>
      <c r="J140" s="166">
        <v>-145.36358899999999</v>
      </c>
      <c r="K140" s="166">
        <v>-208.454387</v>
      </c>
      <c r="L140" s="166">
        <v>-187.956546</v>
      </c>
      <c r="M140" s="166">
        <v>-162.00915900000001</v>
      </c>
      <c r="N140" s="166">
        <v>-144.54443599999999</v>
      </c>
      <c r="O140" s="166">
        <v>-78.195680999999993</v>
      </c>
      <c r="P140" s="166">
        <v>-77.984769</v>
      </c>
      <c r="Q140" s="166">
        <v>-85.443509000000006</v>
      </c>
      <c r="R140" s="166">
        <v>-90.795297000000005</v>
      </c>
      <c r="S140" s="166">
        <v>-113.220591</v>
      </c>
      <c r="T140" s="166">
        <v>-85.306027</v>
      </c>
      <c r="U140" s="166">
        <v>-110.447626</v>
      </c>
      <c r="V140" s="166">
        <v>-171.035324</v>
      </c>
      <c r="W140" s="166">
        <v>-188.42781500000001</v>
      </c>
      <c r="X140" s="166">
        <v>-208.61120199999999</v>
      </c>
      <c r="Y140" s="166">
        <v>-166.21217300000001</v>
      </c>
      <c r="Z140" s="166">
        <v>-119.297056</v>
      </c>
    </row>
    <row r="141" spans="1:26">
      <c r="A141" s="300" t="s">
        <v>116</v>
      </c>
      <c r="B141" s="166">
        <v>-374.74090200000001</v>
      </c>
      <c r="C141" s="166">
        <v>-852.04289100000005</v>
      </c>
      <c r="D141" s="166">
        <v>-769.98387300000002</v>
      </c>
      <c r="E141" s="166">
        <v>-489.04781300000002</v>
      </c>
      <c r="F141" s="166">
        <v>-1120.620263</v>
      </c>
      <c r="G141" s="166">
        <v>-833.06556799999998</v>
      </c>
      <c r="H141" s="166">
        <v>-1190.9101700000001</v>
      </c>
      <c r="I141" s="166">
        <v>-992.77926600000001</v>
      </c>
      <c r="J141" s="166">
        <v>-1232.9152309999999</v>
      </c>
      <c r="K141" s="166">
        <v>-962.85409500000003</v>
      </c>
      <c r="L141" s="166">
        <v>-399.77361300000001</v>
      </c>
      <c r="M141" s="166">
        <v>-1131.7862789999999</v>
      </c>
      <c r="N141" s="166">
        <v>-889.26918699999999</v>
      </c>
      <c r="O141" s="166">
        <v>-389.55340799999999</v>
      </c>
      <c r="P141" s="166">
        <v>-594.41984200000002</v>
      </c>
      <c r="Q141" s="166">
        <v>-1098.011843</v>
      </c>
      <c r="R141" s="166">
        <v>-1182.1379099999999</v>
      </c>
      <c r="S141" s="166">
        <v>-1536.7831679999999</v>
      </c>
      <c r="T141" s="166">
        <v>-1081.116779</v>
      </c>
      <c r="U141" s="166">
        <v>-1001.584058</v>
      </c>
      <c r="V141" s="166">
        <v>-1002.527289</v>
      </c>
      <c r="W141" s="166">
        <v>-1419.665454</v>
      </c>
      <c r="X141" s="166">
        <v>-941.57377499999996</v>
      </c>
      <c r="Y141" s="166">
        <v>-676.23415</v>
      </c>
      <c r="Z141" s="166">
        <v>-1270.4236800000001</v>
      </c>
    </row>
    <row r="142" spans="1:26">
      <c r="A142" s="251" t="s">
        <v>117</v>
      </c>
      <c r="B142" s="254">
        <v>18646.680871512999</v>
      </c>
      <c r="C142" s="254">
        <v>18966.231240862999</v>
      </c>
      <c r="D142" s="254">
        <v>20106.563494161001</v>
      </c>
      <c r="E142" s="254">
        <v>21122.754694842999</v>
      </c>
      <c r="F142" s="254">
        <v>19197.835311872001</v>
      </c>
      <c r="G142" s="254">
        <v>19520.23085435</v>
      </c>
      <c r="H142" s="254">
        <v>18119.223505656999</v>
      </c>
      <c r="I142" s="254">
        <v>18312.817936349998</v>
      </c>
      <c r="J142" s="254">
        <v>18372.935849850001</v>
      </c>
      <c r="K142" s="254">
        <v>21283.278658343999</v>
      </c>
      <c r="L142" s="254">
        <v>20890.420749156001</v>
      </c>
      <c r="M142" s="254">
        <v>18611.148493471999</v>
      </c>
      <c r="N142" s="254">
        <v>19018.010682389999</v>
      </c>
      <c r="O142" s="254">
        <v>18738.242215712002</v>
      </c>
      <c r="P142" s="254">
        <v>20440.060751895999</v>
      </c>
      <c r="Q142" s="254">
        <v>21683.816445224002</v>
      </c>
      <c r="R142" s="254">
        <v>19134.937402920001</v>
      </c>
      <c r="S142" s="254">
        <v>20641.274454613998</v>
      </c>
      <c r="T142" s="254">
        <v>17602.243849015002</v>
      </c>
      <c r="U142" s="254">
        <v>18262.423822430999</v>
      </c>
      <c r="V142" s="254">
        <v>20469.573731037999</v>
      </c>
      <c r="W142" s="254">
        <v>21907.194233613001</v>
      </c>
      <c r="X142" s="254">
        <v>20643.213244991999</v>
      </c>
      <c r="Y142" s="254">
        <v>19352.22760152</v>
      </c>
      <c r="Z142" s="254">
        <v>18888.604987120001</v>
      </c>
    </row>
    <row r="143" spans="1:26">
      <c r="A143" s="300" t="s">
        <v>241</v>
      </c>
      <c r="B143" s="166">
        <v>0</v>
      </c>
      <c r="C143" s="166">
        <v>0</v>
      </c>
      <c r="D143" s="166">
        <v>0</v>
      </c>
      <c r="E143" s="166">
        <v>0</v>
      </c>
      <c r="F143" s="166">
        <v>0</v>
      </c>
      <c r="G143" s="166">
        <v>0</v>
      </c>
      <c r="H143" s="166">
        <v>0</v>
      </c>
      <c r="I143" s="166">
        <v>0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O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U143" s="166">
        <v>0</v>
      </c>
      <c r="V143" s="166">
        <v>0</v>
      </c>
      <c r="W143" s="166">
        <v>1.2298450000000001</v>
      </c>
      <c r="X143" s="166">
        <v>1.029412</v>
      </c>
      <c r="Y143" s="166">
        <v>3.2232080000000001</v>
      </c>
      <c r="Z143" s="166">
        <v>0.90968000000000004</v>
      </c>
    </row>
    <row r="144" spans="1:26" s="173" customFormat="1">
      <c r="A144" s="179" t="s">
        <v>28</v>
      </c>
      <c r="B144" s="179" t="str">
        <f>MID(UPPER(TEXT(B145,"mmm")),1,1)</f>
        <v>O</v>
      </c>
      <c r="C144" s="179" t="str">
        <f t="shared" ref="C144:N144" si="6">MID(UPPER(TEXT(C145,"mmm")),1,1)</f>
        <v>N</v>
      </c>
      <c r="D144" s="179" t="str">
        <f t="shared" si="6"/>
        <v>D</v>
      </c>
      <c r="E144" s="179" t="str">
        <f t="shared" si="6"/>
        <v>E</v>
      </c>
      <c r="F144" s="179" t="str">
        <f t="shared" si="6"/>
        <v>F</v>
      </c>
      <c r="G144" s="179" t="str">
        <f t="shared" si="6"/>
        <v>M</v>
      </c>
      <c r="H144" s="179" t="str">
        <f t="shared" si="6"/>
        <v>A</v>
      </c>
      <c r="I144" s="179" t="str">
        <f t="shared" si="6"/>
        <v>M</v>
      </c>
      <c r="J144" s="179" t="str">
        <f t="shared" si="6"/>
        <v>J</v>
      </c>
      <c r="K144" s="179" t="str">
        <f t="shared" si="6"/>
        <v>J</v>
      </c>
      <c r="L144" s="179" t="str">
        <f t="shared" si="6"/>
        <v>A</v>
      </c>
      <c r="M144" s="179" t="str">
        <f t="shared" si="6"/>
        <v>S</v>
      </c>
      <c r="N144" s="179" t="str">
        <f t="shared" si="6"/>
        <v>O</v>
      </c>
      <c r="O144"/>
      <c r="P144"/>
      <c r="Q144"/>
      <c r="R144"/>
      <c r="S144"/>
      <c r="T144"/>
      <c r="U144"/>
      <c r="V144"/>
      <c r="W144"/>
      <c r="X144"/>
      <c r="Y144"/>
      <c r="Z144"/>
    </row>
    <row r="145" spans="1:15" s="173" customFormat="1" ht="12">
      <c r="A145" s="179" t="s">
        <v>106</v>
      </c>
      <c r="B145" s="179" t="str">
        <f>TEXT(EDATE(C145,-1),"mmmm aaaa")</f>
        <v>octubre 2024</v>
      </c>
      <c r="C145" s="179" t="str">
        <f t="shared" ref="C145:M145" si="7">TEXT(EDATE(D145,-1),"mmmm aaaa")</f>
        <v>noviembre 2024</v>
      </c>
      <c r="D145" s="179" t="str">
        <f t="shared" si="7"/>
        <v>diciembre 2024</v>
      </c>
      <c r="E145" s="179" t="str">
        <f t="shared" si="7"/>
        <v>enero 2025</v>
      </c>
      <c r="F145" s="179" t="str">
        <f t="shared" si="7"/>
        <v>febrero 2025</v>
      </c>
      <c r="G145" s="179" t="str">
        <f t="shared" si="7"/>
        <v>marzo 2025</v>
      </c>
      <c r="H145" s="179" t="str">
        <f t="shared" si="7"/>
        <v>abril 2025</v>
      </c>
      <c r="I145" s="179" t="str">
        <f t="shared" si="7"/>
        <v>mayo 2025</v>
      </c>
      <c r="J145" s="179" t="str">
        <f t="shared" si="7"/>
        <v>junio 2025</v>
      </c>
      <c r="K145" s="179" t="str">
        <f t="shared" si="7"/>
        <v>julio 2025</v>
      </c>
      <c r="L145" s="179" t="str">
        <f t="shared" si="7"/>
        <v>agosto 2025</v>
      </c>
      <c r="M145" s="179" t="str">
        <f t="shared" si="7"/>
        <v>septiembre 2025</v>
      </c>
      <c r="N145" s="179" t="str">
        <f>A2</f>
        <v>Octubre 2025</v>
      </c>
    </row>
    <row r="146" spans="1:15" s="176" customFormat="1" ht="12">
      <c r="A146" s="174" t="s">
        <v>2</v>
      </c>
      <c r="B146" s="175">
        <f>HLOOKUP(B$145,$120:$142,3,FALSE)</f>
        <v>2894.8507707469998</v>
      </c>
      <c r="C146" s="175">
        <f t="shared" ref="C146:N146" si="8">HLOOKUP(C$145,$120:$142,3,FALSE)</f>
        <v>2726.4816031639998</v>
      </c>
      <c r="D146" s="175">
        <f t="shared" si="8"/>
        <v>2467.4840409530002</v>
      </c>
      <c r="E146" s="175">
        <f t="shared" si="8"/>
        <v>3124.3219639069998</v>
      </c>
      <c r="F146" s="175">
        <f t="shared" si="8"/>
        <v>4134.3578483439996</v>
      </c>
      <c r="G146" s="175">
        <f t="shared" si="8"/>
        <v>4148.5503963519996</v>
      </c>
      <c r="H146" s="175">
        <f t="shared" si="8"/>
        <v>3938.8483733960002</v>
      </c>
      <c r="I146" s="175">
        <f t="shared" si="8"/>
        <v>3578.0521202079999</v>
      </c>
      <c r="J146" s="175">
        <f t="shared" si="8"/>
        <v>2404.3850213360001</v>
      </c>
      <c r="K146" s="175">
        <f t="shared" si="8"/>
        <v>1895.084100153</v>
      </c>
      <c r="L146" s="175">
        <f t="shared" si="8"/>
        <v>1781.8070495100001</v>
      </c>
      <c r="M146" s="175">
        <f t="shared" si="8"/>
        <v>1598.9966885199999</v>
      </c>
      <c r="N146" s="175">
        <f t="shared" si="8"/>
        <v>1776.331467948</v>
      </c>
    </row>
    <row r="147" spans="1:15" s="176" customFormat="1" ht="12">
      <c r="A147" s="174" t="s">
        <v>3</v>
      </c>
      <c r="B147" s="175">
        <f>HLOOKUP(B$145,$120:$142,4,FALSE)</f>
        <v>4636.1565559999999</v>
      </c>
      <c r="C147" s="175">
        <f t="shared" ref="C147:N147" si="9">HLOOKUP(C$145,$120:$142,4,FALSE)</f>
        <v>3631.6146010000002</v>
      </c>
      <c r="D147" s="175">
        <f t="shared" si="9"/>
        <v>4248.0893850000002</v>
      </c>
      <c r="E147" s="175">
        <f t="shared" si="9"/>
        <v>5226.0164349999995</v>
      </c>
      <c r="F147" s="175">
        <f t="shared" si="9"/>
        <v>4737.4506929999998</v>
      </c>
      <c r="G147" s="175">
        <f t="shared" si="9"/>
        <v>4877.9919600000003</v>
      </c>
      <c r="H147" s="175">
        <f t="shared" si="9"/>
        <v>2951.0691240000001</v>
      </c>
      <c r="I147" s="175">
        <f t="shared" si="9"/>
        <v>3062.4801870000001</v>
      </c>
      <c r="J147" s="175">
        <f t="shared" si="9"/>
        <v>4096.3802539999997</v>
      </c>
      <c r="K147" s="175">
        <f t="shared" si="9"/>
        <v>5059.0227649999997</v>
      </c>
      <c r="L147" s="175">
        <f t="shared" si="9"/>
        <v>5094.8395760000003</v>
      </c>
      <c r="M147" s="175">
        <f t="shared" si="9"/>
        <v>4538.2160970000004</v>
      </c>
      <c r="N147" s="175">
        <f t="shared" si="9"/>
        <v>3695.4009620000002</v>
      </c>
    </row>
    <row r="148" spans="1:15" s="176" customFormat="1" ht="12">
      <c r="A148" s="174" t="s">
        <v>4</v>
      </c>
      <c r="B148" s="175">
        <f>HLOOKUP(B$145,$120:$142,5,FALSE)</f>
        <v>310.38593600000002</v>
      </c>
      <c r="C148" s="175">
        <f t="shared" ref="C148:N148" si="10">HLOOKUP(C$145,$120:$142,5,FALSE)</f>
        <v>288.07616899999999</v>
      </c>
      <c r="D148" s="175">
        <f t="shared" si="10"/>
        <v>315.08651700000001</v>
      </c>
      <c r="E148" s="175">
        <f t="shared" si="10"/>
        <v>297.46981799999998</v>
      </c>
      <c r="F148" s="175">
        <f t="shared" si="10"/>
        <v>278.05515800000001</v>
      </c>
      <c r="G148" s="175">
        <f t="shared" si="10"/>
        <v>190.53958</v>
      </c>
      <c r="H148" s="175">
        <f t="shared" si="10"/>
        <v>169.82641100000001</v>
      </c>
      <c r="I148" s="175">
        <f t="shared" si="10"/>
        <v>143.526748</v>
      </c>
      <c r="J148" s="175">
        <f t="shared" si="10"/>
        <v>154.141783</v>
      </c>
      <c r="K148" s="175">
        <f t="shared" si="10"/>
        <v>105.938849</v>
      </c>
      <c r="L148" s="175">
        <f t="shared" si="10"/>
        <v>1.1E-4</v>
      </c>
      <c r="M148" s="175">
        <f t="shared" si="10"/>
        <v>7.238918</v>
      </c>
      <c r="N148" s="175">
        <f t="shared" si="10"/>
        <v>19.604610000000001</v>
      </c>
    </row>
    <row r="149" spans="1:15" s="176" customFormat="1" ht="12">
      <c r="A149" s="174" t="s">
        <v>135</v>
      </c>
      <c r="B149" s="175">
        <f>HLOOKUP(B$145,$120:$142,6,FALSE)</f>
        <v>0</v>
      </c>
      <c r="C149" s="175">
        <f t="shared" ref="C149:N149" si="11">HLOOKUP(C$145,$120:$142,6,FALSE)</f>
        <v>0</v>
      </c>
      <c r="D149" s="175">
        <f t="shared" si="11"/>
        <v>0</v>
      </c>
      <c r="E149" s="175">
        <f t="shared" si="11"/>
        <v>0</v>
      </c>
      <c r="F149" s="175">
        <f t="shared" si="11"/>
        <v>0</v>
      </c>
      <c r="G149" s="175">
        <f t="shared" si="11"/>
        <v>0</v>
      </c>
      <c r="H149" s="175">
        <f t="shared" si="11"/>
        <v>0</v>
      </c>
      <c r="I149" s="175">
        <f t="shared" si="11"/>
        <v>0</v>
      </c>
      <c r="J149" s="175">
        <f t="shared" si="11"/>
        <v>0</v>
      </c>
      <c r="K149" s="175">
        <f t="shared" si="11"/>
        <v>108.616974</v>
      </c>
      <c r="L149" s="175">
        <f t="shared" si="11"/>
        <v>164.26569699999999</v>
      </c>
      <c r="M149" s="175">
        <f t="shared" si="11"/>
        <v>185.05953700000001</v>
      </c>
      <c r="N149" s="175">
        <f t="shared" si="11"/>
        <v>208.33896799999999</v>
      </c>
    </row>
    <row r="150" spans="1:15" s="176" customFormat="1" ht="12">
      <c r="A150" s="174" t="s">
        <v>11</v>
      </c>
      <c r="B150" s="175">
        <f>HLOOKUP(B$145,$120:$142,8,FALSE)</f>
        <v>2264.896299</v>
      </c>
      <c r="C150" s="175">
        <f t="shared" ref="C150:N150" si="12">HLOOKUP(C$145,$120:$142,8,FALSE)</f>
        <v>3505.494428</v>
      </c>
      <c r="D150" s="175">
        <f t="shared" si="12"/>
        <v>4516.264698</v>
      </c>
      <c r="E150" s="175">
        <f t="shared" si="12"/>
        <v>2796.3871949999998</v>
      </c>
      <c r="F150" s="175">
        <f t="shared" si="12"/>
        <v>2601.0313259999998</v>
      </c>
      <c r="G150" s="175">
        <f t="shared" si="12"/>
        <v>1974.6932220000001</v>
      </c>
      <c r="H150" s="175">
        <f t="shared" si="12"/>
        <v>2023.7233229999999</v>
      </c>
      <c r="I150" s="175">
        <f t="shared" si="12"/>
        <v>2692.3510759999999</v>
      </c>
      <c r="J150" s="175">
        <f t="shared" si="12"/>
        <v>3980.7121860000002</v>
      </c>
      <c r="K150" s="175">
        <f t="shared" si="12"/>
        <v>3578.6064449999999</v>
      </c>
      <c r="L150" s="175">
        <f t="shared" si="12"/>
        <v>3538.346309</v>
      </c>
      <c r="M150" s="175">
        <f t="shared" si="12"/>
        <v>3151.5799659999998</v>
      </c>
      <c r="N150" s="175">
        <f t="shared" si="12"/>
        <v>4520.0373680000002</v>
      </c>
    </row>
    <row r="151" spans="1:15" s="176" customFormat="1" ht="12">
      <c r="A151" s="174" t="s">
        <v>5</v>
      </c>
      <c r="B151" s="175">
        <f>HLOOKUP(B$145,$120:$142,9,FALSE)</f>
        <v>5579.7968899999996</v>
      </c>
      <c r="C151" s="175">
        <f t="shared" ref="C151:N151" si="13">HLOOKUP(C$145,$120:$142,9,FALSE)</f>
        <v>4804.3846350000003</v>
      </c>
      <c r="D151" s="175">
        <f t="shared" si="13"/>
        <v>5200.0371130000003</v>
      </c>
      <c r="E151" s="175">
        <f t="shared" si="13"/>
        <v>7495.0434329999998</v>
      </c>
      <c r="F151" s="175">
        <f t="shared" si="13"/>
        <v>3639.9523490000001</v>
      </c>
      <c r="G151" s="175">
        <f t="shared" si="13"/>
        <v>6673.3156280000003</v>
      </c>
      <c r="H151" s="175">
        <f t="shared" si="13"/>
        <v>4252.7989029999999</v>
      </c>
      <c r="I151" s="175">
        <f t="shared" si="13"/>
        <v>3376.1924180000001</v>
      </c>
      <c r="J151" s="175">
        <f t="shared" si="13"/>
        <v>3076.0234719999999</v>
      </c>
      <c r="K151" s="175">
        <f t="shared" si="13"/>
        <v>4418.4357190000001</v>
      </c>
      <c r="L151" s="175">
        <f t="shared" si="13"/>
        <v>3597.9840709999999</v>
      </c>
      <c r="M151" s="175">
        <f t="shared" si="13"/>
        <v>3943.7562480000001</v>
      </c>
      <c r="N151" s="175">
        <f t="shared" si="13"/>
        <v>4353.2171049999997</v>
      </c>
    </row>
    <row r="152" spans="1:15" s="176" customFormat="1" ht="12">
      <c r="A152" s="174" t="s">
        <v>6</v>
      </c>
      <c r="B152" s="175">
        <f>HLOOKUP(B$145,$120:$142,10,FALSE)</f>
        <v>2723.045987</v>
      </c>
      <c r="C152" s="175">
        <f t="shared" ref="C152:N152" si="14">HLOOKUP(C$145,$120:$142,10,FALSE)</f>
        <v>2273.7718799999998</v>
      </c>
      <c r="D152" s="175">
        <f t="shared" si="14"/>
        <v>2442.9158069999999</v>
      </c>
      <c r="E152" s="175">
        <f t="shared" si="14"/>
        <v>2257.1212780000001</v>
      </c>
      <c r="F152" s="175">
        <f t="shared" si="14"/>
        <v>3139.9958980000001</v>
      </c>
      <c r="G152" s="175">
        <f t="shared" si="14"/>
        <v>3025.1360789999999</v>
      </c>
      <c r="H152" s="175">
        <f t="shared" si="14"/>
        <v>3984.3931889999999</v>
      </c>
      <c r="I152" s="175">
        <f t="shared" si="14"/>
        <v>4777.3132009999999</v>
      </c>
      <c r="J152" s="175">
        <f t="shared" si="14"/>
        <v>5924.1727069999997</v>
      </c>
      <c r="K152" s="175">
        <f t="shared" si="14"/>
        <v>6171.5286560000004</v>
      </c>
      <c r="L152" s="175">
        <f t="shared" si="14"/>
        <v>5702.7467219999999</v>
      </c>
      <c r="M152" s="175">
        <f t="shared" si="14"/>
        <v>4940.730012</v>
      </c>
      <c r="N152" s="175">
        <f t="shared" si="14"/>
        <v>3991.8868107070002</v>
      </c>
    </row>
    <row r="153" spans="1:15" s="176" customFormat="1" ht="12">
      <c r="A153" s="174" t="s">
        <v>7</v>
      </c>
      <c r="B153" s="175">
        <f>HLOOKUP(B$145,$120:$142,11,FALSE)</f>
        <v>153.79677899999999</v>
      </c>
      <c r="C153" s="175">
        <f t="shared" ref="C153:N153" si="15">HLOOKUP(C$145,$120:$142,11,FALSE)</f>
        <v>97.190021999999999</v>
      </c>
      <c r="D153" s="175">
        <f t="shared" si="15"/>
        <v>110.530322</v>
      </c>
      <c r="E153" s="175">
        <f t="shared" si="15"/>
        <v>88.888022000000007</v>
      </c>
      <c r="F153" s="175">
        <f t="shared" si="15"/>
        <v>174.04370499999999</v>
      </c>
      <c r="G153" s="175">
        <f t="shared" si="15"/>
        <v>187.20863</v>
      </c>
      <c r="H153" s="175">
        <f t="shared" si="15"/>
        <v>310.83838200000002</v>
      </c>
      <c r="I153" s="175">
        <f t="shared" si="15"/>
        <v>493.82251400000001</v>
      </c>
      <c r="J153" s="175">
        <f t="shared" si="15"/>
        <v>486.22661499999998</v>
      </c>
      <c r="K153" s="175">
        <f t="shared" si="15"/>
        <v>660.85651299999995</v>
      </c>
      <c r="L153" s="175">
        <f t="shared" si="15"/>
        <v>488.094492</v>
      </c>
      <c r="M153" s="175">
        <f t="shared" si="15"/>
        <v>396.08211</v>
      </c>
      <c r="N153" s="175">
        <f t="shared" si="15"/>
        <v>246.37948529299999</v>
      </c>
    </row>
    <row r="154" spans="1:15" s="176" customFormat="1" ht="12">
      <c r="A154" s="174" t="s">
        <v>8</v>
      </c>
      <c r="B154" s="175">
        <f>HLOOKUP(B$145,$120:$142,12,FALSE)</f>
        <v>275.04172199999999</v>
      </c>
      <c r="C154" s="175">
        <f t="shared" ref="C154:N154" si="16">HLOOKUP(C$145,$120:$142,12,FALSE)</f>
        <v>305.056352</v>
      </c>
      <c r="D154" s="175">
        <f t="shared" si="16"/>
        <v>341.07748299999997</v>
      </c>
      <c r="E154" s="175">
        <f t="shared" si="16"/>
        <v>339.19863400000003</v>
      </c>
      <c r="F154" s="175">
        <f t="shared" si="16"/>
        <v>328.25216599999999</v>
      </c>
      <c r="G154" s="175">
        <f t="shared" si="16"/>
        <v>285.81477899999999</v>
      </c>
      <c r="H154" s="175">
        <f t="shared" si="16"/>
        <v>295.24856199999999</v>
      </c>
      <c r="I154" s="175">
        <f t="shared" si="16"/>
        <v>324.89031499999999</v>
      </c>
      <c r="J154" s="175">
        <f t="shared" si="16"/>
        <v>314.31538799999998</v>
      </c>
      <c r="K154" s="175">
        <f t="shared" si="16"/>
        <v>349.97779200000002</v>
      </c>
      <c r="L154" s="175">
        <f t="shared" si="16"/>
        <v>335.55956400000002</v>
      </c>
      <c r="M154" s="175">
        <f t="shared" si="16"/>
        <v>330.87406099999998</v>
      </c>
      <c r="N154" s="175">
        <f t="shared" si="16"/>
        <v>328.82446499999998</v>
      </c>
    </row>
    <row r="155" spans="1:15" s="176" customFormat="1" ht="12">
      <c r="A155" s="174" t="s">
        <v>9</v>
      </c>
      <c r="B155" s="175">
        <f>HLOOKUP(B$145,$120:$142,13,FALSE)</f>
        <v>1224.0637610000001</v>
      </c>
      <c r="C155" s="175">
        <f t="shared" ref="C155:N155" si="17">HLOOKUP(C$145,$120:$142,13,FALSE)</f>
        <v>1543.21272</v>
      </c>
      <c r="D155" s="175">
        <f t="shared" si="17"/>
        <v>1506.8375820000001</v>
      </c>
      <c r="E155" s="175">
        <f t="shared" si="17"/>
        <v>1428.380842</v>
      </c>
      <c r="F155" s="175">
        <f t="shared" si="17"/>
        <v>1374.1310619999999</v>
      </c>
      <c r="G155" s="175">
        <f t="shared" si="17"/>
        <v>1152.9488690000001</v>
      </c>
      <c r="H155" s="175">
        <f t="shared" si="17"/>
        <v>1135.3294229999999</v>
      </c>
      <c r="I155" s="175">
        <f t="shared" si="17"/>
        <v>1158.4630870000001</v>
      </c>
      <c r="J155" s="175">
        <f t="shared" si="17"/>
        <v>1365.643943</v>
      </c>
      <c r="K155" s="175">
        <f t="shared" si="17"/>
        <v>1299.381529</v>
      </c>
      <c r="L155" s="175">
        <f t="shared" si="17"/>
        <v>1208.5679929999999</v>
      </c>
      <c r="M155" s="175">
        <f t="shared" si="17"/>
        <v>1248.618485</v>
      </c>
      <c r="N155" s="175">
        <f t="shared" si="17"/>
        <v>1356.977001</v>
      </c>
    </row>
    <row r="156" spans="1:15" s="176" customFormat="1" ht="12">
      <c r="A156" s="174" t="s">
        <v>67</v>
      </c>
      <c r="B156" s="175">
        <f>HLOOKUP(B$145,$120:$142,15,FALSE)</f>
        <v>120.82929900000001</v>
      </c>
      <c r="C156" s="175">
        <f t="shared" ref="C156:N156" si="18">HLOOKUP(C$145,$120:$142,15,FALSE)</f>
        <v>115.758396</v>
      </c>
      <c r="D156" s="175">
        <f t="shared" si="18"/>
        <v>111.3057175</v>
      </c>
      <c r="E156" s="175">
        <f t="shared" si="18"/>
        <v>91.833926500000004</v>
      </c>
      <c r="F156" s="175">
        <f t="shared" si="18"/>
        <v>88.809291999999999</v>
      </c>
      <c r="G156" s="175">
        <f t="shared" si="18"/>
        <v>76.525302999999994</v>
      </c>
      <c r="H156" s="175">
        <f t="shared" si="18"/>
        <v>55.897608499999997</v>
      </c>
      <c r="I156" s="175">
        <f t="shared" si="18"/>
        <v>41.967689</v>
      </c>
      <c r="J156" s="175">
        <f t="shared" si="18"/>
        <v>59.118400999999999</v>
      </c>
      <c r="K156" s="175">
        <f t="shared" si="18"/>
        <v>84.448240999999996</v>
      </c>
      <c r="L156" s="175">
        <f t="shared" si="18"/>
        <v>93.167946499999999</v>
      </c>
      <c r="M156" s="175">
        <f t="shared" si="18"/>
        <v>70.060862999999998</v>
      </c>
      <c r="N156" s="175">
        <f t="shared" si="18"/>
        <v>89.153631000000004</v>
      </c>
    </row>
    <row r="157" spans="1:15" s="176" customFormat="1" ht="12">
      <c r="A157" s="174" t="s">
        <v>66</v>
      </c>
      <c r="B157" s="175">
        <f>HLOOKUP(B$145,$120:$142,14,FALSE)</f>
        <v>56.188988999999999</v>
      </c>
      <c r="C157" s="175">
        <f t="shared" ref="C157:N157" si="19">HLOOKUP(C$145,$120:$142,14,FALSE)</f>
        <v>64.965261999999996</v>
      </c>
      <c r="D157" s="175">
        <f t="shared" si="19"/>
        <v>68.042446499999997</v>
      </c>
      <c r="E157" s="175">
        <f t="shared" si="19"/>
        <v>55.9446005</v>
      </c>
      <c r="F157" s="175">
        <f t="shared" si="19"/>
        <v>53.965263</v>
      </c>
      <c r="G157" s="175">
        <f t="shared" si="19"/>
        <v>51.637242999999998</v>
      </c>
      <c r="H157" s="175">
        <f t="shared" si="19"/>
        <v>37.148092499999997</v>
      </c>
      <c r="I157" s="175">
        <f t="shared" si="19"/>
        <v>29.418555000000001</v>
      </c>
      <c r="J157" s="175">
        <f t="shared" si="19"/>
        <v>23.718672000000002</v>
      </c>
      <c r="K157" s="175">
        <f t="shared" si="19"/>
        <v>52.036873</v>
      </c>
      <c r="L157" s="175">
        <f t="shared" si="19"/>
        <v>59.049389499999997</v>
      </c>
      <c r="M157" s="175">
        <f t="shared" si="19"/>
        <v>45.211658999999997</v>
      </c>
      <c r="N157" s="175">
        <f t="shared" si="19"/>
        <v>51.785544000000002</v>
      </c>
    </row>
    <row r="158" spans="1:15" s="176" customFormat="1" ht="12">
      <c r="A158" s="177" t="s">
        <v>91</v>
      </c>
      <c r="B158" s="178">
        <f>SUM(B146:B157)</f>
        <v>20239.052988747</v>
      </c>
      <c r="C158" s="178">
        <f t="shared" ref="C158:N158" si="20">SUM(C146:C157)</f>
        <v>19356.006068163999</v>
      </c>
      <c r="D158" s="178">
        <f t="shared" si="20"/>
        <v>21327.671111953001</v>
      </c>
      <c r="E158" s="178">
        <f t="shared" si="20"/>
        <v>23200.606147906994</v>
      </c>
      <c r="F158" s="178">
        <f t="shared" si="20"/>
        <v>20550.044760343997</v>
      </c>
      <c r="G158" s="178">
        <f t="shared" si="20"/>
        <v>22644.361689352001</v>
      </c>
      <c r="H158" s="178">
        <f t="shared" si="20"/>
        <v>19155.121391395998</v>
      </c>
      <c r="I158" s="178">
        <f t="shared" si="20"/>
        <v>19678.477910208003</v>
      </c>
      <c r="J158" s="178">
        <f t="shared" si="20"/>
        <v>21884.838442335993</v>
      </c>
      <c r="K158" s="178">
        <f t="shared" si="20"/>
        <v>23783.934456152994</v>
      </c>
      <c r="L158" s="178">
        <f t="shared" si="20"/>
        <v>22064.428919510003</v>
      </c>
      <c r="M158" s="178">
        <f t="shared" si="20"/>
        <v>20456.424644519997</v>
      </c>
      <c r="N158" s="178">
        <f t="shared" si="20"/>
        <v>20637.937417948004</v>
      </c>
    </row>
    <row r="160" spans="1:15" s="176" customFormat="1" ht="12">
      <c r="A160" s="180" t="s">
        <v>108</v>
      </c>
      <c r="B160" s="191">
        <f>B146+B151+B152+B153+B154+B157</f>
        <v>11682.721137746999</v>
      </c>
      <c r="C160" s="191">
        <f t="shared" ref="C160:N160" si="21">C146+C151+C152+C153+C154+C157</f>
        <v>10271.849754164001</v>
      </c>
      <c r="D160" s="191">
        <f t="shared" si="21"/>
        <v>10630.087212453</v>
      </c>
      <c r="E160" s="191">
        <f t="shared" si="21"/>
        <v>13360.517931407001</v>
      </c>
      <c r="F160" s="191">
        <f t="shared" si="21"/>
        <v>11470.567229344</v>
      </c>
      <c r="G160" s="191">
        <f t="shared" si="21"/>
        <v>14371.662755351997</v>
      </c>
      <c r="H160" s="191">
        <f t="shared" si="21"/>
        <v>12819.275501896</v>
      </c>
      <c r="I160" s="191">
        <f t="shared" si="21"/>
        <v>12579.689123208002</v>
      </c>
      <c r="J160" s="191">
        <f t="shared" si="21"/>
        <v>12228.841875336</v>
      </c>
      <c r="K160" s="191">
        <f t="shared" si="21"/>
        <v>13547.919653153</v>
      </c>
      <c r="L160" s="191">
        <f t="shared" si="21"/>
        <v>11965.241288009998</v>
      </c>
      <c r="M160" s="191">
        <f t="shared" si="21"/>
        <v>11255.650778519999</v>
      </c>
      <c r="N160" s="191">
        <f t="shared" si="21"/>
        <v>10748.424877948</v>
      </c>
      <c r="O160" s="209">
        <f>((N160/B160)-1)*100</f>
        <v>-7.9972486613609011</v>
      </c>
    </row>
    <row r="161" spans="1:15" s="176" customFormat="1" ht="12">
      <c r="A161" s="180" t="s">
        <v>109</v>
      </c>
      <c r="B161" s="191">
        <f>B147+B148+B149+B150+B155+B156</f>
        <v>8556.3318510000008</v>
      </c>
      <c r="C161" s="191">
        <f t="shared" ref="C161:N161" si="22">C147+C148+C149+C150+C155+C156</f>
        <v>9084.1563139999998</v>
      </c>
      <c r="D161" s="191">
        <f t="shared" si="22"/>
        <v>10697.583899499999</v>
      </c>
      <c r="E161" s="191">
        <f t="shared" si="22"/>
        <v>9840.0882164999985</v>
      </c>
      <c r="F161" s="191">
        <f t="shared" si="22"/>
        <v>9079.4775310000005</v>
      </c>
      <c r="G161" s="191">
        <f t="shared" si="22"/>
        <v>8272.698934</v>
      </c>
      <c r="H161" s="191">
        <f t="shared" si="22"/>
        <v>6335.8458895000003</v>
      </c>
      <c r="I161" s="191">
        <f t="shared" si="22"/>
        <v>7098.7887870000004</v>
      </c>
      <c r="J161" s="191">
        <f t="shared" si="22"/>
        <v>9655.9965669999983</v>
      </c>
      <c r="K161" s="191">
        <f t="shared" si="22"/>
        <v>10236.014803</v>
      </c>
      <c r="L161" s="191">
        <f t="shared" si="22"/>
        <v>10099.187631500001</v>
      </c>
      <c r="M161" s="191">
        <f t="shared" si="22"/>
        <v>9200.7738660000014</v>
      </c>
      <c r="N161" s="191">
        <f t="shared" si="22"/>
        <v>9889.5125399999979</v>
      </c>
    </row>
    <row r="162" spans="1:15" s="176" customFormat="1" ht="12">
      <c r="A162" s="180" t="s">
        <v>110</v>
      </c>
      <c r="B162" s="181">
        <f>B160/B158*100</f>
        <v>57.723655075376513</v>
      </c>
      <c r="C162" s="181">
        <f t="shared" ref="C162:N162" si="23">C160/C158*100</f>
        <v>53.068023010484268</v>
      </c>
      <c r="D162" s="181">
        <f t="shared" si="23"/>
        <v>49.841762640907447</v>
      </c>
      <c r="E162" s="181">
        <f t="shared" si="23"/>
        <v>57.586934781927233</v>
      </c>
      <c r="F162" s="181">
        <f t="shared" si="23"/>
        <v>55.817723820626796</v>
      </c>
      <c r="G162" s="181">
        <f t="shared" si="23"/>
        <v>63.466848624441226</v>
      </c>
      <c r="H162" s="181">
        <f t="shared" si="23"/>
        <v>66.923488710722026</v>
      </c>
      <c r="I162" s="181">
        <f t="shared" si="23"/>
        <v>63.926128741300772</v>
      </c>
      <c r="J162" s="181">
        <f t="shared" si="23"/>
        <v>55.878145536955081</v>
      </c>
      <c r="K162" s="181">
        <f t="shared" si="23"/>
        <v>56.962483133853837</v>
      </c>
      <c r="L162" s="181">
        <f t="shared" si="23"/>
        <v>54.228647075610404</v>
      </c>
      <c r="M162" s="181">
        <f t="shared" si="23"/>
        <v>55.022571021643493</v>
      </c>
      <c r="N162" s="181">
        <f t="shared" si="23"/>
        <v>52.080906440778897</v>
      </c>
      <c r="O162" s="209">
        <f>N162-B162</f>
        <v>-5.6427486345976163</v>
      </c>
    </row>
    <row r="163" spans="1:15" s="176" customFormat="1" ht="12">
      <c r="A163" s="180" t="s">
        <v>111</v>
      </c>
      <c r="B163" s="181">
        <f>B161/B158*100</f>
        <v>42.276344924623487</v>
      </c>
      <c r="C163" s="181">
        <f t="shared" ref="C163:N163" si="24">C161/C158*100</f>
        <v>46.931976989515753</v>
      </c>
      <c r="D163" s="181">
        <f t="shared" si="24"/>
        <v>50.158237359092553</v>
      </c>
      <c r="E163" s="181">
        <f t="shared" si="24"/>
        <v>42.413065218072788</v>
      </c>
      <c r="F163" s="181">
        <f t="shared" si="24"/>
        <v>44.182276179373218</v>
      </c>
      <c r="G163" s="181">
        <f t="shared" si="24"/>
        <v>36.533151375558752</v>
      </c>
      <c r="H163" s="181">
        <f t="shared" si="24"/>
        <v>33.076511289277988</v>
      </c>
      <c r="I163" s="181">
        <f t="shared" si="24"/>
        <v>36.073871258699228</v>
      </c>
      <c r="J163" s="181">
        <f t="shared" si="24"/>
        <v>44.12185446304494</v>
      </c>
      <c r="K163" s="181">
        <f t="shared" si="24"/>
        <v>43.037516866146191</v>
      </c>
      <c r="L163" s="181">
        <f t="shared" si="24"/>
        <v>45.771352924389575</v>
      </c>
      <c r="M163" s="181">
        <f t="shared" si="24"/>
        <v>44.977428978356514</v>
      </c>
      <c r="N163" s="181">
        <f t="shared" si="24"/>
        <v>47.919093559221075</v>
      </c>
    </row>
    <row r="164" spans="1:15" s="176" customFormat="1" ht="12">
      <c r="A164" s="180"/>
      <c r="B164" s="180"/>
    </row>
    <row r="165" spans="1:15" s="176" customFormat="1" ht="12">
      <c r="A165" s="180" t="s">
        <v>81</v>
      </c>
      <c r="B165" s="180"/>
      <c r="N165" s="209"/>
    </row>
    <row r="166" spans="1:15" s="176" customFormat="1" ht="12">
      <c r="A166" s="180" t="s">
        <v>232</v>
      </c>
      <c r="B166" s="180"/>
    </row>
    <row r="168" spans="1:15" s="176" customFormat="1" ht="12">
      <c r="A168" s="180" t="s">
        <v>19</v>
      </c>
      <c r="B168" s="175">
        <f>B146+B147+B151+B152+B153+B154+B157</f>
        <v>16318.877693746999</v>
      </c>
      <c r="C168" s="175">
        <f t="shared" ref="C168:N168" si="25">C146+C147+C151+C152+C153+C154+C157</f>
        <v>13903.464355164</v>
      </c>
      <c r="D168" s="175">
        <f t="shared" si="25"/>
        <v>14878.176597452999</v>
      </c>
      <c r="E168" s="175">
        <f t="shared" si="25"/>
        <v>18586.534366406995</v>
      </c>
      <c r="F168" s="175">
        <f t="shared" si="25"/>
        <v>16208.017922343999</v>
      </c>
      <c r="G168" s="175">
        <f t="shared" si="25"/>
        <v>19249.654715352004</v>
      </c>
      <c r="H168" s="175">
        <f t="shared" si="25"/>
        <v>15770.344625895999</v>
      </c>
      <c r="I168" s="175">
        <f t="shared" si="25"/>
        <v>15642.169310207999</v>
      </c>
      <c r="J168" s="175">
        <f t="shared" si="25"/>
        <v>16325.222129336</v>
      </c>
      <c r="K168" s="175">
        <f t="shared" si="25"/>
        <v>18606.942418153001</v>
      </c>
      <c r="L168" s="175">
        <f t="shared" si="25"/>
        <v>17060.08086401</v>
      </c>
      <c r="M168" s="175">
        <f t="shared" si="25"/>
        <v>15793.866875520001</v>
      </c>
      <c r="N168" s="175">
        <f t="shared" si="25"/>
        <v>14443.825839948</v>
      </c>
    </row>
    <row r="169" spans="1:15" s="176" customFormat="1" ht="12">
      <c r="A169" s="180" t="s">
        <v>20</v>
      </c>
      <c r="B169" s="175">
        <f>B148+B149+B150+B155+B156</f>
        <v>3920.175295</v>
      </c>
      <c r="C169" s="175">
        <f t="shared" ref="C169:N169" si="26">C148+C149+C150+C155+C156</f>
        <v>5452.5417129999996</v>
      </c>
      <c r="D169" s="175">
        <f t="shared" si="26"/>
        <v>6449.4945145000002</v>
      </c>
      <c r="E169" s="175">
        <f t="shared" si="26"/>
        <v>4614.0717814999998</v>
      </c>
      <c r="F169" s="175">
        <f t="shared" si="26"/>
        <v>4342.0268379999998</v>
      </c>
      <c r="G169" s="175">
        <f t="shared" si="26"/>
        <v>3394.7069740000002</v>
      </c>
      <c r="H169" s="175">
        <f t="shared" si="26"/>
        <v>3384.7767655000002</v>
      </c>
      <c r="I169" s="175">
        <f t="shared" si="26"/>
        <v>4036.3086000000003</v>
      </c>
      <c r="J169" s="175">
        <f t="shared" si="26"/>
        <v>5559.6163129999995</v>
      </c>
      <c r="K169" s="175">
        <f t="shared" si="26"/>
        <v>5176.9920380000003</v>
      </c>
      <c r="L169" s="175">
        <f t="shared" si="26"/>
        <v>5004.3480554999996</v>
      </c>
      <c r="M169" s="175">
        <f t="shared" si="26"/>
        <v>4662.557769</v>
      </c>
      <c r="N169" s="175">
        <f t="shared" si="26"/>
        <v>6194.1115780000009</v>
      </c>
    </row>
    <row r="170" spans="1:15" s="176" customFormat="1" ht="12">
      <c r="A170" s="180" t="s">
        <v>107</v>
      </c>
      <c r="B170" s="181">
        <f>B168/B158*100</f>
        <v>80.630638710320909</v>
      </c>
      <c r="C170" s="181">
        <f t="shared" ref="C170:N170" si="27">C168/C158*100</f>
        <v>71.830233500659375</v>
      </c>
      <c r="D170" s="181">
        <f t="shared" si="27"/>
        <v>69.759968256049248</v>
      </c>
      <c r="E170" s="181">
        <f t="shared" si="27"/>
        <v>80.112279170273965</v>
      </c>
      <c r="F170" s="181">
        <f t="shared" si="27"/>
        <v>78.870961651728706</v>
      </c>
      <c r="G170" s="181">
        <f t="shared" si="27"/>
        <v>85.008599400722872</v>
      </c>
      <c r="H170" s="181">
        <f t="shared" si="27"/>
        <v>82.329651186547139</v>
      </c>
      <c r="I170" s="181">
        <f t="shared" si="27"/>
        <v>79.48871544629877</v>
      </c>
      <c r="J170" s="181">
        <f t="shared" si="27"/>
        <v>74.596036760111645</v>
      </c>
      <c r="K170" s="181">
        <f t="shared" si="27"/>
        <v>78.233239552757496</v>
      </c>
      <c r="L170" s="181">
        <f t="shared" si="27"/>
        <v>77.319385542423831</v>
      </c>
      <c r="M170" s="181">
        <f t="shared" si="27"/>
        <v>77.207367122929611</v>
      </c>
      <c r="N170" s="181">
        <f t="shared" si="27"/>
        <v>69.986770225336443</v>
      </c>
      <c r="O170" s="209">
        <f>N170-B170</f>
        <v>-10.643868484984466</v>
      </c>
    </row>
    <row r="171" spans="1:15" s="176" customFormat="1" ht="12">
      <c r="A171" s="180" t="s">
        <v>234</v>
      </c>
      <c r="B171" s="181">
        <f>B169/B158*100</f>
        <v>19.369361289679087</v>
      </c>
      <c r="C171" s="181">
        <f t="shared" ref="C171:N171" si="28">C169/C158*100</f>
        <v>28.169766499340621</v>
      </c>
      <c r="D171" s="181">
        <f t="shared" si="28"/>
        <v>30.240031743950745</v>
      </c>
      <c r="E171" s="181">
        <f t="shared" si="28"/>
        <v>19.887720829726042</v>
      </c>
      <c r="F171" s="181">
        <f t="shared" si="28"/>
        <v>21.129038348271298</v>
      </c>
      <c r="G171" s="181">
        <f t="shared" si="28"/>
        <v>14.991400599277146</v>
      </c>
      <c r="H171" s="181">
        <f t="shared" si="28"/>
        <v>17.670348813452875</v>
      </c>
      <c r="I171" s="181">
        <f t="shared" si="28"/>
        <v>20.511284553701216</v>
      </c>
      <c r="J171" s="181">
        <f t="shared" si="28"/>
        <v>25.403963239888395</v>
      </c>
      <c r="K171" s="181">
        <f t="shared" si="28"/>
        <v>21.766760447242543</v>
      </c>
      <c r="L171" s="181">
        <f t="shared" si="28"/>
        <v>22.680614457576155</v>
      </c>
      <c r="M171" s="181">
        <f t="shared" si="28"/>
        <v>22.792632877070417</v>
      </c>
      <c r="N171" s="181">
        <f t="shared" si="28"/>
        <v>30.013229774663554</v>
      </c>
    </row>
    <row r="172" spans="1:15" s="176" customFormat="1" ht="12">
      <c r="A172" s="180"/>
      <c r="B172" s="180"/>
    </row>
    <row r="173" spans="1:15" s="176" customFormat="1" ht="12">
      <c r="A173" s="180" t="s">
        <v>233</v>
      </c>
      <c r="B173" s="180"/>
      <c r="N173" s="209"/>
    </row>
    <row r="174" spans="1:15" s="176" customFormat="1" ht="12">
      <c r="A174" s="180" t="s">
        <v>235</v>
      </c>
      <c r="B174" s="180"/>
    </row>
    <row r="179" spans="1:27">
      <c r="A179" s="163" t="s">
        <v>100</v>
      </c>
      <c r="B179" s="329" t="s">
        <v>93</v>
      </c>
      <c r="C179" s="330"/>
      <c r="D179" s="330"/>
      <c r="E179" s="330"/>
      <c r="F179" s="330"/>
      <c r="G179" s="330"/>
      <c r="H179" s="330"/>
      <c r="I179" s="330"/>
      <c r="J179" s="330"/>
      <c r="K179" s="330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</row>
    <row r="180" spans="1:27">
      <c r="A180" s="163" t="s">
        <v>101</v>
      </c>
      <c r="B180" s="325" t="s">
        <v>112</v>
      </c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</row>
    <row r="181" spans="1:27">
      <c r="A181" s="167" t="s">
        <v>28</v>
      </c>
      <c r="B181" s="331" t="s">
        <v>247</v>
      </c>
      <c r="C181" s="332"/>
      <c r="D181" s="332"/>
      <c r="E181" s="332"/>
      <c r="F181" s="332"/>
      <c r="G181" s="332"/>
      <c r="H181" s="332"/>
      <c r="I181" s="332"/>
      <c r="J181" s="332"/>
      <c r="K181" s="332"/>
      <c r="L181" s="332"/>
      <c r="M181" s="332"/>
      <c r="N181" s="332"/>
      <c r="O181" s="332"/>
      <c r="P181" s="332"/>
      <c r="Q181" s="332"/>
      <c r="R181" s="332"/>
      <c r="S181" s="332"/>
      <c r="T181" s="332"/>
      <c r="U181" s="332"/>
      <c r="V181" s="332"/>
      <c r="W181" s="332"/>
    </row>
    <row r="182" spans="1:27">
      <c r="A182" s="167" t="s">
        <v>102</v>
      </c>
      <c r="B182" s="270" t="s">
        <v>2</v>
      </c>
      <c r="C182" s="270" t="s">
        <v>3</v>
      </c>
      <c r="D182" s="270" t="s">
        <v>4</v>
      </c>
      <c r="E182" s="270" t="s">
        <v>135</v>
      </c>
      <c r="F182" s="270" t="s">
        <v>230</v>
      </c>
      <c r="G182" s="270" t="s">
        <v>11</v>
      </c>
      <c r="H182" s="270" t="s">
        <v>5</v>
      </c>
      <c r="I182" s="270" t="s">
        <v>6</v>
      </c>
      <c r="J182" s="270" t="s">
        <v>7</v>
      </c>
      <c r="K182" s="270" t="s">
        <v>8</v>
      </c>
      <c r="L182" s="270" t="s">
        <v>9</v>
      </c>
      <c r="M182" s="270" t="s">
        <v>66</v>
      </c>
      <c r="N182" s="270" t="s">
        <v>67</v>
      </c>
      <c r="O182" s="182" t="s">
        <v>10</v>
      </c>
      <c r="P182" s="270" t="s">
        <v>78</v>
      </c>
      <c r="Q182" s="270" t="s">
        <v>115</v>
      </c>
      <c r="R182" s="270" t="s">
        <v>201</v>
      </c>
      <c r="S182" s="270" t="s">
        <v>202</v>
      </c>
      <c r="T182" s="270" t="s">
        <v>92</v>
      </c>
      <c r="U182" s="270" t="s">
        <v>116</v>
      </c>
      <c r="V182" s="182" t="s">
        <v>117</v>
      </c>
      <c r="W182" s="270" t="s">
        <v>241</v>
      </c>
      <c r="X182" s="184" t="s">
        <v>237</v>
      </c>
      <c r="Y182" s="184" t="s">
        <v>238</v>
      </c>
      <c r="Z182" s="184" t="s">
        <v>239</v>
      </c>
      <c r="AA182" s="184" t="s">
        <v>240</v>
      </c>
    </row>
    <row r="183" spans="1:27" ht="14.25">
      <c r="A183" s="163" t="s">
        <v>29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183"/>
      <c r="P183" s="252"/>
      <c r="Q183" s="252"/>
      <c r="R183" s="252"/>
      <c r="S183" s="252"/>
      <c r="T183" s="252"/>
      <c r="U183" s="252"/>
      <c r="V183" s="183"/>
      <c r="W183" s="252"/>
      <c r="X183" s="185"/>
      <c r="Y183" s="185"/>
      <c r="Z183" s="185"/>
      <c r="AA183" s="185"/>
    </row>
    <row r="184" spans="1:27" ht="14.25">
      <c r="A184" s="302">
        <v>1</v>
      </c>
      <c r="B184" s="166">
        <v>67624.185041000004</v>
      </c>
      <c r="C184" s="166">
        <v>142038.95000000001</v>
      </c>
      <c r="D184" s="166">
        <v>3.0000000000000001E-3</v>
      </c>
      <c r="E184" s="166">
        <v>6035.4639999999999</v>
      </c>
      <c r="F184" s="166">
        <v>0</v>
      </c>
      <c r="G184" s="166">
        <v>138639.51699999999</v>
      </c>
      <c r="H184" s="166">
        <v>82442.989000000001</v>
      </c>
      <c r="I184" s="166">
        <v>176527.65599999999</v>
      </c>
      <c r="J184" s="166">
        <v>15040.912</v>
      </c>
      <c r="K184" s="166">
        <v>10427.223</v>
      </c>
      <c r="L184" s="166">
        <v>42544.826000000001</v>
      </c>
      <c r="M184" s="166">
        <v>916.29449999999997</v>
      </c>
      <c r="N184" s="166">
        <v>2086.1044999999999</v>
      </c>
      <c r="O184" s="254">
        <v>684324.12404100003</v>
      </c>
      <c r="P184" s="166">
        <v>19170.120567000002</v>
      </c>
      <c r="Q184" s="166">
        <v>-22225.627</v>
      </c>
      <c r="R184" s="166">
        <v>5.4459999999999997</v>
      </c>
      <c r="S184" s="166">
        <v>-28.459</v>
      </c>
      <c r="T184" s="166">
        <v>-4538.2030000000004</v>
      </c>
      <c r="U184" s="166">
        <v>-43835.137000000002</v>
      </c>
      <c r="V184" s="254">
        <v>632872.26460800006</v>
      </c>
      <c r="W184" s="166">
        <v>25.02</v>
      </c>
      <c r="X184" s="186">
        <f>IFERROR($H184/$O184*100,"")</f>
        <v>12.047359738418425</v>
      </c>
      <c r="Y184" s="185">
        <f>IF($H184=0,"",$H184/1000)</f>
        <v>82.442988999999997</v>
      </c>
      <c r="Z184" s="186">
        <f>IFERROR($I184/$O184*100,"")</f>
        <v>25.795913047400276</v>
      </c>
      <c r="AA184" s="185">
        <f>IF($I184=0,"",$I184/1000)</f>
        <v>176.52765599999998</v>
      </c>
    </row>
    <row r="185" spans="1:27" ht="14.25">
      <c r="A185" s="302">
        <v>2</v>
      </c>
      <c r="B185" s="166">
        <v>69557.969224</v>
      </c>
      <c r="C185" s="166">
        <v>142079.815</v>
      </c>
      <c r="D185" s="166">
        <v>4.0000000000000001E-3</v>
      </c>
      <c r="E185" s="166">
        <v>6123.76</v>
      </c>
      <c r="F185" s="166">
        <v>0</v>
      </c>
      <c r="G185" s="166">
        <v>160402.11600000001</v>
      </c>
      <c r="H185" s="166">
        <v>53238.572999999997</v>
      </c>
      <c r="I185" s="166">
        <v>178380.25599999999</v>
      </c>
      <c r="J185" s="166">
        <v>14201.796</v>
      </c>
      <c r="K185" s="166">
        <v>10463.914000000001</v>
      </c>
      <c r="L185" s="166">
        <v>46338.964999999997</v>
      </c>
      <c r="M185" s="166">
        <v>1130.6224999999999</v>
      </c>
      <c r="N185" s="166">
        <v>2085.1734999999999</v>
      </c>
      <c r="O185" s="254">
        <v>684002.964224</v>
      </c>
      <c r="P185" s="166">
        <v>16509.386775999999</v>
      </c>
      <c r="Q185" s="166">
        <v>-19492.79</v>
      </c>
      <c r="R185" s="166">
        <v>10.497</v>
      </c>
      <c r="S185" s="166">
        <v>-12.81</v>
      </c>
      <c r="T185" s="166">
        <v>-4923.72</v>
      </c>
      <c r="U185" s="166">
        <v>-36713.667999999998</v>
      </c>
      <c r="V185" s="254">
        <v>639379.86</v>
      </c>
      <c r="W185" s="166">
        <v>23.414000000000001</v>
      </c>
      <c r="X185" s="186">
        <f t="shared" ref="X185:X214" si="29">IFERROR($H185/$O185*100,"")</f>
        <v>7.7833833747195893</v>
      </c>
      <c r="Y185" s="185">
        <f t="shared" ref="Y185:Y214" si="30">IF($H185=0,"",$H185/1000)</f>
        <v>53.238572999999995</v>
      </c>
      <c r="Z185" s="186">
        <f t="shared" ref="Z185:Z214" si="31">IFERROR($I185/$O185*100,"")</f>
        <v>26.078871778336815</v>
      </c>
      <c r="AA185" s="185">
        <f t="shared" ref="AA185:AA214" si="32">IF($I185=0,"",$I185/1000)</f>
        <v>178.380256</v>
      </c>
    </row>
    <row r="186" spans="1:27" ht="14.25">
      <c r="A186" s="302">
        <v>3</v>
      </c>
      <c r="B186" s="166">
        <v>81605.83266</v>
      </c>
      <c r="C186" s="166">
        <v>141634.57399999999</v>
      </c>
      <c r="D186" s="166">
        <v>3.0000000000000001E-3</v>
      </c>
      <c r="E186" s="166">
        <v>6030.72</v>
      </c>
      <c r="F186" s="166">
        <v>0</v>
      </c>
      <c r="G186" s="166">
        <v>174038.269</v>
      </c>
      <c r="H186" s="166">
        <v>45212.398000000001</v>
      </c>
      <c r="I186" s="166">
        <v>161642.39799999999</v>
      </c>
      <c r="J186" s="166">
        <v>14740.474</v>
      </c>
      <c r="K186" s="166">
        <v>10559.472</v>
      </c>
      <c r="L186" s="166">
        <v>47799.618000000002</v>
      </c>
      <c r="M186" s="166">
        <v>1317.7555</v>
      </c>
      <c r="N186" s="166">
        <v>2279.7035000000001</v>
      </c>
      <c r="O186" s="254">
        <v>686861.21765999997</v>
      </c>
      <c r="P186" s="166">
        <v>14625.323603999999</v>
      </c>
      <c r="Q186" s="166">
        <v>-16588.263999999999</v>
      </c>
      <c r="R186" s="166">
        <v>9.3840000000000003</v>
      </c>
      <c r="S186" s="166">
        <v>-11.972</v>
      </c>
      <c r="T186" s="166">
        <v>-5299.8190000000004</v>
      </c>
      <c r="U186" s="166">
        <v>-35384.769999999997</v>
      </c>
      <c r="V186" s="254">
        <v>644211.10026400001</v>
      </c>
      <c r="W186" s="166">
        <v>15.646000000000001</v>
      </c>
      <c r="X186" s="186">
        <f t="shared" si="29"/>
        <v>6.5824648178608305</v>
      </c>
      <c r="Y186" s="185">
        <f t="shared" si="30"/>
        <v>45.212398</v>
      </c>
      <c r="Z186" s="186">
        <f t="shared" si="31"/>
        <v>23.533487383475165</v>
      </c>
      <c r="AA186" s="185">
        <f t="shared" si="32"/>
        <v>161.64239799999999</v>
      </c>
    </row>
    <row r="187" spans="1:27" ht="14.25">
      <c r="A187" s="302">
        <v>4</v>
      </c>
      <c r="B187" s="166">
        <v>40869.652183999999</v>
      </c>
      <c r="C187" s="166">
        <v>141603.649</v>
      </c>
      <c r="D187" s="166">
        <v>4.0000000000000001E-3</v>
      </c>
      <c r="E187" s="166">
        <v>6206.5839999999998</v>
      </c>
      <c r="F187" s="166">
        <v>0</v>
      </c>
      <c r="G187" s="166">
        <v>95399.801000000007</v>
      </c>
      <c r="H187" s="166">
        <v>121492.962</v>
      </c>
      <c r="I187" s="166">
        <v>156399.85200000001</v>
      </c>
      <c r="J187" s="166">
        <v>13651.054</v>
      </c>
      <c r="K187" s="166">
        <v>10371.397000000001</v>
      </c>
      <c r="L187" s="166">
        <v>39442.383999999998</v>
      </c>
      <c r="M187" s="166">
        <v>1369.277</v>
      </c>
      <c r="N187" s="166">
        <v>2227.3510000000001</v>
      </c>
      <c r="O187" s="254">
        <v>629033.96718399995</v>
      </c>
      <c r="P187" s="166">
        <v>17024.610831999998</v>
      </c>
      <c r="Q187" s="166">
        <v>-33050.97</v>
      </c>
      <c r="R187" s="166">
        <v>9.9529999999999994</v>
      </c>
      <c r="S187" s="166">
        <v>-15.518000000000001</v>
      </c>
      <c r="T187" s="166">
        <v>-5085.9369999999999</v>
      </c>
      <c r="U187" s="166">
        <v>-37132.499000000003</v>
      </c>
      <c r="V187" s="254">
        <v>570783.60701599997</v>
      </c>
      <c r="W187" s="166">
        <v>125.949</v>
      </c>
      <c r="X187" s="186">
        <f t="shared" si="29"/>
        <v>19.314213275936158</v>
      </c>
      <c r="Y187" s="185">
        <f t="shared" si="30"/>
        <v>121.49296200000001</v>
      </c>
      <c r="Z187" s="186">
        <f t="shared" si="31"/>
        <v>24.8634986597236</v>
      </c>
      <c r="AA187" s="185">
        <f t="shared" si="32"/>
        <v>156.39985200000001</v>
      </c>
    </row>
    <row r="188" spans="1:27" ht="14.25">
      <c r="A188" s="302">
        <v>5</v>
      </c>
      <c r="B188" s="166">
        <v>23690.546740000002</v>
      </c>
      <c r="C188" s="166">
        <v>137758.32999999999</v>
      </c>
      <c r="D188" s="166">
        <v>3.0000000000000001E-3</v>
      </c>
      <c r="E188" s="166">
        <v>5760.0159999999996</v>
      </c>
      <c r="F188" s="166">
        <v>0</v>
      </c>
      <c r="G188" s="166">
        <v>84963.698999999993</v>
      </c>
      <c r="H188" s="166">
        <v>197231.83199999999</v>
      </c>
      <c r="I188" s="166">
        <v>124748.291</v>
      </c>
      <c r="J188" s="166">
        <v>19127.673999999999</v>
      </c>
      <c r="K188" s="166">
        <v>9962.9639999999999</v>
      </c>
      <c r="L188" s="166">
        <v>29343.424999999999</v>
      </c>
      <c r="M188" s="166">
        <v>1402.4680000000001</v>
      </c>
      <c r="N188" s="166">
        <v>2172.192</v>
      </c>
      <c r="O188" s="254">
        <v>636161.44073999999</v>
      </c>
      <c r="P188" s="166">
        <v>12571.315236</v>
      </c>
      <c r="Q188" s="166">
        <v>-44781.917999999998</v>
      </c>
      <c r="R188" s="166">
        <v>3.83</v>
      </c>
      <c r="S188" s="166">
        <v>-12.726000000000001</v>
      </c>
      <c r="T188" s="166">
        <v>-5204.3900000000003</v>
      </c>
      <c r="U188" s="166">
        <v>-71687.752999999997</v>
      </c>
      <c r="V188" s="254">
        <v>527049.79897600005</v>
      </c>
      <c r="W188" s="166">
        <v>150.38800000000001</v>
      </c>
      <c r="X188" s="186">
        <f t="shared" si="29"/>
        <v>31.003424503467965</v>
      </c>
      <c r="Y188" s="185">
        <f t="shared" si="30"/>
        <v>197.231832</v>
      </c>
      <c r="Z188" s="186">
        <f t="shared" si="31"/>
        <v>19.60953352578073</v>
      </c>
      <c r="AA188" s="185">
        <f t="shared" si="32"/>
        <v>124.74829099999999</v>
      </c>
    </row>
    <row r="189" spans="1:27" ht="14.25">
      <c r="A189" s="302">
        <v>6</v>
      </c>
      <c r="B189" s="166">
        <v>67857.355374999999</v>
      </c>
      <c r="C189" s="166">
        <v>118519.26300000001</v>
      </c>
      <c r="D189" s="166">
        <v>4.0000000000000001E-3</v>
      </c>
      <c r="E189" s="166">
        <v>7639.384</v>
      </c>
      <c r="F189" s="166">
        <v>0</v>
      </c>
      <c r="G189" s="166">
        <v>140858.565</v>
      </c>
      <c r="H189" s="166">
        <v>124972.129</v>
      </c>
      <c r="I189" s="166">
        <v>141516.05600000001</v>
      </c>
      <c r="J189" s="166">
        <v>10890.228999999999</v>
      </c>
      <c r="K189" s="166">
        <v>10441.088</v>
      </c>
      <c r="L189" s="166">
        <v>41799.682000000001</v>
      </c>
      <c r="M189" s="166">
        <v>1709.163</v>
      </c>
      <c r="N189" s="166">
        <v>2767.2179999999998</v>
      </c>
      <c r="O189" s="254">
        <v>668970.136375</v>
      </c>
      <c r="P189" s="166">
        <v>19746.999185000001</v>
      </c>
      <c r="Q189" s="166">
        <v>-21621.608</v>
      </c>
      <c r="R189" s="166">
        <v>9.3970000000000002</v>
      </c>
      <c r="S189" s="166">
        <v>-7.2119999999999997</v>
      </c>
      <c r="T189" s="166">
        <v>-3953.2750000000001</v>
      </c>
      <c r="U189" s="166">
        <v>-34655.269999999997</v>
      </c>
      <c r="V189" s="254">
        <v>628489.16755999997</v>
      </c>
      <c r="W189" s="166">
        <v>13.09</v>
      </c>
      <c r="X189" s="186">
        <f t="shared" si="29"/>
        <v>18.681271734669068</v>
      </c>
      <c r="Y189" s="185">
        <f t="shared" si="30"/>
        <v>124.972129</v>
      </c>
      <c r="Z189" s="186">
        <f t="shared" si="31"/>
        <v>21.15431591114724</v>
      </c>
      <c r="AA189" s="185">
        <f t="shared" si="32"/>
        <v>141.51605600000002</v>
      </c>
    </row>
    <row r="190" spans="1:27" ht="14.25">
      <c r="A190" s="302">
        <v>7</v>
      </c>
      <c r="B190" s="166">
        <v>82811.27678</v>
      </c>
      <c r="C190" s="166">
        <v>118061.74800000001</v>
      </c>
      <c r="D190" s="166">
        <v>4.0000000000000001E-3</v>
      </c>
      <c r="E190" s="166">
        <v>8014.0879999999997</v>
      </c>
      <c r="F190" s="166">
        <v>0</v>
      </c>
      <c r="G190" s="166">
        <v>190369.274</v>
      </c>
      <c r="H190" s="166">
        <v>40095.637999999999</v>
      </c>
      <c r="I190" s="166">
        <v>167338.399</v>
      </c>
      <c r="J190" s="166">
        <v>11373.794</v>
      </c>
      <c r="K190" s="166">
        <v>10742.858</v>
      </c>
      <c r="L190" s="166">
        <v>48397.648000000001</v>
      </c>
      <c r="M190" s="166">
        <v>2028.6085</v>
      </c>
      <c r="N190" s="166">
        <v>2856.1444999999999</v>
      </c>
      <c r="O190" s="254">
        <v>682089.48077999998</v>
      </c>
      <c r="P190" s="166">
        <v>13922.467339999999</v>
      </c>
      <c r="Q190" s="166">
        <v>-17518.041000000001</v>
      </c>
      <c r="R190" s="166">
        <v>8.8049999999999997</v>
      </c>
      <c r="S190" s="166">
        <v>-9.2940000000000005</v>
      </c>
      <c r="T190" s="166">
        <v>-4657.9539999999997</v>
      </c>
      <c r="U190" s="166">
        <v>-36209.413999999997</v>
      </c>
      <c r="V190" s="254">
        <v>637626.05012000003</v>
      </c>
      <c r="W190" s="166">
        <v>43.018000000000001</v>
      </c>
      <c r="X190" s="186">
        <f t="shared" si="29"/>
        <v>5.8783545458212956</v>
      </c>
      <c r="Y190" s="185">
        <f t="shared" si="30"/>
        <v>40.095638000000001</v>
      </c>
      <c r="Z190" s="186">
        <f t="shared" si="31"/>
        <v>24.533203298875247</v>
      </c>
      <c r="AA190" s="185">
        <f t="shared" si="32"/>
        <v>167.33839900000001</v>
      </c>
    </row>
    <row r="191" spans="1:27" ht="14.25">
      <c r="A191" s="302">
        <v>8</v>
      </c>
      <c r="B191" s="166">
        <v>85486.963604000004</v>
      </c>
      <c r="C191" s="166">
        <v>118089.81200000001</v>
      </c>
      <c r="D191" s="166">
        <v>3.0000000000000001E-3</v>
      </c>
      <c r="E191" s="166">
        <v>8018.616</v>
      </c>
      <c r="F191" s="166">
        <v>0</v>
      </c>
      <c r="G191" s="166">
        <v>162893.427</v>
      </c>
      <c r="H191" s="166">
        <v>93381.33</v>
      </c>
      <c r="I191" s="166">
        <v>143913.35200000001</v>
      </c>
      <c r="J191" s="166">
        <v>10742.695</v>
      </c>
      <c r="K191" s="166">
        <v>11041.558999999999</v>
      </c>
      <c r="L191" s="166">
        <v>50237.283000000003</v>
      </c>
      <c r="M191" s="166">
        <v>1976.7215000000001</v>
      </c>
      <c r="N191" s="166">
        <v>2921.3454999999999</v>
      </c>
      <c r="O191" s="254">
        <v>688703.10760400002</v>
      </c>
      <c r="P191" s="166">
        <v>8999.9218199999996</v>
      </c>
      <c r="Q191" s="166">
        <v>-10137.791999999999</v>
      </c>
      <c r="R191" s="166">
        <v>8.9619999999999997</v>
      </c>
      <c r="S191" s="166">
        <v>-19.016999999999999</v>
      </c>
      <c r="T191" s="166">
        <v>-3866.7020000000002</v>
      </c>
      <c r="U191" s="166">
        <v>-38177.271999999997</v>
      </c>
      <c r="V191" s="254">
        <v>645511.20842399995</v>
      </c>
      <c r="W191" s="166">
        <v>83.929000000000002</v>
      </c>
      <c r="X191" s="186">
        <f t="shared" si="29"/>
        <v>13.559010982958085</v>
      </c>
      <c r="Y191" s="185">
        <f t="shared" si="30"/>
        <v>93.381330000000005</v>
      </c>
      <c r="Z191" s="186">
        <f t="shared" si="31"/>
        <v>20.896283233086454</v>
      </c>
      <c r="AA191" s="185">
        <f t="shared" si="32"/>
        <v>143.913352</v>
      </c>
    </row>
    <row r="192" spans="1:27" ht="14.25">
      <c r="A192" s="302">
        <v>9</v>
      </c>
      <c r="B192" s="166">
        <v>56983.947956999997</v>
      </c>
      <c r="C192" s="166">
        <v>117950.416</v>
      </c>
      <c r="D192" s="166">
        <v>4.0000000000000001E-3</v>
      </c>
      <c r="E192" s="166">
        <v>8017.0079999999998</v>
      </c>
      <c r="F192" s="166">
        <v>0</v>
      </c>
      <c r="G192" s="166">
        <v>115214.77</v>
      </c>
      <c r="H192" s="166">
        <v>233863.29199999999</v>
      </c>
      <c r="I192" s="166">
        <v>133970.04399999999</v>
      </c>
      <c r="J192" s="166">
        <v>9953.3250000000007</v>
      </c>
      <c r="K192" s="166">
        <v>10428.918</v>
      </c>
      <c r="L192" s="166">
        <v>45943.673999999999</v>
      </c>
      <c r="M192" s="166">
        <v>1981.9314999999999</v>
      </c>
      <c r="N192" s="166">
        <v>2861.6264999999999</v>
      </c>
      <c r="O192" s="254">
        <v>737168.95695699996</v>
      </c>
      <c r="P192" s="166">
        <v>16082.165043000001</v>
      </c>
      <c r="Q192" s="166">
        <v>-24027.884999999998</v>
      </c>
      <c r="R192" s="166">
        <v>9.8140000000000001</v>
      </c>
      <c r="S192" s="166">
        <v>-13.222</v>
      </c>
      <c r="T192" s="166">
        <v>-2939.4580000000001</v>
      </c>
      <c r="U192" s="166">
        <v>-88217.304000000004</v>
      </c>
      <c r="V192" s="254">
        <v>638063.06700000004</v>
      </c>
      <c r="W192" s="166">
        <v>31.486999999999998</v>
      </c>
      <c r="X192" s="186">
        <f t="shared" si="29"/>
        <v>31.724517126355543</v>
      </c>
      <c r="Y192" s="185">
        <f t="shared" si="30"/>
        <v>233.86329199999997</v>
      </c>
      <c r="Z192" s="186">
        <f t="shared" si="31"/>
        <v>18.173587307992765</v>
      </c>
      <c r="AA192" s="185">
        <f t="shared" si="32"/>
        <v>133.970044</v>
      </c>
    </row>
    <row r="193" spans="1:27" ht="14.25">
      <c r="A193" s="302">
        <v>10</v>
      </c>
      <c r="B193" s="166">
        <v>54085.208474999999</v>
      </c>
      <c r="C193" s="166">
        <v>118037.761</v>
      </c>
      <c r="D193" s="166">
        <v>3.0000000000000001E-3</v>
      </c>
      <c r="E193" s="166">
        <v>7493.7120000000004</v>
      </c>
      <c r="F193" s="166">
        <v>0</v>
      </c>
      <c r="G193" s="166">
        <v>104790.89</v>
      </c>
      <c r="H193" s="166">
        <v>211168.625</v>
      </c>
      <c r="I193" s="166">
        <v>135253.071</v>
      </c>
      <c r="J193" s="166">
        <v>8284.4480000000003</v>
      </c>
      <c r="K193" s="166">
        <v>11018.335999999999</v>
      </c>
      <c r="L193" s="166">
        <v>49446.239000000001</v>
      </c>
      <c r="M193" s="166">
        <v>1983.164</v>
      </c>
      <c r="N193" s="166">
        <v>2863.0639999999999</v>
      </c>
      <c r="O193" s="254">
        <v>704424.52147499996</v>
      </c>
      <c r="P193" s="166">
        <v>15764.909125</v>
      </c>
      <c r="Q193" s="166">
        <v>-23843.566999999999</v>
      </c>
      <c r="R193" s="166">
        <v>11.124000000000001</v>
      </c>
      <c r="S193" s="166">
        <v>-13.599</v>
      </c>
      <c r="T193" s="166">
        <v>-2947.2330000000002</v>
      </c>
      <c r="U193" s="166">
        <v>-63649.77</v>
      </c>
      <c r="V193" s="254">
        <v>629746.38560000004</v>
      </c>
      <c r="W193" s="166">
        <v>119.113</v>
      </c>
      <c r="X193" s="186">
        <f t="shared" si="29"/>
        <v>29.97746650809832</v>
      </c>
      <c r="Y193" s="185">
        <f t="shared" si="30"/>
        <v>211.16862499999999</v>
      </c>
      <c r="Z193" s="186">
        <f t="shared" si="31"/>
        <v>19.200505785459107</v>
      </c>
      <c r="AA193" s="185">
        <f t="shared" si="32"/>
        <v>135.25307100000001</v>
      </c>
    </row>
    <row r="194" spans="1:27" ht="14.25">
      <c r="A194" s="302">
        <v>11</v>
      </c>
      <c r="B194" s="166">
        <v>44971.162568</v>
      </c>
      <c r="C194" s="166">
        <v>118158.15300000001</v>
      </c>
      <c r="D194" s="166">
        <v>4.0000000000000001E-3</v>
      </c>
      <c r="E194" s="166">
        <v>6042.36</v>
      </c>
      <c r="F194" s="166">
        <v>0</v>
      </c>
      <c r="G194" s="166">
        <v>112558.927</v>
      </c>
      <c r="H194" s="166">
        <v>116034.624</v>
      </c>
      <c r="I194" s="166">
        <v>143804.198</v>
      </c>
      <c r="J194" s="166">
        <v>11590.808999999999</v>
      </c>
      <c r="K194" s="166">
        <v>10467.593000000001</v>
      </c>
      <c r="L194" s="166">
        <v>46055.813000000002</v>
      </c>
      <c r="M194" s="166">
        <v>1808.3019999999999</v>
      </c>
      <c r="N194" s="166">
        <v>2746.4960000000001</v>
      </c>
      <c r="O194" s="254">
        <v>614238.44156800001</v>
      </c>
      <c r="P194" s="166">
        <v>18122.79004</v>
      </c>
      <c r="Q194" s="166">
        <v>-30198.244999999999</v>
      </c>
      <c r="R194" s="166">
        <v>11.792999999999999</v>
      </c>
      <c r="S194" s="166">
        <v>-14.340999999999999</v>
      </c>
      <c r="T194" s="166">
        <v>-2864.7220000000002</v>
      </c>
      <c r="U194" s="166">
        <v>-45308.800000000003</v>
      </c>
      <c r="V194" s="254">
        <v>553986.91660800006</v>
      </c>
      <c r="W194" s="166">
        <v>90.096999999999994</v>
      </c>
      <c r="X194" s="186">
        <f t="shared" si="29"/>
        <v>18.890811148809259</v>
      </c>
      <c r="Y194" s="185">
        <f t="shared" si="30"/>
        <v>116.03462399999999</v>
      </c>
      <c r="Z194" s="186">
        <f t="shared" si="31"/>
        <v>23.411787388770911</v>
      </c>
      <c r="AA194" s="185">
        <f t="shared" si="32"/>
        <v>143.80419800000001</v>
      </c>
    </row>
    <row r="195" spans="1:27" ht="14.25">
      <c r="A195" s="302">
        <v>12</v>
      </c>
      <c r="B195" s="166">
        <v>42404.426948</v>
      </c>
      <c r="C195" s="166">
        <v>118077.49</v>
      </c>
      <c r="D195" s="166">
        <v>4.0000000000000001E-3</v>
      </c>
      <c r="E195" s="166">
        <v>5757.8559999999998</v>
      </c>
      <c r="F195" s="166">
        <v>0</v>
      </c>
      <c r="G195" s="166">
        <v>127152.899</v>
      </c>
      <c r="H195" s="166">
        <v>117394.00199999999</v>
      </c>
      <c r="I195" s="166">
        <v>123272.503</v>
      </c>
      <c r="J195" s="166">
        <v>7463.1989999999996</v>
      </c>
      <c r="K195" s="166">
        <v>10585.1</v>
      </c>
      <c r="L195" s="166">
        <v>41260.622000000003</v>
      </c>
      <c r="M195" s="166">
        <v>1885.0015000000001</v>
      </c>
      <c r="N195" s="166">
        <v>3237.5635000000002</v>
      </c>
      <c r="O195" s="254">
        <v>598490.66694799997</v>
      </c>
      <c r="P195" s="166">
        <v>11380.057892000001</v>
      </c>
      <c r="Q195" s="166">
        <v>-37147.14</v>
      </c>
      <c r="R195" s="166">
        <v>6.1340000000000003</v>
      </c>
      <c r="S195" s="166">
        <v>-13.295</v>
      </c>
      <c r="T195" s="166">
        <v>-3132.0430000000001</v>
      </c>
      <c r="U195" s="166">
        <v>-56483.116999999998</v>
      </c>
      <c r="V195" s="254">
        <v>513101.26384000003</v>
      </c>
      <c r="W195" s="166">
        <v>70.888999999999996</v>
      </c>
      <c r="X195" s="186">
        <f t="shared" si="29"/>
        <v>19.615009637268045</v>
      </c>
      <c r="Y195" s="185">
        <f t="shared" si="30"/>
        <v>117.39400199999999</v>
      </c>
      <c r="Z195" s="186">
        <f t="shared" si="31"/>
        <v>20.59723063496169</v>
      </c>
      <c r="AA195" s="185">
        <f t="shared" si="32"/>
        <v>123.272503</v>
      </c>
    </row>
    <row r="196" spans="1:27" ht="14.25">
      <c r="A196" s="302">
        <v>13</v>
      </c>
      <c r="B196" s="166">
        <v>68672.717044000005</v>
      </c>
      <c r="C196" s="166">
        <v>118385.258</v>
      </c>
      <c r="D196" s="166">
        <v>1297.4829999999999</v>
      </c>
      <c r="E196" s="166">
        <v>6877.48</v>
      </c>
      <c r="F196" s="166">
        <v>0</v>
      </c>
      <c r="G196" s="166">
        <v>197515.28599999999</v>
      </c>
      <c r="H196" s="166">
        <v>49402.464</v>
      </c>
      <c r="I196" s="166">
        <v>118608.66099999999</v>
      </c>
      <c r="J196" s="166">
        <v>6982.4160000000002</v>
      </c>
      <c r="K196" s="166">
        <v>10506.179</v>
      </c>
      <c r="L196" s="166">
        <v>46658.906000000003</v>
      </c>
      <c r="M196" s="166">
        <v>1971.144</v>
      </c>
      <c r="N196" s="166">
        <v>3220.0680000000002</v>
      </c>
      <c r="O196" s="254">
        <v>630098.06204400002</v>
      </c>
      <c r="P196" s="166">
        <v>16907.605356</v>
      </c>
      <c r="Q196" s="166">
        <v>-15208.834000000001</v>
      </c>
      <c r="R196" s="166">
        <v>4.8419999999999996</v>
      </c>
      <c r="S196" s="166">
        <v>-6.7030000000000003</v>
      </c>
      <c r="T196" s="166">
        <v>-3094.8910000000001</v>
      </c>
      <c r="U196" s="166">
        <v>-35200.165000000001</v>
      </c>
      <c r="V196" s="254">
        <v>593499.91639999999</v>
      </c>
      <c r="W196" s="166">
        <v>8.3490000000000002</v>
      </c>
      <c r="X196" s="186">
        <f t="shared" si="29"/>
        <v>7.8404405561479411</v>
      </c>
      <c r="Y196" s="185">
        <f t="shared" si="30"/>
        <v>49.402464000000002</v>
      </c>
      <c r="Z196" s="186">
        <f t="shared" si="31"/>
        <v>18.823841580347139</v>
      </c>
      <c r="AA196" s="185">
        <f t="shared" si="32"/>
        <v>118.608661</v>
      </c>
    </row>
    <row r="197" spans="1:27" ht="14.25">
      <c r="A197" s="302">
        <v>14</v>
      </c>
      <c r="B197" s="166">
        <v>73184.870357000007</v>
      </c>
      <c r="C197" s="166">
        <v>118654.7</v>
      </c>
      <c r="D197" s="166">
        <v>4053.2820000000002</v>
      </c>
      <c r="E197" s="166">
        <v>7251.768</v>
      </c>
      <c r="F197" s="166">
        <v>0</v>
      </c>
      <c r="G197" s="166">
        <v>231709.00700000001</v>
      </c>
      <c r="H197" s="166">
        <v>23182.852999999999</v>
      </c>
      <c r="I197" s="166">
        <v>150029.96900000001</v>
      </c>
      <c r="J197" s="166">
        <v>8645.1919999999991</v>
      </c>
      <c r="K197" s="166">
        <v>10534.821</v>
      </c>
      <c r="L197" s="166">
        <v>48976.137999999999</v>
      </c>
      <c r="M197" s="166">
        <v>1952.9375</v>
      </c>
      <c r="N197" s="166">
        <v>3170.8325</v>
      </c>
      <c r="O197" s="254">
        <v>681346.37035700004</v>
      </c>
      <c r="P197" s="166">
        <v>16859.015042999999</v>
      </c>
      <c r="Q197" s="166">
        <v>-17894.153999999999</v>
      </c>
      <c r="R197" s="166">
        <v>11.664</v>
      </c>
      <c r="S197" s="166">
        <v>-35.343000000000004</v>
      </c>
      <c r="T197" s="166">
        <v>-2874.8739999999998</v>
      </c>
      <c r="U197" s="166">
        <v>-40200.711000000003</v>
      </c>
      <c r="V197" s="254">
        <v>637211.96739999996</v>
      </c>
      <c r="W197" s="166">
        <v>31.364999999999998</v>
      </c>
      <c r="X197" s="186">
        <f t="shared" si="29"/>
        <v>3.402506274136758</v>
      </c>
      <c r="Y197" s="185">
        <f t="shared" si="30"/>
        <v>23.182852999999998</v>
      </c>
      <c r="Z197" s="186">
        <f t="shared" si="31"/>
        <v>22.019632822200244</v>
      </c>
      <c r="AA197" s="185">
        <f t="shared" si="32"/>
        <v>150.02996900000002</v>
      </c>
    </row>
    <row r="198" spans="1:27" ht="14.25">
      <c r="A198" s="302">
        <v>15</v>
      </c>
      <c r="B198" s="166">
        <v>68696.452990999998</v>
      </c>
      <c r="C198" s="166">
        <v>118610.143</v>
      </c>
      <c r="D198" s="166">
        <v>4061.6019999999999</v>
      </c>
      <c r="E198" s="166">
        <v>7424.5519999999997</v>
      </c>
      <c r="F198" s="166">
        <v>0</v>
      </c>
      <c r="G198" s="166">
        <v>231571.12100000001</v>
      </c>
      <c r="H198" s="166">
        <v>35434.694000000003</v>
      </c>
      <c r="I198" s="166">
        <v>137996.76300000001</v>
      </c>
      <c r="J198" s="166">
        <v>6504.21</v>
      </c>
      <c r="K198" s="166">
        <v>10984.143</v>
      </c>
      <c r="L198" s="166">
        <v>48999.877999999997</v>
      </c>
      <c r="M198" s="166">
        <v>1637.5530000000001</v>
      </c>
      <c r="N198" s="166">
        <v>2662.6480000000001</v>
      </c>
      <c r="O198" s="254">
        <v>674583.75999100006</v>
      </c>
      <c r="P198" s="166">
        <v>17423.723312999999</v>
      </c>
      <c r="Q198" s="166">
        <v>-20326.708999999999</v>
      </c>
      <c r="R198" s="166">
        <v>19.960999999999999</v>
      </c>
      <c r="S198" s="166">
        <v>-41.057000000000002</v>
      </c>
      <c r="T198" s="166">
        <v>-3282.335</v>
      </c>
      <c r="U198" s="166">
        <v>-33871.43</v>
      </c>
      <c r="V198" s="254">
        <v>634505.91330400005</v>
      </c>
      <c r="W198" s="166">
        <v>77.926000000000002</v>
      </c>
      <c r="X198" s="186">
        <f t="shared" si="29"/>
        <v>5.2528234596801973</v>
      </c>
      <c r="Y198" s="185">
        <f t="shared" si="30"/>
        <v>35.434694</v>
      </c>
      <c r="Z198" s="186">
        <f t="shared" si="31"/>
        <v>20.456579476778554</v>
      </c>
      <c r="AA198" s="185">
        <f t="shared" si="32"/>
        <v>137.99676300000002</v>
      </c>
    </row>
    <row r="199" spans="1:27" ht="14.25">
      <c r="A199" s="302">
        <v>16</v>
      </c>
      <c r="B199" s="166">
        <v>75862.8</v>
      </c>
      <c r="C199" s="166">
        <v>117510.39999999999</v>
      </c>
      <c r="D199" s="166">
        <v>3977.6</v>
      </c>
      <c r="E199" s="166">
        <v>7200</v>
      </c>
      <c r="F199" s="166">
        <v>0</v>
      </c>
      <c r="G199" s="166">
        <v>231957</v>
      </c>
      <c r="H199" s="166">
        <v>48869.9</v>
      </c>
      <c r="I199" s="166">
        <v>124151.297051</v>
      </c>
      <c r="J199" s="166">
        <v>5252.6029490000001</v>
      </c>
      <c r="K199" s="166">
        <v>11319</v>
      </c>
      <c r="L199" s="166">
        <v>51130.400000000001</v>
      </c>
      <c r="M199" s="166">
        <v>1530.65</v>
      </c>
      <c r="N199" s="166">
        <v>2738.05</v>
      </c>
      <c r="O199" s="254">
        <v>681499.7</v>
      </c>
      <c r="P199" s="166">
        <v>12756.2</v>
      </c>
      <c r="Q199" s="166">
        <v>-15800.4</v>
      </c>
      <c r="R199" s="166">
        <v>0</v>
      </c>
      <c r="S199" s="166">
        <v>0</v>
      </c>
      <c r="T199" s="166">
        <v>-3776.7</v>
      </c>
      <c r="U199" s="166">
        <v>-29371.599999999999</v>
      </c>
      <c r="V199" s="254">
        <v>645307.19999999995</v>
      </c>
      <c r="W199" s="166">
        <v>0</v>
      </c>
      <c r="X199" s="186">
        <f t="shared" si="29"/>
        <v>7.1709349248429612</v>
      </c>
      <c r="Y199" s="185">
        <f t="shared" si="30"/>
        <v>48.869900000000001</v>
      </c>
      <c r="Z199" s="186">
        <f t="shared" si="31"/>
        <v>18.217366354086437</v>
      </c>
      <c r="AA199" s="185">
        <f t="shared" si="32"/>
        <v>124.151297051</v>
      </c>
    </row>
    <row r="200" spans="1:27" ht="14.25">
      <c r="A200" s="302">
        <v>17</v>
      </c>
      <c r="B200" s="166">
        <v>71927.399999999994</v>
      </c>
      <c r="C200" s="166">
        <v>117501.6</v>
      </c>
      <c r="D200" s="166">
        <v>4078.2</v>
      </c>
      <c r="E200" s="166">
        <v>6870.4</v>
      </c>
      <c r="F200" s="166">
        <v>0</v>
      </c>
      <c r="G200" s="166">
        <v>227476.3</v>
      </c>
      <c r="H200" s="166">
        <v>52066.1</v>
      </c>
      <c r="I200" s="166">
        <v>143510.646756</v>
      </c>
      <c r="J200" s="166">
        <v>9448.0532440000006</v>
      </c>
      <c r="K200" s="166">
        <v>10720.2</v>
      </c>
      <c r="L200" s="166">
        <v>50117.7</v>
      </c>
      <c r="M200" s="166">
        <v>1706</v>
      </c>
      <c r="N200" s="166">
        <v>3061.9</v>
      </c>
      <c r="O200" s="254">
        <v>698484.5</v>
      </c>
      <c r="P200" s="166">
        <v>8394.7000000000007</v>
      </c>
      <c r="Q200" s="166">
        <v>-19999.5</v>
      </c>
      <c r="R200" s="166">
        <v>0</v>
      </c>
      <c r="S200" s="166">
        <v>0</v>
      </c>
      <c r="T200" s="166">
        <v>-3301.2</v>
      </c>
      <c r="U200" s="166">
        <v>-46983.7</v>
      </c>
      <c r="V200" s="254">
        <v>636594.80000000005</v>
      </c>
      <c r="W200" s="166">
        <v>0</v>
      </c>
      <c r="X200" s="186">
        <f t="shared" si="29"/>
        <v>7.4541525259329307</v>
      </c>
      <c r="Y200" s="185">
        <f t="shared" si="30"/>
        <v>52.066099999999999</v>
      </c>
      <c r="Z200" s="186">
        <f t="shared" si="31"/>
        <v>20.546003061771593</v>
      </c>
      <c r="AA200" s="185">
        <f t="shared" si="32"/>
        <v>143.510646756</v>
      </c>
    </row>
    <row r="201" spans="1:27" ht="14.25">
      <c r="A201" s="302">
        <v>18</v>
      </c>
      <c r="B201" s="166">
        <v>69740.5</v>
      </c>
      <c r="C201" s="166">
        <v>117420.6</v>
      </c>
      <c r="D201" s="166">
        <v>214.3</v>
      </c>
      <c r="E201" s="166">
        <v>5520</v>
      </c>
      <c r="F201" s="166">
        <v>4.2</v>
      </c>
      <c r="G201" s="166">
        <v>157770.4</v>
      </c>
      <c r="H201" s="166">
        <v>65957.600000000006</v>
      </c>
      <c r="I201" s="166">
        <v>149879.59914100001</v>
      </c>
      <c r="J201" s="166">
        <v>10238.800859000001</v>
      </c>
      <c r="K201" s="166">
        <v>10189.5</v>
      </c>
      <c r="L201" s="166">
        <v>44338.9</v>
      </c>
      <c r="M201" s="166">
        <v>2057.9499999999998</v>
      </c>
      <c r="N201" s="166">
        <v>3477.05</v>
      </c>
      <c r="O201" s="254">
        <v>636809.4</v>
      </c>
      <c r="P201" s="166">
        <v>7172.8</v>
      </c>
      <c r="Q201" s="166">
        <v>-26700.3</v>
      </c>
      <c r="R201" s="166">
        <v>0</v>
      </c>
      <c r="S201" s="166">
        <v>0</v>
      </c>
      <c r="T201" s="166">
        <v>-3529.8</v>
      </c>
      <c r="U201" s="166">
        <v>-60871.6</v>
      </c>
      <c r="V201" s="254">
        <v>552880.5</v>
      </c>
      <c r="W201" s="166">
        <v>0</v>
      </c>
      <c r="X201" s="186">
        <f t="shared" si="29"/>
        <v>10.357510426196599</v>
      </c>
      <c r="Y201" s="185">
        <f t="shared" si="30"/>
        <v>65.957599999999999</v>
      </c>
      <c r="Z201" s="186">
        <f t="shared" si="31"/>
        <v>23.53602178940826</v>
      </c>
      <c r="AA201" s="185">
        <f t="shared" si="32"/>
        <v>149.879599141</v>
      </c>
    </row>
    <row r="202" spans="1:27" ht="14.25">
      <c r="A202" s="302">
        <v>19</v>
      </c>
      <c r="B202" s="166">
        <v>31714.2</v>
      </c>
      <c r="C202" s="166">
        <v>110806.8</v>
      </c>
      <c r="D202" s="166">
        <v>-87</v>
      </c>
      <c r="E202" s="166">
        <v>5520</v>
      </c>
      <c r="F202" s="166">
        <v>0</v>
      </c>
      <c r="G202" s="166">
        <v>88596.7</v>
      </c>
      <c r="H202" s="166">
        <v>197716.4</v>
      </c>
      <c r="I202" s="166">
        <v>108354.153857</v>
      </c>
      <c r="J202" s="166">
        <v>7368.8461429999998</v>
      </c>
      <c r="K202" s="166">
        <v>10643.4</v>
      </c>
      <c r="L202" s="166">
        <v>33008.5</v>
      </c>
      <c r="M202" s="166">
        <v>1880.3</v>
      </c>
      <c r="N202" s="166">
        <v>3110.9</v>
      </c>
      <c r="O202" s="254">
        <v>598633.19999999995</v>
      </c>
      <c r="P202" s="166">
        <v>9728.4</v>
      </c>
      <c r="Q202" s="166">
        <v>-48060.3</v>
      </c>
      <c r="R202" s="166">
        <v>0</v>
      </c>
      <c r="S202" s="166">
        <v>0</v>
      </c>
      <c r="T202" s="166">
        <v>-3927</v>
      </c>
      <c r="U202" s="166">
        <v>-43915.1</v>
      </c>
      <c r="V202" s="254">
        <v>512459.2</v>
      </c>
      <c r="W202" s="166">
        <v>0</v>
      </c>
      <c r="X202" s="186">
        <f t="shared" si="29"/>
        <v>33.027971051388398</v>
      </c>
      <c r="Y202" s="185">
        <f t="shared" si="30"/>
        <v>197.71639999999999</v>
      </c>
      <c r="Z202" s="186">
        <f t="shared" si="31"/>
        <v>18.100258030627103</v>
      </c>
      <c r="AA202" s="185">
        <f t="shared" si="32"/>
        <v>108.354153857</v>
      </c>
    </row>
    <row r="203" spans="1:27" ht="14.25">
      <c r="A203" s="302">
        <v>20</v>
      </c>
      <c r="B203" s="166">
        <v>41589.699999999997</v>
      </c>
      <c r="C203" s="166">
        <v>115538.7</v>
      </c>
      <c r="D203" s="166">
        <v>-105</v>
      </c>
      <c r="E203" s="166">
        <v>6971.2</v>
      </c>
      <c r="F203" s="166">
        <v>0</v>
      </c>
      <c r="G203" s="166">
        <v>95973.6</v>
      </c>
      <c r="H203" s="166">
        <v>275892.3</v>
      </c>
      <c r="I203" s="166">
        <v>109267.762478</v>
      </c>
      <c r="J203" s="166">
        <v>4035.0375220000001</v>
      </c>
      <c r="K203" s="166">
        <v>10621.2</v>
      </c>
      <c r="L203" s="166">
        <v>35258.9</v>
      </c>
      <c r="M203" s="166">
        <v>1621.5</v>
      </c>
      <c r="N203" s="166">
        <v>3017.5</v>
      </c>
      <c r="O203" s="254">
        <v>699682.4</v>
      </c>
      <c r="P203" s="166">
        <v>14661.8</v>
      </c>
      <c r="Q203" s="166">
        <v>-33613.1</v>
      </c>
      <c r="R203" s="166">
        <v>0</v>
      </c>
      <c r="S203" s="166">
        <v>0</v>
      </c>
      <c r="T203" s="166">
        <v>-4925</v>
      </c>
      <c r="U203" s="166">
        <v>-61932.800000000003</v>
      </c>
      <c r="V203" s="254">
        <v>613873.30000000005</v>
      </c>
      <c r="W203" s="166">
        <v>0</v>
      </c>
      <c r="X203" s="186">
        <f t="shared" si="29"/>
        <v>39.431076156839154</v>
      </c>
      <c r="Y203" s="185">
        <f t="shared" si="30"/>
        <v>275.89229999999998</v>
      </c>
      <c r="Z203" s="186">
        <f t="shared" si="31"/>
        <v>15.616765903787206</v>
      </c>
      <c r="AA203" s="185">
        <f t="shared" si="32"/>
        <v>109.26776247800001</v>
      </c>
    </row>
    <row r="204" spans="1:27" ht="14.25">
      <c r="A204" s="302">
        <v>21</v>
      </c>
      <c r="B204" s="166">
        <v>43497</v>
      </c>
      <c r="C204" s="166">
        <v>115922.9</v>
      </c>
      <c r="D204" s="166">
        <v>-120</v>
      </c>
      <c r="E204" s="166">
        <v>7370.8</v>
      </c>
      <c r="F204" s="166">
        <v>0</v>
      </c>
      <c r="G204" s="166">
        <v>100764.6</v>
      </c>
      <c r="H204" s="166">
        <v>304497.8</v>
      </c>
      <c r="I204" s="166">
        <v>91163.505911</v>
      </c>
      <c r="J204" s="166">
        <v>2000.1940890000001</v>
      </c>
      <c r="K204" s="166">
        <v>10284.799999999999</v>
      </c>
      <c r="L204" s="166">
        <v>36257</v>
      </c>
      <c r="M204" s="166">
        <v>1221.05</v>
      </c>
      <c r="N204" s="166">
        <v>2755.55</v>
      </c>
      <c r="O204" s="254">
        <v>715615.2</v>
      </c>
      <c r="P204" s="166">
        <v>17175</v>
      </c>
      <c r="Q204" s="166">
        <v>-29716.799999999999</v>
      </c>
      <c r="R204" s="166">
        <v>0</v>
      </c>
      <c r="S204" s="166">
        <v>0</v>
      </c>
      <c r="T204" s="166">
        <v>-4504</v>
      </c>
      <c r="U204" s="166">
        <v>-66557.5</v>
      </c>
      <c r="V204" s="254">
        <v>632011.9</v>
      </c>
      <c r="W204" s="166">
        <v>0</v>
      </c>
      <c r="X204" s="186">
        <f t="shared" si="29"/>
        <v>42.550493617240107</v>
      </c>
      <c r="Y204" s="185">
        <f t="shared" si="30"/>
        <v>304.49779999999998</v>
      </c>
      <c r="Z204" s="186">
        <f t="shared" si="31"/>
        <v>12.739179647246173</v>
      </c>
      <c r="AA204" s="185">
        <f t="shared" si="32"/>
        <v>91.163505911000001</v>
      </c>
    </row>
    <row r="205" spans="1:27" ht="14.25">
      <c r="A205" s="302">
        <v>22</v>
      </c>
      <c r="B205" s="166">
        <v>38382.6</v>
      </c>
      <c r="C205" s="166">
        <v>116928.3</v>
      </c>
      <c r="D205" s="166">
        <v>-120</v>
      </c>
      <c r="E205" s="166">
        <v>6642</v>
      </c>
      <c r="F205" s="166">
        <v>0</v>
      </c>
      <c r="G205" s="166">
        <v>83125.5</v>
      </c>
      <c r="H205" s="166">
        <v>342412.2</v>
      </c>
      <c r="I205" s="166">
        <v>102106.77489299999</v>
      </c>
      <c r="J205" s="166">
        <v>3400.6251069999998</v>
      </c>
      <c r="K205" s="166">
        <v>9280.2000000000007</v>
      </c>
      <c r="L205" s="166">
        <v>32236.1</v>
      </c>
      <c r="M205" s="166">
        <v>1349.15</v>
      </c>
      <c r="N205" s="166">
        <v>2544.25</v>
      </c>
      <c r="O205" s="254">
        <v>738287.7</v>
      </c>
      <c r="P205" s="166">
        <v>12376.9</v>
      </c>
      <c r="Q205" s="166">
        <v>-39128.6</v>
      </c>
      <c r="R205" s="166">
        <v>0</v>
      </c>
      <c r="S205" s="166">
        <v>0</v>
      </c>
      <c r="T205" s="166">
        <v>-4504</v>
      </c>
      <c r="U205" s="166">
        <v>-73012.100000000006</v>
      </c>
      <c r="V205" s="254">
        <v>634019.9</v>
      </c>
      <c r="W205" s="166">
        <v>0</v>
      </c>
      <c r="X205" s="186">
        <f t="shared" si="29"/>
        <v>46.379236712192281</v>
      </c>
      <c r="Y205" s="185">
        <f t="shared" si="30"/>
        <v>342.41219999999998</v>
      </c>
      <c r="Z205" s="186">
        <f t="shared" si="31"/>
        <v>13.830214819101009</v>
      </c>
      <c r="AA205" s="185">
        <f t="shared" si="32"/>
        <v>102.10677489299999</v>
      </c>
    </row>
    <row r="206" spans="1:27" ht="14.25">
      <c r="A206" s="302">
        <v>23</v>
      </c>
      <c r="B206" s="166">
        <v>35774.800000000003</v>
      </c>
      <c r="C206" s="166">
        <v>116464.9</v>
      </c>
      <c r="D206" s="166">
        <v>-130.5</v>
      </c>
      <c r="E206" s="166">
        <v>6621.6</v>
      </c>
      <c r="F206" s="166">
        <v>0</v>
      </c>
      <c r="G206" s="166">
        <v>93560.5</v>
      </c>
      <c r="H206" s="166">
        <v>312873.90000000002</v>
      </c>
      <c r="I206" s="166">
        <v>122271.90395000001</v>
      </c>
      <c r="J206" s="166">
        <v>5967.7960499999999</v>
      </c>
      <c r="K206" s="166">
        <v>9268.1</v>
      </c>
      <c r="L206" s="166">
        <v>30602.7</v>
      </c>
      <c r="M206" s="166">
        <v>1165.4000000000001</v>
      </c>
      <c r="N206" s="166">
        <v>2770.3</v>
      </c>
      <c r="O206" s="254">
        <v>737211.4</v>
      </c>
      <c r="P206" s="166">
        <v>9983.4</v>
      </c>
      <c r="Q206" s="166">
        <v>-50980.5</v>
      </c>
      <c r="R206" s="166">
        <v>0</v>
      </c>
      <c r="S206" s="166">
        <v>0</v>
      </c>
      <c r="T206" s="166">
        <v>-4149.1000000000004</v>
      </c>
      <c r="U206" s="166">
        <v>-62958.9</v>
      </c>
      <c r="V206" s="254">
        <v>629106.30000000005</v>
      </c>
      <c r="W206" s="166">
        <v>0</v>
      </c>
      <c r="X206" s="186">
        <f t="shared" si="29"/>
        <v>42.440187441485577</v>
      </c>
      <c r="Y206" s="185">
        <f t="shared" si="30"/>
        <v>312.87390000000005</v>
      </c>
      <c r="Z206" s="186">
        <f t="shared" si="31"/>
        <v>16.585731575773245</v>
      </c>
      <c r="AA206" s="185">
        <f t="shared" si="32"/>
        <v>122.27190395000001</v>
      </c>
    </row>
    <row r="207" spans="1:27" ht="14.25">
      <c r="A207" s="302">
        <v>24</v>
      </c>
      <c r="B207" s="166">
        <v>66181.399999999994</v>
      </c>
      <c r="C207" s="166">
        <v>116185.8</v>
      </c>
      <c r="D207" s="166">
        <v>-75.5</v>
      </c>
      <c r="E207" s="166">
        <v>6621.6</v>
      </c>
      <c r="F207" s="166">
        <v>0</v>
      </c>
      <c r="G207" s="166">
        <v>133471.1</v>
      </c>
      <c r="H207" s="166">
        <v>123371.2</v>
      </c>
      <c r="I207" s="166">
        <v>124584.10769600001</v>
      </c>
      <c r="J207" s="166">
        <v>7035.7923039999996</v>
      </c>
      <c r="K207" s="166">
        <v>11068.2</v>
      </c>
      <c r="L207" s="166">
        <v>47962.8</v>
      </c>
      <c r="M207" s="166">
        <v>1249.95</v>
      </c>
      <c r="N207" s="166">
        <v>2631.05</v>
      </c>
      <c r="O207" s="254">
        <v>640287.5</v>
      </c>
      <c r="P207" s="166">
        <v>18222.900000000001</v>
      </c>
      <c r="Q207" s="166">
        <v>-18673.7</v>
      </c>
      <c r="R207" s="166">
        <v>0</v>
      </c>
      <c r="S207" s="166">
        <v>0</v>
      </c>
      <c r="T207" s="166">
        <v>-3733.3</v>
      </c>
      <c r="U207" s="166">
        <v>-3715.9</v>
      </c>
      <c r="V207" s="254">
        <v>632387.5</v>
      </c>
      <c r="W207" s="166">
        <v>0</v>
      </c>
      <c r="X207" s="186">
        <f>IFERROR($H207/$O207*100,"")</f>
        <v>19.268094410713939</v>
      </c>
      <c r="Y207" s="185">
        <f t="shared" si="30"/>
        <v>123.3712</v>
      </c>
      <c r="Z207" s="186">
        <f t="shared" si="31"/>
        <v>19.457526141928433</v>
      </c>
      <c r="AA207" s="185">
        <f t="shared" si="32"/>
        <v>124.584107696</v>
      </c>
    </row>
    <row r="208" spans="1:27" ht="14.25">
      <c r="A208" s="302">
        <v>25</v>
      </c>
      <c r="B208" s="166">
        <v>62068.5</v>
      </c>
      <c r="C208" s="166">
        <v>96480.7</v>
      </c>
      <c r="D208" s="166">
        <v>-102</v>
      </c>
      <c r="E208" s="166">
        <v>5520</v>
      </c>
      <c r="F208" s="166">
        <v>0</v>
      </c>
      <c r="G208" s="166">
        <v>133274.79999999999</v>
      </c>
      <c r="H208" s="166">
        <v>116903.2</v>
      </c>
      <c r="I208" s="166">
        <v>110185.532198</v>
      </c>
      <c r="J208" s="166">
        <v>7483.3678019999998</v>
      </c>
      <c r="K208" s="166">
        <v>11266.5</v>
      </c>
      <c r="L208" s="166">
        <v>45742.9</v>
      </c>
      <c r="M208" s="166">
        <v>1251.3499999999999</v>
      </c>
      <c r="N208" s="166">
        <v>2728.65</v>
      </c>
      <c r="O208" s="254">
        <v>592803.5</v>
      </c>
      <c r="P208" s="166">
        <v>15637.6</v>
      </c>
      <c r="Q208" s="166">
        <v>-21673.1</v>
      </c>
      <c r="R208" s="166">
        <v>0</v>
      </c>
      <c r="S208" s="166">
        <v>0</v>
      </c>
      <c r="T208" s="166">
        <v>-2989.2</v>
      </c>
      <c r="U208" s="166">
        <v>-19510.5</v>
      </c>
      <c r="V208" s="254">
        <v>564268.30000000005</v>
      </c>
      <c r="W208" s="166">
        <v>0</v>
      </c>
      <c r="X208" s="186">
        <f t="shared" si="29"/>
        <v>19.720396387673151</v>
      </c>
      <c r="Y208" s="185">
        <f t="shared" si="30"/>
        <v>116.9032</v>
      </c>
      <c r="Z208" s="186">
        <f t="shared" si="31"/>
        <v>18.58719326016125</v>
      </c>
      <c r="AA208" s="185">
        <f t="shared" si="32"/>
        <v>110.185532198</v>
      </c>
    </row>
    <row r="209" spans="1:27" ht="14.25">
      <c r="A209" s="302">
        <v>26</v>
      </c>
      <c r="B209" s="166">
        <v>41250.5</v>
      </c>
      <c r="C209" s="166">
        <v>99491.3</v>
      </c>
      <c r="D209" s="166">
        <v>-125</v>
      </c>
      <c r="E209" s="166">
        <v>5750</v>
      </c>
      <c r="F209" s="166">
        <v>0</v>
      </c>
      <c r="G209" s="166">
        <v>115191</v>
      </c>
      <c r="H209" s="166">
        <v>184331.2</v>
      </c>
      <c r="I209" s="166">
        <v>99500.908775999997</v>
      </c>
      <c r="J209" s="166">
        <v>1466.891224</v>
      </c>
      <c r="K209" s="166">
        <v>11111.2</v>
      </c>
      <c r="L209" s="166">
        <v>41278.1</v>
      </c>
      <c r="M209" s="166">
        <v>1441.5</v>
      </c>
      <c r="N209" s="166">
        <v>2807.2</v>
      </c>
      <c r="O209" s="254">
        <v>603494.80000000005</v>
      </c>
      <c r="P209" s="166">
        <v>9151.1</v>
      </c>
      <c r="Q209" s="166">
        <v>-46055.6</v>
      </c>
      <c r="R209" s="166">
        <v>0</v>
      </c>
      <c r="S209" s="166">
        <v>0</v>
      </c>
      <c r="T209" s="166">
        <v>-4560</v>
      </c>
      <c r="U209" s="166">
        <v>-25152.5</v>
      </c>
      <c r="V209" s="254">
        <v>536877.80000000005</v>
      </c>
      <c r="W209" s="166">
        <v>0</v>
      </c>
      <c r="X209" s="186">
        <f t="shared" si="29"/>
        <v>30.543958290941365</v>
      </c>
      <c r="Y209" s="185">
        <f t="shared" si="30"/>
        <v>184.33120000000002</v>
      </c>
      <c r="Z209" s="186">
        <f t="shared" si="31"/>
        <v>16.487450890380494</v>
      </c>
      <c r="AA209" s="185">
        <f t="shared" si="32"/>
        <v>99.500908776000003</v>
      </c>
    </row>
    <row r="210" spans="1:27" ht="14.25">
      <c r="A210" s="302">
        <v>27</v>
      </c>
      <c r="B210" s="166">
        <v>61627.5</v>
      </c>
      <c r="C210" s="166">
        <v>105112.7</v>
      </c>
      <c r="D210" s="166">
        <v>-77</v>
      </c>
      <c r="E210" s="166">
        <v>7642</v>
      </c>
      <c r="F210" s="166">
        <v>0</v>
      </c>
      <c r="G210" s="166">
        <v>149901.70000000001</v>
      </c>
      <c r="H210" s="166">
        <v>95352.5</v>
      </c>
      <c r="I210" s="166">
        <v>149923.61534600001</v>
      </c>
      <c r="J210" s="166">
        <v>7306.8846540000004</v>
      </c>
      <c r="K210" s="166">
        <v>10547.4</v>
      </c>
      <c r="L210" s="166">
        <v>44711.1</v>
      </c>
      <c r="M210" s="166">
        <v>1483.95</v>
      </c>
      <c r="N210" s="166">
        <v>3022.25</v>
      </c>
      <c r="O210" s="254">
        <v>636554.6</v>
      </c>
      <c r="P210" s="166">
        <v>19514</v>
      </c>
      <c r="Q210" s="166">
        <v>-21819.3</v>
      </c>
      <c r="R210" s="166">
        <v>0</v>
      </c>
      <c r="S210" s="166">
        <v>0</v>
      </c>
      <c r="T210" s="166">
        <v>-3225</v>
      </c>
      <c r="U210" s="166">
        <v>-15467.5</v>
      </c>
      <c r="V210" s="254">
        <v>615556.80000000005</v>
      </c>
      <c r="W210" s="166">
        <v>0</v>
      </c>
      <c r="X210" s="186">
        <f t="shared" si="29"/>
        <v>14.979469161011483</v>
      </c>
      <c r="Y210" s="185">
        <f t="shared" si="30"/>
        <v>95.352500000000006</v>
      </c>
      <c r="Z210" s="186">
        <f t="shared" si="31"/>
        <v>23.552357542620854</v>
      </c>
      <c r="AA210" s="185">
        <f t="shared" si="32"/>
        <v>149.92361534600002</v>
      </c>
    </row>
    <row r="211" spans="1:27" ht="14.25">
      <c r="A211" s="302">
        <v>28</v>
      </c>
      <c r="B211" s="166">
        <v>62142</v>
      </c>
      <c r="C211" s="166">
        <v>109497.3</v>
      </c>
      <c r="D211" s="166">
        <v>-72</v>
      </c>
      <c r="E211" s="166">
        <v>7370.8</v>
      </c>
      <c r="F211" s="166">
        <v>0</v>
      </c>
      <c r="G211" s="166">
        <v>186271.5</v>
      </c>
      <c r="H211" s="166">
        <v>94516.800000000003</v>
      </c>
      <c r="I211" s="166">
        <v>120124.051596</v>
      </c>
      <c r="J211" s="166">
        <v>2345.648404</v>
      </c>
      <c r="K211" s="166">
        <v>11184.5</v>
      </c>
      <c r="L211" s="166">
        <v>49445.599999999999</v>
      </c>
      <c r="M211" s="166">
        <v>2183.8000000000002</v>
      </c>
      <c r="N211" s="166">
        <v>3752.9</v>
      </c>
      <c r="O211" s="254">
        <v>648762.9</v>
      </c>
      <c r="P211" s="166">
        <v>16505.7</v>
      </c>
      <c r="Q211" s="166">
        <v>-12889.9</v>
      </c>
      <c r="R211" s="166">
        <v>0</v>
      </c>
      <c r="S211" s="166">
        <v>0</v>
      </c>
      <c r="T211" s="166">
        <v>-3089</v>
      </c>
      <c r="U211" s="166">
        <v>-9857.5</v>
      </c>
      <c r="V211" s="254">
        <v>639432.19999999995</v>
      </c>
      <c r="W211" s="166">
        <v>0</v>
      </c>
      <c r="X211" s="186">
        <f t="shared" si="29"/>
        <v>14.568773892588494</v>
      </c>
      <c r="Y211" s="185">
        <f t="shared" si="30"/>
        <v>94.516800000000003</v>
      </c>
      <c r="Z211" s="186">
        <f t="shared" si="31"/>
        <v>18.515863283180959</v>
      </c>
      <c r="AA211" s="185">
        <f t="shared" si="32"/>
        <v>120.124051596</v>
      </c>
    </row>
    <row r="212" spans="1:27" ht="14.25">
      <c r="A212" s="302">
        <v>29</v>
      </c>
      <c r="B212" s="166">
        <v>59285.9</v>
      </c>
      <c r="C212" s="166">
        <v>114024</v>
      </c>
      <c r="D212" s="166">
        <v>1479.5</v>
      </c>
      <c r="E212" s="166">
        <v>6782</v>
      </c>
      <c r="F212" s="166">
        <v>0</v>
      </c>
      <c r="G212" s="166">
        <v>213922.5</v>
      </c>
      <c r="H212" s="166">
        <v>166587.29999999999</v>
      </c>
      <c r="I212" s="166">
        <v>57283.782973000001</v>
      </c>
      <c r="J212" s="166">
        <v>836.51702699999998</v>
      </c>
      <c r="K212" s="166">
        <v>11355.8</v>
      </c>
      <c r="L212" s="166">
        <v>49916.7</v>
      </c>
      <c r="M212" s="166">
        <v>2276.4</v>
      </c>
      <c r="N212" s="166">
        <v>3771.7</v>
      </c>
      <c r="O212" s="254">
        <v>687522.1</v>
      </c>
      <c r="P212" s="166">
        <v>12692.2</v>
      </c>
      <c r="Q212" s="166">
        <v>-15253.1</v>
      </c>
      <c r="R212" s="166">
        <v>0</v>
      </c>
      <c r="S212" s="166">
        <v>0</v>
      </c>
      <c r="T212" s="166">
        <v>-3240</v>
      </c>
      <c r="U212" s="166">
        <v>-30459.7</v>
      </c>
      <c r="V212" s="254">
        <v>651261.5</v>
      </c>
      <c r="W212" s="166">
        <v>0</v>
      </c>
      <c r="X212" s="186">
        <f t="shared" si="29"/>
        <v>24.230101112386059</v>
      </c>
      <c r="Y212" s="185">
        <f t="shared" si="30"/>
        <v>166.5873</v>
      </c>
      <c r="Z212" s="186">
        <f t="shared" si="31"/>
        <v>8.3319187809380963</v>
      </c>
      <c r="AA212" s="185">
        <f t="shared" si="32"/>
        <v>57.283782973000001</v>
      </c>
    </row>
    <row r="213" spans="1:27" ht="14.25">
      <c r="A213" s="302">
        <v>30</v>
      </c>
      <c r="B213" s="166">
        <v>50360.4</v>
      </c>
      <c r="C213" s="166">
        <v>119601.9</v>
      </c>
      <c r="D213" s="166">
        <v>1576.6</v>
      </c>
      <c r="E213" s="166">
        <v>6621.6</v>
      </c>
      <c r="F213" s="166">
        <v>0</v>
      </c>
      <c r="G213" s="166">
        <v>157327</v>
      </c>
      <c r="H213" s="166">
        <v>174648.5</v>
      </c>
      <c r="I213" s="166">
        <v>99569.327038999996</v>
      </c>
      <c r="J213" s="166">
        <v>2468.5729609999999</v>
      </c>
      <c r="K213" s="166">
        <v>11151.8</v>
      </c>
      <c r="L213" s="166">
        <v>47183.4</v>
      </c>
      <c r="M213" s="166">
        <v>2243.9499999999998</v>
      </c>
      <c r="N213" s="166">
        <v>3684.65</v>
      </c>
      <c r="O213" s="254">
        <v>676437.7</v>
      </c>
      <c r="P213" s="166">
        <v>12728.1</v>
      </c>
      <c r="Q213" s="166">
        <v>-20193.7</v>
      </c>
      <c r="R213" s="166">
        <v>0</v>
      </c>
      <c r="S213" s="166">
        <v>0</v>
      </c>
      <c r="T213" s="166">
        <v>-2913.2</v>
      </c>
      <c r="U213" s="166">
        <v>-26156.799999999999</v>
      </c>
      <c r="V213" s="254">
        <v>639902.1</v>
      </c>
      <c r="W213" s="166">
        <v>0</v>
      </c>
      <c r="X213" s="186">
        <f t="shared" si="29"/>
        <v>25.818859593425973</v>
      </c>
      <c r="Y213" s="185">
        <f t="shared" si="30"/>
        <v>174.64850000000001</v>
      </c>
      <c r="Z213" s="186">
        <f t="shared" si="31"/>
        <v>14.719659628521592</v>
      </c>
      <c r="AA213" s="185">
        <f t="shared" si="32"/>
        <v>99.569327039000001</v>
      </c>
    </row>
    <row r="214" spans="1:27" ht="14.25">
      <c r="A214" s="302">
        <v>31</v>
      </c>
      <c r="B214" s="166">
        <v>36423.699999999997</v>
      </c>
      <c r="C214" s="166">
        <v>119253</v>
      </c>
      <c r="D214" s="166">
        <v>-120</v>
      </c>
      <c r="E214" s="166">
        <v>6621.6</v>
      </c>
      <c r="F214" s="166">
        <v>0</v>
      </c>
      <c r="G214" s="166">
        <v>83375.600000000006</v>
      </c>
      <c r="H214" s="166">
        <v>252671.8</v>
      </c>
      <c r="I214" s="166">
        <v>86608.372046000004</v>
      </c>
      <c r="J214" s="166">
        <v>531.62795400000005</v>
      </c>
      <c r="K214" s="166">
        <v>10277.1</v>
      </c>
      <c r="L214" s="166">
        <v>44541.1</v>
      </c>
      <c r="M214" s="166">
        <v>2051.6999999999998</v>
      </c>
      <c r="N214" s="166">
        <v>3122.2</v>
      </c>
      <c r="O214" s="254">
        <v>645357.80000000005</v>
      </c>
      <c r="P214" s="166">
        <v>13874.8</v>
      </c>
      <c r="Q214" s="166">
        <v>-30567.5</v>
      </c>
      <c r="R214" s="166">
        <v>0</v>
      </c>
      <c r="S214" s="166">
        <v>0</v>
      </c>
      <c r="T214" s="166">
        <v>-4265</v>
      </c>
      <c r="U214" s="166">
        <v>2227.1</v>
      </c>
      <c r="V214" s="254">
        <v>626627.19999999995</v>
      </c>
      <c r="W214" s="166">
        <v>0</v>
      </c>
      <c r="X214" s="186">
        <f t="shared" si="29"/>
        <v>39.152203630296242</v>
      </c>
      <c r="Y214" s="185">
        <f t="shared" si="30"/>
        <v>252.67179999999999</v>
      </c>
      <c r="Z214" s="186">
        <f t="shared" si="31"/>
        <v>13.420210005364467</v>
      </c>
      <c r="AA214" s="185">
        <f t="shared" si="32"/>
        <v>86.608372046</v>
      </c>
    </row>
    <row r="215" spans="1:27">
      <c r="H215">
        <f>MAX(H184:H213)</f>
        <v>342412.2</v>
      </c>
      <c r="I215">
        <f>MAX(I184:I213)</f>
        <v>178380.25599999999</v>
      </c>
    </row>
    <row r="216" spans="1:27" ht="14.25">
      <c r="W216" s="259"/>
      <c r="Y216" s="260"/>
    </row>
    <row r="219" spans="1:27">
      <c r="A219" s="163" t="s">
        <v>29</v>
      </c>
      <c r="B219" s="329" t="s">
        <v>253</v>
      </c>
      <c r="C219" s="330"/>
      <c r="D219" s="330"/>
      <c r="E219" s="330"/>
      <c r="F219" s="330"/>
      <c r="G219" s="330"/>
      <c r="H219" s="330"/>
      <c r="I219" s="330"/>
      <c r="J219" s="330"/>
      <c r="K219" s="330"/>
      <c r="L219" s="330"/>
      <c r="M219" s="330"/>
      <c r="N219" s="330"/>
      <c r="O219" s="330"/>
      <c r="P219" s="330"/>
      <c r="Q219" s="330"/>
      <c r="R219" s="330"/>
      <c r="S219" s="330"/>
    </row>
    <row r="220" spans="1:27">
      <c r="A220" s="163" t="s">
        <v>100</v>
      </c>
      <c r="B220" s="331" t="s">
        <v>93</v>
      </c>
      <c r="C220" s="332"/>
      <c r="D220" s="332"/>
      <c r="E220" s="332"/>
      <c r="F220" s="332"/>
      <c r="G220" s="332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2"/>
      <c r="S220" s="332"/>
    </row>
    <row r="221" spans="1:27">
      <c r="A221" s="163" t="s">
        <v>101</v>
      </c>
      <c r="B221" s="325" t="s">
        <v>114</v>
      </c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</row>
    <row r="222" spans="1:27">
      <c r="A222" s="167" t="s">
        <v>102</v>
      </c>
      <c r="B222" s="270" t="s">
        <v>2</v>
      </c>
      <c r="C222" s="270" t="s">
        <v>3</v>
      </c>
      <c r="D222" s="270" t="s">
        <v>4</v>
      </c>
      <c r="E222" s="270" t="s">
        <v>135</v>
      </c>
      <c r="F222" s="270" t="s">
        <v>11</v>
      </c>
      <c r="G222" s="270" t="s">
        <v>5</v>
      </c>
      <c r="H222" s="270" t="s">
        <v>6</v>
      </c>
      <c r="I222" s="270" t="s">
        <v>7</v>
      </c>
      <c r="J222" s="270" t="s">
        <v>8</v>
      </c>
      <c r="K222" s="270" t="s">
        <v>9</v>
      </c>
      <c r="L222" s="270" t="s">
        <v>66</v>
      </c>
      <c r="M222" s="270" t="s">
        <v>67</v>
      </c>
      <c r="N222" s="182" t="s">
        <v>10</v>
      </c>
      <c r="O222" s="270" t="s">
        <v>78</v>
      </c>
      <c r="P222" s="270" t="s">
        <v>115</v>
      </c>
      <c r="Q222" s="270" t="s">
        <v>92</v>
      </c>
      <c r="R222" s="270" t="s">
        <v>116</v>
      </c>
      <c r="S222" s="182" t="s">
        <v>117</v>
      </c>
      <c r="X222" s="184" t="s">
        <v>118</v>
      </c>
    </row>
    <row r="223" spans="1:27" ht="14.25">
      <c r="A223" s="167" t="s">
        <v>113</v>
      </c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183"/>
      <c r="O223" s="252"/>
      <c r="P223" s="252"/>
      <c r="Q223" s="252"/>
      <c r="R223" s="252"/>
      <c r="S223" s="183"/>
      <c r="X223" s="185"/>
    </row>
    <row r="224" spans="1:27" ht="14.25">
      <c r="A224" s="302">
        <v>1</v>
      </c>
      <c r="B224" s="166">
        <v>1.6843999999999999</v>
      </c>
      <c r="C224" s="166">
        <v>4.8662000000000001</v>
      </c>
      <c r="D224" s="166">
        <v>-5.0000000000000001E-3</v>
      </c>
      <c r="E224" s="166">
        <v>0.25040000000000001</v>
      </c>
      <c r="F224" s="166">
        <v>2.8658000000000001</v>
      </c>
      <c r="G224" s="166">
        <v>14.5265</v>
      </c>
      <c r="H224" s="166">
        <v>1.9E-3</v>
      </c>
      <c r="I224" s="166">
        <v>0</v>
      </c>
      <c r="J224" s="166">
        <v>0.41199999999999998</v>
      </c>
      <c r="K224" s="166">
        <v>1.5328999999999999</v>
      </c>
      <c r="L224" s="166">
        <v>5.6500000000000002E-2</v>
      </c>
      <c r="M224" s="166">
        <v>0.1166</v>
      </c>
      <c r="N224" s="254">
        <v>26.308199999999999</v>
      </c>
      <c r="O224" s="166">
        <v>0.62239999999999995</v>
      </c>
      <c r="P224" s="166">
        <v>-0.32300000000000001</v>
      </c>
      <c r="Q224" s="166">
        <v>-0.10199999999999999</v>
      </c>
      <c r="R224" s="166">
        <v>-3.3513999999999999</v>
      </c>
      <c r="S224" s="254">
        <v>23.154199999999999</v>
      </c>
      <c r="X224" s="186">
        <f>IFERROR(G224/N224*100,"")</f>
        <v>55.216624474498445</v>
      </c>
    </row>
    <row r="225" spans="1:24" ht="14.25">
      <c r="A225" s="302">
        <v>2</v>
      </c>
      <c r="B225" s="166">
        <v>1.6240000000000001</v>
      </c>
      <c r="C225" s="166">
        <v>4.8662000000000001</v>
      </c>
      <c r="D225" s="166">
        <v>-5.0000000000000001E-3</v>
      </c>
      <c r="E225" s="166">
        <v>0.23</v>
      </c>
      <c r="F225" s="166">
        <v>3.1629999999999998</v>
      </c>
      <c r="G225" s="166">
        <v>14.2821</v>
      </c>
      <c r="H225" s="166">
        <v>1.8E-3</v>
      </c>
      <c r="I225" s="166">
        <v>0</v>
      </c>
      <c r="J225" s="166">
        <v>0.41599999999999998</v>
      </c>
      <c r="K225" s="166">
        <v>1.4511000000000001</v>
      </c>
      <c r="L225" s="166">
        <v>5.6750000000000002E-2</v>
      </c>
      <c r="M225" s="166">
        <v>0.11645</v>
      </c>
      <c r="N225" s="254">
        <v>26.202400000000001</v>
      </c>
      <c r="O225" s="166">
        <v>0.56000000000000005</v>
      </c>
      <c r="P225" s="166">
        <v>-0.55410000000000004</v>
      </c>
      <c r="Q225" s="166">
        <v>-0.10199999999999999</v>
      </c>
      <c r="R225" s="166">
        <v>-4.0449999999999999</v>
      </c>
      <c r="S225" s="254">
        <v>22.061299999999999</v>
      </c>
      <c r="X225" s="186">
        <f t="shared" ref="X225:X250" si="33">IFERROR(G225/N225*100,"")</f>
        <v>54.506839068176959</v>
      </c>
    </row>
    <row r="226" spans="1:24" ht="14.25">
      <c r="A226" s="302">
        <v>3</v>
      </c>
      <c r="B226" s="166">
        <v>1.4992000000000001</v>
      </c>
      <c r="C226" s="166">
        <v>4.8642000000000003</v>
      </c>
      <c r="D226" s="166">
        <v>-5.0000000000000001E-3</v>
      </c>
      <c r="E226" s="166">
        <v>0.23</v>
      </c>
      <c r="F226" s="166">
        <v>3.6764000000000001</v>
      </c>
      <c r="G226" s="166">
        <v>14.236599999999999</v>
      </c>
      <c r="H226" s="166">
        <v>1.8E-3</v>
      </c>
      <c r="I226" s="166">
        <v>0</v>
      </c>
      <c r="J226" s="166">
        <v>0.41539999999999999</v>
      </c>
      <c r="K226" s="166">
        <v>1.4474</v>
      </c>
      <c r="L226" s="166">
        <v>5.6750000000000002E-2</v>
      </c>
      <c r="M226" s="166">
        <v>0.11695</v>
      </c>
      <c r="N226" s="254">
        <v>26.5397</v>
      </c>
      <c r="O226" s="166">
        <v>0.1203</v>
      </c>
      <c r="P226" s="166">
        <v>-1.1873</v>
      </c>
      <c r="Q226" s="166">
        <v>-0.10199999999999999</v>
      </c>
      <c r="R226" s="166">
        <v>-4.1109999999999998</v>
      </c>
      <c r="S226" s="254">
        <v>21.259699999999999</v>
      </c>
      <c r="X226" s="186">
        <f t="shared" si="33"/>
        <v>53.64265609633869</v>
      </c>
    </row>
    <row r="227" spans="1:24" ht="14.25">
      <c r="A227" s="302">
        <v>4</v>
      </c>
      <c r="B227" s="166">
        <v>1.2712000000000001</v>
      </c>
      <c r="C227" s="166">
        <v>4.8681999999999999</v>
      </c>
      <c r="D227" s="166">
        <v>-5.0000000000000001E-3</v>
      </c>
      <c r="E227" s="166">
        <v>0.23</v>
      </c>
      <c r="F227" s="166">
        <v>2.7393000000000001</v>
      </c>
      <c r="G227" s="166">
        <v>14.5808</v>
      </c>
      <c r="H227" s="166">
        <v>1.8E-3</v>
      </c>
      <c r="I227" s="166">
        <v>0</v>
      </c>
      <c r="J227" s="166">
        <v>0.41320000000000001</v>
      </c>
      <c r="K227" s="166">
        <v>1.4355</v>
      </c>
      <c r="L227" s="166">
        <v>5.6800000000000003E-2</v>
      </c>
      <c r="M227" s="166">
        <v>0.11700000000000001</v>
      </c>
      <c r="N227" s="254">
        <v>25.7088</v>
      </c>
      <c r="O227" s="166">
        <v>0.05</v>
      </c>
      <c r="P227" s="166">
        <v>-2.1888000000000001</v>
      </c>
      <c r="Q227" s="166">
        <v>-0.10199999999999999</v>
      </c>
      <c r="R227" s="166">
        <v>-2.5110000000000001</v>
      </c>
      <c r="S227" s="254">
        <v>20.957000000000001</v>
      </c>
      <c r="X227" s="186">
        <f t="shared" si="33"/>
        <v>56.715210355987054</v>
      </c>
    </row>
    <row r="228" spans="1:24" ht="14.25">
      <c r="A228" s="302">
        <v>5</v>
      </c>
      <c r="B228" s="166">
        <v>1.2336</v>
      </c>
      <c r="C228" s="166">
        <v>4.8701999999999996</v>
      </c>
      <c r="D228" s="166">
        <v>-5.0000000000000001E-3</v>
      </c>
      <c r="E228" s="166">
        <v>0.23</v>
      </c>
      <c r="F228" s="166">
        <v>2.7288000000000001</v>
      </c>
      <c r="G228" s="166">
        <v>14.816599999999999</v>
      </c>
      <c r="H228" s="166">
        <v>1.8E-3</v>
      </c>
      <c r="I228" s="166">
        <v>0</v>
      </c>
      <c r="J228" s="166">
        <v>0.41389999999999999</v>
      </c>
      <c r="K228" s="166">
        <v>1.431</v>
      </c>
      <c r="L228" s="166">
        <v>5.6750000000000002E-2</v>
      </c>
      <c r="M228" s="166">
        <v>0.11745</v>
      </c>
      <c r="N228" s="254">
        <v>25.895099999999999</v>
      </c>
      <c r="O228" s="166">
        <v>0.05</v>
      </c>
      <c r="P228" s="166">
        <v>-2.1219999999999999</v>
      </c>
      <c r="Q228" s="166">
        <v>-0.10199999999999999</v>
      </c>
      <c r="R228" s="166">
        <v>-2.8098000000000001</v>
      </c>
      <c r="S228" s="254">
        <v>20.911300000000001</v>
      </c>
      <c r="X228" s="186">
        <f t="shared" si="33"/>
        <v>57.217774791369791</v>
      </c>
    </row>
    <row r="229" spans="1:24" ht="14.25">
      <c r="A229" s="302">
        <v>6</v>
      </c>
      <c r="B229" s="166">
        <v>1.5043</v>
      </c>
      <c r="C229" s="166">
        <v>4.8701999999999996</v>
      </c>
      <c r="D229" s="166">
        <v>-5.0000000000000001E-3</v>
      </c>
      <c r="E229" s="166">
        <v>0.23</v>
      </c>
      <c r="F229" s="166">
        <v>2.8239000000000001</v>
      </c>
      <c r="G229" s="166">
        <v>15.095599999999999</v>
      </c>
      <c r="H229" s="166">
        <v>1.8E-3</v>
      </c>
      <c r="I229" s="166">
        <v>0</v>
      </c>
      <c r="J229" s="166">
        <v>0.41549999999999998</v>
      </c>
      <c r="K229" s="166">
        <v>1.4272</v>
      </c>
      <c r="L229" s="166">
        <v>5.6800000000000003E-2</v>
      </c>
      <c r="M229" s="166">
        <v>0.1195</v>
      </c>
      <c r="N229" s="254">
        <v>26.5398</v>
      </c>
      <c r="O229" s="166">
        <v>0.08</v>
      </c>
      <c r="P229" s="166">
        <v>-1.5183</v>
      </c>
      <c r="Q229" s="166">
        <v>-0.10199999999999999</v>
      </c>
      <c r="R229" s="166">
        <v>-3.5129000000000001</v>
      </c>
      <c r="S229" s="254">
        <v>21.486599999999999</v>
      </c>
      <c r="X229" s="186">
        <f t="shared" si="33"/>
        <v>56.879102329331801</v>
      </c>
    </row>
    <row r="230" spans="1:24" ht="14.25">
      <c r="A230" s="302">
        <v>7</v>
      </c>
      <c r="B230" s="166">
        <v>1.3486</v>
      </c>
      <c r="C230" s="166">
        <v>4.8701999999999996</v>
      </c>
      <c r="D230" s="166">
        <v>-5.0000000000000001E-3</v>
      </c>
      <c r="E230" s="166">
        <v>0.25040000000000001</v>
      </c>
      <c r="F230" s="166">
        <v>2.9115000000000002</v>
      </c>
      <c r="G230" s="166">
        <v>15.3575</v>
      </c>
      <c r="H230" s="166">
        <v>1.9E-3</v>
      </c>
      <c r="I230" s="166">
        <v>0</v>
      </c>
      <c r="J230" s="166">
        <v>0.41610000000000003</v>
      </c>
      <c r="K230" s="166">
        <v>1.5343</v>
      </c>
      <c r="L230" s="166">
        <v>5.6300000000000003E-2</v>
      </c>
      <c r="M230" s="166">
        <v>0.1193</v>
      </c>
      <c r="N230" s="254">
        <v>26.8611</v>
      </c>
      <c r="O230" s="166">
        <v>0.54910000000000003</v>
      </c>
      <c r="P230" s="166">
        <v>-0.78029999999999999</v>
      </c>
      <c r="Q230" s="166">
        <v>-0.17899999999999999</v>
      </c>
      <c r="R230" s="166">
        <v>-2.6288999999999998</v>
      </c>
      <c r="S230" s="254">
        <v>23.821999999999999</v>
      </c>
      <c r="X230" s="186">
        <f t="shared" si="33"/>
        <v>57.173756845400966</v>
      </c>
    </row>
    <row r="231" spans="1:24" ht="14.25">
      <c r="A231" s="302">
        <v>8</v>
      </c>
      <c r="B231" s="166">
        <v>2.3109000000000002</v>
      </c>
      <c r="C231" s="166">
        <v>4.8701999999999996</v>
      </c>
      <c r="D231" s="166">
        <v>-5.0000000000000001E-3</v>
      </c>
      <c r="E231" s="166">
        <v>0.3</v>
      </c>
      <c r="F231" s="166">
        <v>3.8363</v>
      </c>
      <c r="G231" s="166">
        <v>15.139099999999999</v>
      </c>
      <c r="H231" s="166">
        <v>2.3E-3</v>
      </c>
      <c r="I231" s="166">
        <v>1E-4</v>
      </c>
      <c r="J231" s="166">
        <v>0.40100000000000002</v>
      </c>
      <c r="K231" s="166">
        <v>1.6434</v>
      </c>
      <c r="L231" s="166">
        <v>5.6149999999999999E-2</v>
      </c>
      <c r="M231" s="166">
        <v>0.11935</v>
      </c>
      <c r="N231" s="254">
        <v>28.6738</v>
      </c>
      <c r="O231" s="166">
        <v>1.3968</v>
      </c>
      <c r="P231" s="166">
        <v>-0.32300000000000001</v>
      </c>
      <c r="Q231" s="166">
        <v>-0.23499999999999999</v>
      </c>
      <c r="R231" s="166">
        <v>-2.1311</v>
      </c>
      <c r="S231" s="254">
        <v>27.381499999999999</v>
      </c>
      <c r="X231" s="186">
        <f t="shared" si="33"/>
        <v>52.797675927153009</v>
      </c>
    </row>
    <row r="232" spans="1:24" ht="14.25">
      <c r="A232" s="302">
        <v>9</v>
      </c>
      <c r="B232" s="166">
        <v>2.8895</v>
      </c>
      <c r="C232" s="166">
        <v>4.8681999999999999</v>
      </c>
      <c r="D232" s="166">
        <v>-5.0000000000000001E-3</v>
      </c>
      <c r="E232" s="166">
        <v>0.3</v>
      </c>
      <c r="F232" s="166">
        <v>5.4951999999999996</v>
      </c>
      <c r="G232" s="166">
        <v>14.3368</v>
      </c>
      <c r="H232" s="166">
        <v>0.254732719</v>
      </c>
      <c r="I232" s="166">
        <v>-1.9327190000000001E-3</v>
      </c>
      <c r="J232" s="166">
        <v>0.39800000000000002</v>
      </c>
      <c r="K232" s="166">
        <v>1.6727000000000001</v>
      </c>
      <c r="L232" s="166">
        <v>5.62E-2</v>
      </c>
      <c r="M232" s="166">
        <v>0.1171</v>
      </c>
      <c r="N232" s="254">
        <v>30.381499999999999</v>
      </c>
      <c r="O232" s="166">
        <v>1.5657000000000001</v>
      </c>
      <c r="P232" s="166">
        <v>-0.32300000000000001</v>
      </c>
      <c r="Q232" s="166">
        <v>-0.26600000000000001</v>
      </c>
      <c r="R232" s="166">
        <v>-1.9136</v>
      </c>
      <c r="S232" s="254">
        <v>29.444600000000001</v>
      </c>
      <c r="X232" s="186">
        <f t="shared" si="33"/>
        <v>47.189243454075672</v>
      </c>
    </row>
    <row r="233" spans="1:24" ht="14.25">
      <c r="A233" s="302">
        <v>10</v>
      </c>
      <c r="B233" s="166">
        <v>2.6312000000000002</v>
      </c>
      <c r="C233" s="166">
        <v>4.8722000000000003</v>
      </c>
      <c r="D233" s="166">
        <v>-5.0000000000000001E-3</v>
      </c>
      <c r="E233" s="166">
        <v>0.3</v>
      </c>
      <c r="F233" s="166">
        <v>4.9770000000000003</v>
      </c>
      <c r="G233" s="166">
        <v>13.870799999999999</v>
      </c>
      <c r="H233" s="166">
        <v>3.1343654390000002</v>
      </c>
      <c r="I233" s="166">
        <v>-3.5654390000000001E-3</v>
      </c>
      <c r="J233" s="166">
        <v>0.37140000000000001</v>
      </c>
      <c r="K233" s="166">
        <v>1.4801</v>
      </c>
      <c r="L233" s="166">
        <v>5.6099999999999997E-2</v>
      </c>
      <c r="M233" s="166">
        <v>9.8299999999999998E-2</v>
      </c>
      <c r="N233" s="254">
        <v>31.782900000000001</v>
      </c>
      <c r="O233" s="166">
        <v>1.034</v>
      </c>
      <c r="P233" s="166">
        <v>-0.32300000000000001</v>
      </c>
      <c r="Q233" s="166">
        <v>-0.26600000000000001</v>
      </c>
      <c r="R233" s="166">
        <v>-3.0131000000000001</v>
      </c>
      <c r="S233" s="254">
        <v>29.2148</v>
      </c>
      <c r="X233" s="186">
        <f t="shared" si="33"/>
        <v>43.642335973117611</v>
      </c>
    </row>
    <row r="234" spans="1:24" ht="14.25">
      <c r="A234" s="302">
        <v>11</v>
      </c>
      <c r="B234" s="166">
        <v>1.1444000000000001</v>
      </c>
      <c r="C234" s="166">
        <v>4.8701999999999996</v>
      </c>
      <c r="D234" s="166">
        <v>-5.0000000000000001E-3</v>
      </c>
      <c r="E234" s="166">
        <v>0.3</v>
      </c>
      <c r="F234" s="166">
        <v>3.8702000000000001</v>
      </c>
      <c r="G234" s="166">
        <v>13.3177</v>
      </c>
      <c r="H234" s="166">
        <v>8.3820672809999994</v>
      </c>
      <c r="I234" s="166">
        <v>6.0532718999999999E-2</v>
      </c>
      <c r="J234" s="166">
        <v>0.35449999999999998</v>
      </c>
      <c r="K234" s="166">
        <v>1.1950000000000001</v>
      </c>
      <c r="L234" s="166">
        <v>5.6149999999999999E-2</v>
      </c>
      <c r="M234" s="166">
        <v>9.8350000000000007E-2</v>
      </c>
      <c r="N234" s="254">
        <v>33.644100000000002</v>
      </c>
      <c r="O234" s="166">
        <v>0.29049999999999998</v>
      </c>
      <c r="P234" s="166">
        <v>-1.3708</v>
      </c>
      <c r="Q234" s="166">
        <v>-0.23499999999999999</v>
      </c>
      <c r="R234" s="166">
        <v>-3.9950999999999999</v>
      </c>
      <c r="S234" s="254">
        <v>28.3337</v>
      </c>
      <c r="X234" s="186">
        <f t="shared" si="33"/>
        <v>39.584057828861525</v>
      </c>
    </row>
    <row r="235" spans="1:24" ht="14.25">
      <c r="A235" s="302">
        <v>12</v>
      </c>
      <c r="B235" s="166">
        <v>0.53590000000000004</v>
      </c>
      <c r="C235" s="166">
        <v>4.8681999999999999</v>
      </c>
      <c r="D235" s="166">
        <v>-5.0000000000000001E-3</v>
      </c>
      <c r="E235" s="166">
        <v>0.31040000000000001</v>
      </c>
      <c r="F235" s="166">
        <v>3.2702</v>
      </c>
      <c r="G235" s="166">
        <v>13.1577</v>
      </c>
      <c r="H235" s="166">
        <v>11.72633364</v>
      </c>
      <c r="I235" s="166">
        <v>0.12496636</v>
      </c>
      <c r="J235" s="166">
        <v>0.33169999999999999</v>
      </c>
      <c r="K235" s="166">
        <v>1.0892999999999999</v>
      </c>
      <c r="L235" s="166">
        <v>5.6099999999999997E-2</v>
      </c>
      <c r="M235" s="166">
        <v>9.8299999999999998E-2</v>
      </c>
      <c r="N235" s="254">
        <v>35.564100000000003</v>
      </c>
      <c r="O235" s="166">
        <v>0</v>
      </c>
      <c r="P235" s="166">
        <v>-3.5457000000000001</v>
      </c>
      <c r="Q235" s="166">
        <v>-0.20399999999999999</v>
      </c>
      <c r="R235" s="166">
        <v>-4.2744999999999997</v>
      </c>
      <c r="S235" s="254">
        <v>27.539899999999999</v>
      </c>
      <c r="X235" s="186">
        <f t="shared" si="33"/>
        <v>36.997140374703704</v>
      </c>
    </row>
    <row r="236" spans="1:24" ht="14.25">
      <c r="A236" s="302">
        <v>13</v>
      </c>
      <c r="B236" s="166">
        <v>0.48699999999999999</v>
      </c>
      <c r="C236" s="166">
        <v>4.867</v>
      </c>
      <c r="D236" s="166">
        <v>-5.0000000000000001E-3</v>
      </c>
      <c r="E236" s="166">
        <v>0.35</v>
      </c>
      <c r="F236" s="166">
        <v>3.294</v>
      </c>
      <c r="G236" s="166">
        <v>11.867100000000001</v>
      </c>
      <c r="H236" s="166">
        <v>12.688599999999999</v>
      </c>
      <c r="I236" s="166">
        <v>0.1673</v>
      </c>
      <c r="J236" s="166">
        <v>0.32090000000000002</v>
      </c>
      <c r="K236" s="166">
        <v>1.0859000000000001</v>
      </c>
      <c r="L236" s="166">
        <v>5.6099999999999997E-2</v>
      </c>
      <c r="M236" s="166">
        <v>9.4899999999999998E-2</v>
      </c>
      <c r="N236" s="254">
        <v>35.273800000000001</v>
      </c>
      <c r="O236" s="166">
        <v>0</v>
      </c>
      <c r="P236" s="166">
        <v>-3.8828999999999998</v>
      </c>
      <c r="Q236" s="166">
        <v>-0.153</v>
      </c>
      <c r="R236" s="166">
        <v>-3.7681</v>
      </c>
      <c r="S236" s="254">
        <v>27.469799999999999</v>
      </c>
      <c r="X236" s="186">
        <f t="shared" si="33"/>
        <v>33.642817048347503</v>
      </c>
    </row>
    <row r="237" spans="1:24" ht="14.25">
      <c r="A237" s="302">
        <v>14</v>
      </c>
      <c r="B237" s="166">
        <v>0.48820000000000002</v>
      </c>
      <c r="C237" s="166">
        <v>4.8689999999999998</v>
      </c>
      <c r="D237" s="166">
        <v>-5.0000000000000001E-3</v>
      </c>
      <c r="E237" s="166">
        <v>0.35</v>
      </c>
      <c r="F237" s="166">
        <v>3.3443000000000001</v>
      </c>
      <c r="G237" s="166">
        <v>11.4373</v>
      </c>
      <c r="H237" s="166">
        <v>13.300249539999999</v>
      </c>
      <c r="I237" s="166">
        <v>0.21375046</v>
      </c>
      <c r="J237" s="166">
        <v>0.31659999999999999</v>
      </c>
      <c r="K237" s="166">
        <v>1.0761000000000001</v>
      </c>
      <c r="L237" s="166">
        <v>5.6099999999999997E-2</v>
      </c>
      <c r="M237" s="166">
        <v>9.4899999999999998E-2</v>
      </c>
      <c r="N237" s="254">
        <v>35.541499999999999</v>
      </c>
      <c r="O237" s="166">
        <v>0</v>
      </c>
      <c r="P237" s="166">
        <v>-3.9289999999999998</v>
      </c>
      <c r="Q237" s="166">
        <v>-0.153</v>
      </c>
      <c r="R237" s="166">
        <v>-3.4224000000000001</v>
      </c>
      <c r="S237" s="254">
        <v>28.037099999999999</v>
      </c>
      <c r="X237" s="186">
        <f t="shared" si="33"/>
        <v>32.180127456635205</v>
      </c>
    </row>
    <row r="238" spans="1:24" ht="14.25">
      <c r="A238" s="302">
        <v>15</v>
      </c>
      <c r="B238" s="166">
        <v>0.4788</v>
      </c>
      <c r="C238" s="166">
        <v>4.8710000000000004</v>
      </c>
      <c r="D238" s="166">
        <v>-5.0000000000000001E-3</v>
      </c>
      <c r="E238" s="166">
        <v>0.35</v>
      </c>
      <c r="F238" s="166">
        <v>3.3429000000000002</v>
      </c>
      <c r="G238" s="166">
        <v>11.2104</v>
      </c>
      <c r="H238" s="166">
        <v>12.776347698</v>
      </c>
      <c r="I238" s="166">
        <v>0.30415230199999999</v>
      </c>
      <c r="J238" s="166">
        <v>0.33779999999999999</v>
      </c>
      <c r="K238" s="166">
        <v>1.0611999999999999</v>
      </c>
      <c r="L238" s="166">
        <v>4.9149999999999999E-2</v>
      </c>
      <c r="M238" s="166">
        <v>8.795E-2</v>
      </c>
      <c r="N238" s="254">
        <v>34.864699999999999</v>
      </c>
      <c r="O238" s="166">
        <v>0</v>
      </c>
      <c r="P238" s="166">
        <v>-3.88</v>
      </c>
      <c r="Q238" s="166">
        <v>-0.153</v>
      </c>
      <c r="R238" s="166">
        <v>-3.2450999999999999</v>
      </c>
      <c r="S238" s="254">
        <v>27.586600000000001</v>
      </c>
      <c r="X238" s="186">
        <f t="shared" si="33"/>
        <v>32.15401251122195</v>
      </c>
    </row>
    <row r="239" spans="1:24" ht="14.25">
      <c r="A239" s="302">
        <v>16</v>
      </c>
      <c r="B239" s="166">
        <v>0.53769999999999996</v>
      </c>
      <c r="C239" s="166">
        <v>4.8689999999999998</v>
      </c>
      <c r="D239" s="166">
        <v>-5.0000000000000001E-3</v>
      </c>
      <c r="E239" s="166">
        <v>0.35</v>
      </c>
      <c r="F239" s="166">
        <v>3.3397000000000001</v>
      </c>
      <c r="G239" s="166">
        <v>11.266500000000001</v>
      </c>
      <c r="H239" s="166">
        <v>12.544831799000001</v>
      </c>
      <c r="I239" s="166">
        <v>0.39946820100000002</v>
      </c>
      <c r="J239" s="166">
        <v>0.34010000000000001</v>
      </c>
      <c r="K239" s="166">
        <v>1.0397000000000001</v>
      </c>
      <c r="L239" s="166">
        <v>5.67E-2</v>
      </c>
      <c r="M239" s="166">
        <v>9.5500000000000002E-2</v>
      </c>
      <c r="N239" s="254">
        <v>34.834200000000003</v>
      </c>
      <c r="O239" s="166">
        <v>0</v>
      </c>
      <c r="P239" s="166">
        <v>-3.8919999999999999</v>
      </c>
      <c r="Q239" s="166">
        <v>-0.153</v>
      </c>
      <c r="R239" s="166">
        <v>-3.4563999999999999</v>
      </c>
      <c r="S239" s="254">
        <v>27.332799999999999</v>
      </c>
      <c r="X239" s="186">
        <f t="shared" si="33"/>
        <v>32.343214427200856</v>
      </c>
    </row>
    <row r="240" spans="1:24" ht="14.25">
      <c r="A240" s="302">
        <v>17</v>
      </c>
      <c r="B240" s="166">
        <v>0.50260000000000005</v>
      </c>
      <c r="C240" s="166">
        <v>4.8689999999999998</v>
      </c>
      <c r="D240" s="166">
        <v>-5.0000000000000001E-3</v>
      </c>
      <c r="E240" s="166">
        <v>0.31040000000000001</v>
      </c>
      <c r="F240" s="166">
        <v>3.3426</v>
      </c>
      <c r="G240" s="166">
        <v>12.0755</v>
      </c>
      <c r="H240" s="166">
        <v>12.172799079000001</v>
      </c>
      <c r="I240" s="166">
        <v>0.51380092099999997</v>
      </c>
      <c r="J240" s="166">
        <v>0.3458</v>
      </c>
      <c r="K240" s="166">
        <v>1.0447</v>
      </c>
      <c r="L240" s="166">
        <v>5.645E-2</v>
      </c>
      <c r="M240" s="166">
        <v>9.5750000000000002E-2</v>
      </c>
      <c r="N240" s="254">
        <v>35.324399999999997</v>
      </c>
      <c r="O240" s="166">
        <v>0</v>
      </c>
      <c r="P240" s="166">
        <v>-3.8948</v>
      </c>
      <c r="Q240" s="166">
        <v>-0.20399999999999999</v>
      </c>
      <c r="R240" s="166">
        <v>-3.8992</v>
      </c>
      <c r="S240" s="254">
        <v>27.3264</v>
      </c>
      <c r="X240" s="186">
        <f t="shared" si="33"/>
        <v>34.184586291628449</v>
      </c>
    </row>
    <row r="241" spans="1:24" ht="14.25">
      <c r="A241" s="302">
        <v>18</v>
      </c>
      <c r="B241" s="166">
        <v>0.63719999999999999</v>
      </c>
      <c r="C241" s="166">
        <v>4.8710000000000004</v>
      </c>
      <c r="D241" s="166">
        <v>-5.0000000000000001E-3</v>
      </c>
      <c r="E241" s="166">
        <v>0.3</v>
      </c>
      <c r="F241" s="166">
        <v>3.5419999999999998</v>
      </c>
      <c r="G241" s="166">
        <v>14.9358</v>
      </c>
      <c r="H241" s="166">
        <v>9.9949813380000005</v>
      </c>
      <c r="I241" s="166">
        <v>0.54501866200000004</v>
      </c>
      <c r="J241" s="166">
        <v>0.36470000000000002</v>
      </c>
      <c r="K241" s="166">
        <v>1.0569999999999999</v>
      </c>
      <c r="L241" s="166">
        <v>5.6750000000000002E-2</v>
      </c>
      <c r="M241" s="166">
        <v>9.7949999999999995E-2</v>
      </c>
      <c r="N241" s="254">
        <v>36.397399999999998</v>
      </c>
      <c r="O241" s="166">
        <v>0</v>
      </c>
      <c r="P241" s="166">
        <v>-3.6880000000000002</v>
      </c>
      <c r="Q241" s="166">
        <v>-0.26600000000000001</v>
      </c>
      <c r="R241" s="166">
        <v>-4.5734000000000004</v>
      </c>
      <c r="S241" s="254">
        <v>27.87</v>
      </c>
      <c r="X241" s="186">
        <f t="shared" si="33"/>
        <v>41.035348678751781</v>
      </c>
    </row>
    <row r="242" spans="1:24" ht="14.25">
      <c r="A242" s="302">
        <v>19</v>
      </c>
      <c r="B242" s="166">
        <v>1.1011</v>
      </c>
      <c r="C242" s="166">
        <v>4.8712999999999997</v>
      </c>
      <c r="D242" s="166">
        <v>-5.0000000000000001E-3</v>
      </c>
      <c r="E242" s="166">
        <v>0.3</v>
      </c>
      <c r="F242" s="166">
        <v>3.6796000000000002</v>
      </c>
      <c r="G242" s="166">
        <v>16.504200000000001</v>
      </c>
      <c r="H242" s="166">
        <v>4.5440663600000004</v>
      </c>
      <c r="I242" s="166">
        <v>0.49123364000000003</v>
      </c>
      <c r="J242" s="166">
        <v>0.4128</v>
      </c>
      <c r="K242" s="166">
        <v>1.3476999999999999</v>
      </c>
      <c r="L242" s="166">
        <v>5.6750000000000002E-2</v>
      </c>
      <c r="M242" s="166">
        <v>0.10555</v>
      </c>
      <c r="N242" s="254">
        <v>33.409300000000002</v>
      </c>
      <c r="O242" s="166">
        <v>0.31769999999999998</v>
      </c>
      <c r="P242" s="166">
        <v>-1.1171</v>
      </c>
      <c r="Q242" s="166">
        <v>-0.28599999999999998</v>
      </c>
      <c r="R242" s="166">
        <v>-3.9504999999999999</v>
      </c>
      <c r="S242" s="254">
        <v>28.3734</v>
      </c>
      <c r="X242" s="186">
        <f t="shared" si="33"/>
        <v>49.400017360435569</v>
      </c>
    </row>
    <row r="243" spans="1:24" ht="14.25">
      <c r="A243" s="302">
        <v>20</v>
      </c>
      <c r="B243" s="166">
        <v>2.8872</v>
      </c>
      <c r="C243" s="166">
        <v>4.8769</v>
      </c>
      <c r="D243" s="166">
        <v>-5.0000000000000001E-3</v>
      </c>
      <c r="E243" s="166">
        <v>0.25040000000000001</v>
      </c>
      <c r="F243" s="166">
        <v>4.3323</v>
      </c>
      <c r="G243" s="166">
        <v>16.5181</v>
      </c>
      <c r="H243" s="166">
        <v>0.56579999999999997</v>
      </c>
      <c r="I243" s="166">
        <v>0.251</v>
      </c>
      <c r="J243" s="166">
        <v>0.3805</v>
      </c>
      <c r="K243" s="166">
        <v>1.4657</v>
      </c>
      <c r="L243" s="166">
        <v>5.6750000000000002E-2</v>
      </c>
      <c r="M243" s="166">
        <v>0.10455</v>
      </c>
      <c r="N243" s="254">
        <v>31.684200000000001</v>
      </c>
      <c r="O243" s="166">
        <v>1.3836999999999999</v>
      </c>
      <c r="P243" s="166">
        <v>-3.6499999999999998E-2</v>
      </c>
      <c r="Q243" s="166">
        <v>-0.28599999999999998</v>
      </c>
      <c r="R243" s="166">
        <v>-2.6507999999999998</v>
      </c>
      <c r="S243" s="254">
        <v>30.0946</v>
      </c>
      <c r="X243" s="186">
        <f t="shared" si="33"/>
        <v>52.133555526098185</v>
      </c>
    </row>
    <row r="244" spans="1:24" ht="14.25">
      <c r="A244" s="302">
        <v>21</v>
      </c>
      <c r="B244" s="166">
        <v>3.4257</v>
      </c>
      <c r="C244" s="166">
        <v>4.8810000000000002</v>
      </c>
      <c r="D244" s="166">
        <v>-5.0000000000000001E-3</v>
      </c>
      <c r="E244" s="166">
        <v>0.23</v>
      </c>
      <c r="F244" s="166">
        <v>5.1498999999999997</v>
      </c>
      <c r="G244" s="166">
        <v>15.4498</v>
      </c>
      <c r="H244" s="166">
        <v>2.5999999999999999E-3</v>
      </c>
      <c r="I244" s="166">
        <v>0.10539999999999999</v>
      </c>
      <c r="J244" s="166">
        <v>0.38419999999999999</v>
      </c>
      <c r="K244" s="166">
        <v>1.4830000000000001</v>
      </c>
      <c r="L244" s="166">
        <v>5.6800000000000003E-2</v>
      </c>
      <c r="M244" s="166">
        <v>0.10340000000000001</v>
      </c>
      <c r="N244" s="254">
        <v>31.2668</v>
      </c>
      <c r="O244" s="166">
        <v>1.4878</v>
      </c>
      <c r="P244" s="166">
        <v>0</v>
      </c>
      <c r="Q244" s="166">
        <v>-0.28599999999999998</v>
      </c>
      <c r="R244" s="166">
        <v>-0.80720000000000003</v>
      </c>
      <c r="S244" s="254">
        <v>31.6614</v>
      </c>
      <c r="X244" s="186">
        <f t="shared" si="33"/>
        <v>49.412795681041871</v>
      </c>
    </row>
    <row r="245" spans="1:24" ht="14.25">
      <c r="A245" s="302">
        <v>22</v>
      </c>
      <c r="B245" s="166">
        <v>3.5760999999999998</v>
      </c>
      <c r="C245" s="166">
        <v>4.883</v>
      </c>
      <c r="D245" s="166">
        <v>-5.0000000000000001E-3</v>
      </c>
      <c r="E245" s="166">
        <v>0.23</v>
      </c>
      <c r="F245" s="166">
        <v>2.8843000000000001</v>
      </c>
      <c r="G245" s="166">
        <v>15.7644</v>
      </c>
      <c r="H245" s="166">
        <v>1.9E-3</v>
      </c>
      <c r="I245" s="166">
        <v>9.5799999999999996E-2</v>
      </c>
      <c r="J245" s="166">
        <v>0.44230000000000003</v>
      </c>
      <c r="K245" s="166">
        <v>1.496</v>
      </c>
      <c r="L245" s="166">
        <v>5.6899999999999999E-2</v>
      </c>
      <c r="M245" s="166">
        <v>0.1032</v>
      </c>
      <c r="N245" s="254">
        <v>29.5289</v>
      </c>
      <c r="O245" s="166">
        <v>1.2069000000000001</v>
      </c>
      <c r="P245" s="166">
        <v>0</v>
      </c>
      <c r="Q245" s="166">
        <v>-0.28599999999999998</v>
      </c>
      <c r="R245" s="166">
        <v>0.1792</v>
      </c>
      <c r="S245" s="254">
        <v>30.629000000000001</v>
      </c>
      <c r="X245" s="186">
        <f t="shared" si="33"/>
        <v>53.386343548185003</v>
      </c>
    </row>
    <row r="246" spans="1:24" ht="14.25">
      <c r="A246" s="302">
        <v>23</v>
      </c>
      <c r="B246" s="166">
        <v>2.9186000000000001</v>
      </c>
      <c r="C246" s="166">
        <v>4.8867000000000003</v>
      </c>
      <c r="D246" s="166">
        <v>-5.0000000000000001E-3</v>
      </c>
      <c r="E246" s="166">
        <v>0.23</v>
      </c>
      <c r="F246" s="166">
        <v>2.1093999999999999</v>
      </c>
      <c r="G246" s="166">
        <v>16.215699999999998</v>
      </c>
      <c r="H246" s="166">
        <v>1.9E-3</v>
      </c>
      <c r="I246" s="166">
        <v>8.9599999999999999E-2</v>
      </c>
      <c r="J246" s="166">
        <v>0.44209999999999999</v>
      </c>
      <c r="K246" s="166">
        <v>1.4175</v>
      </c>
      <c r="L246" s="166">
        <v>5.6649999999999999E-2</v>
      </c>
      <c r="M246" s="166">
        <v>0.10295</v>
      </c>
      <c r="N246" s="254">
        <v>28.466100000000001</v>
      </c>
      <c r="O246" s="166">
        <v>0.76880000000000004</v>
      </c>
      <c r="P246" s="166">
        <v>-0.1003</v>
      </c>
      <c r="Q246" s="166">
        <v>-0.17899999999999999</v>
      </c>
      <c r="R246" s="166">
        <v>-1.7078</v>
      </c>
      <c r="S246" s="254">
        <v>27.247800000000002</v>
      </c>
      <c r="X246" s="186">
        <f t="shared" si="33"/>
        <v>56.964951292941421</v>
      </c>
    </row>
    <row r="247" spans="1:24" ht="14.25">
      <c r="A247" s="302">
        <v>24</v>
      </c>
      <c r="B247" s="166">
        <v>1.6652</v>
      </c>
      <c r="C247" s="166">
        <v>4.8890000000000002</v>
      </c>
      <c r="D247" s="166">
        <v>-5.0000000000000001E-3</v>
      </c>
      <c r="E247" s="166">
        <v>0.23</v>
      </c>
      <c r="F247" s="166">
        <v>2.4068999999999998</v>
      </c>
      <c r="G247" s="166">
        <v>16.4496</v>
      </c>
      <c r="H247" s="166">
        <v>1E-4</v>
      </c>
      <c r="I247" s="166">
        <v>4.3999999999999997E-2</v>
      </c>
      <c r="J247" s="166">
        <v>0.43369999999999997</v>
      </c>
      <c r="K247" s="166">
        <v>1.3217000000000001</v>
      </c>
      <c r="L247" s="166">
        <v>5.67E-2</v>
      </c>
      <c r="M247" s="166">
        <v>0.10299999999999999</v>
      </c>
      <c r="N247" s="254">
        <v>27.594899999999999</v>
      </c>
      <c r="O247" s="166">
        <v>0.89319999999999999</v>
      </c>
      <c r="P247" s="166">
        <v>-0.1487</v>
      </c>
      <c r="Q247" s="166">
        <v>-0.10199999999999999</v>
      </c>
      <c r="R247" s="166">
        <v>-3.4129999999999998</v>
      </c>
      <c r="S247" s="254">
        <v>24.824400000000001</v>
      </c>
      <c r="X247" s="186">
        <f t="shared" si="33"/>
        <v>59.611015078873272</v>
      </c>
    </row>
    <row r="248" spans="1:24" ht="14.25">
      <c r="W248" t="str">
        <f t="shared" ref="W248:W250" si="34">IFERROR(G248/N248*100,"")</f>
        <v/>
      </c>
      <c r="X248" s="186" t="str">
        <f t="shared" si="33"/>
        <v/>
      </c>
    </row>
    <row r="249" spans="1:24" ht="14.25">
      <c r="W249" t="str">
        <f t="shared" si="34"/>
        <v/>
      </c>
      <c r="X249" s="186" t="str">
        <f t="shared" si="33"/>
        <v/>
      </c>
    </row>
    <row r="250" spans="1:24" ht="14.25">
      <c r="W250" t="str">
        <f t="shared" si="34"/>
        <v/>
      </c>
      <c r="X250" s="186" t="str">
        <f t="shared" si="33"/>
        <v/>
      </c>
    </row>
    <row r="252" spans="1:24">
      <c r="A252" s="216"/>
      <c r="B252" s="216" t="s">
        <v>28</v>
      </c>
      <c r="C252" s="217" t="s">
        <v>198</v>
      </c>
      <c r="D252" s="217" t="s">
        <v>199</v>
      </c>
      <c r="E252" s="217" t="s">
        <v>200</v>
      </c>
      <c r="F252" s="217" t="s">
        <v>204</v>
      </c>
      <c r="G252" s="217" t="s">
        <v>212</v>
      </c>
      <c r="H252" s="217" t="s">
        <v>213</v>
      </c>
      <c r="I252" s="217" t="s">
        <v>215</v>
      </c>
      <c r="J252" s="217" t="s">
        <v>226</v>
      </c>
      <c r="K252" s="217" t="s">
        <v>227</v>
      </c>
      <c r="L252" s="217" t="s">
        <v>229</v>
      </c>
      <c r="M252" s="217" t="s">
        <v>243</v>
      </c>
      <c r="N252" s="217" t="s">
        <v>245</v>
      </c>
      <c r="O252" s="217" t="s">
        <v>247</v>
      </c>
    </row>
    <row r="253" spans="1:24">
      <c r="A253" s="216"/>
      <c r="B253" s="216" t="s">
        <v>101</v>
      </c>
      <c r="C253" s="217" t="s">
        <v>159</v>
      </c>
      <c r="D253" s="217" t="s">
        <v>159</v>
      </c>
      <c r="E253" s="217" t="s">
        <v>159</v>
      </c>
      <c r="F253" s="217" t="s">
        <v>159</v>
      </c>
      <c r="G253" s="217" t="s">
        <v>159</v>
      </c>
      <c r="H253" s="217" t="s">
        <v>159</v>
      </c>
      <c r="I253" s="217" t="s">
        <v>159</v>
      </c>
      <c r="J253" s="217" t="s">
        <v>159</v>
      </c>
      <c r="K253" s="217" t="s">
        <v>159</v>
      </c>
      <c r="L253" s="217" t="s">
        <v>159</v>
      </c>
      <c r="M253" s="217" t="s">
        <v>159</v>
      </c>
      <c r="N253" s="217" t="s">
        <v>159</v>
      </c>
      <c r="O253" s="217" t="s">
        <v>159</v>
      </c>
    </row>
    <row r="254" spans="1:24">
      <c r="A254" s="216" t="s">
        <v>154</v>
      </c>
      <c r="B254" s="216" t="s">
        <v>155</v>
      </c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</row>
    <row r="255" spans="1:24">
      <c r="A255" s="327" t="s">
        <v>4</v>
      </c>
      <c r="B255" s="219" t="s">
        <v>145</v>
      </c>
      <c r="C255" s="296">
        <v>51713.344319999997</v>
      </c>
      <c r="D255" s="296">
        <v>53657.082240000003</v>
      </c>
      <c r="E255" s="296">
        <v>38736.866880000001</v>
      </c>
      <c r="F255" s="296">
        <v>35681.292479999996</v>
      </c>
      <c r="G255" s="296">
        <v>23147.126400000001</v>
      </c>
      <c r="H255" s="296"/>
      <c r="I255" s="296"/>
      <c r="J255" s="296"/>
      <c r="K255" s="296">
        <v>1617.5318400000001</v>
      </c>
      <c r="L255" s="296">
        <v>10500.46176</v>
      </c>
      <c r="M255" s="296"/>
      <c r="N255" s="296"/>
      <c r="O255" s="296"/>
    </row>
    <row r="256" spans="1:24">
      <c r="A256" s="328"/>
      <c r="B256" s="219" t="s">
        <v>146</v>
      </c>
      <c r="C256" s="296">
        <v>246257.15424</v>
      </c>
      <c r="D256" s="296">
        <v>222896.04</v>
      </c>
      <c r="E256" s="296">
        <v>263746.18943999999</v>
      </c>
      <c r="F256" s="296">
        <v>249889.7328</v>
      </c>
      <c r="G256" s="296">
        <v>243785.82527999999</v>
      </c>
      <c r="H256" s="296">
        <v>182917.99679999999</v>
      </c>
      <c r="I256" s="296">
        <v>163033.35456000001</v>
      </c>
      <c r="J256" s="296">
        <v>137785.67808000001</v>
      </c>
      <c r="K256" s="296">
        <v>146358.57983999999</v>
      </c>
      <c r="L256" s="296">
        <v>91200.833280000006</v>
      </c>
      <c r="M256" s="296">
        <v>0.1056</v>
      </c>
      <c r="N256" s="296">
        <v>6949.3612800000001</v>
      </c>
      <c r="O256" s="296">
        <v>20273.385600000001</v>
      </c>
    </row>
    <row r="257" spans="1:17">
      <c r="A257" s="219" t="s">
        <v>135</v>
      </c>
      <c r="B257" s="219" t="s">
        <v>236</v>
      </c>
      <c r="C257" s="296"/>
      <c r="D257" s="296"/>
      <c r="E257" s="296"/>
      <c r="F257" s="296"/>
      <c r="G257" s="296"/>
      <c r="H257" s="296"/>
      <c r="I257" s="296"/>
      <c r="J257" s="296"/>
      <c r="K257" s="296"/>
      <c r="L257" s="296">
        <v>60825.505440000001</v>
      </c>
      <c r="M257" s="296">
        <v>91988.79032</v>
      </c>
      <c r="N257" s="296">
        <v>103633.34071999999</v>
      </c>
      <c r="O257" s="296">
        <v>116669.82208</v>
      </c>
    </row>
    <row r="258" spans="1:17">
      <c r="A258" s="219" t="s">
        <v>230</v>
      </c>
      <c r="B258" s="219" t="s">
        <v>246</v>
      </c>
      <c r="C258" s="296"/>
      <c r="D258" s="296"/>
      <c r="E258" s="296"/>
      <c r="F258" s="296"/>
      <c r="G258" s="296"/>
      <c r="H258" s="296"/>
      <c r="I258" s="296"/>
      <c r="J258" s="296"/>
      <c r="K258" s="296"/>
      <c r="L258" s="296"/>
      <c r="M258" s="296"/>
      <c r="N258" s="296">
        <v>7.6999999999999996E-4</v>
      </c>
      <c r="O258" s="296">
        <v>3.234</v>
      </c>
    </row>
    <row r="259" spans="1:17">
      <c r="A259" s="219" t="s">
        <v>11</v>
      </c>
      <c r="B259" s="219" t="s">
        <v>147</v>
      </c>
      <c r="C259" s="296">
        <v>838011.63063000003</v>
      </c>
      <c r="D259" s="296">
        <v>1297032.93836</v>
      </c>
      <c r="E259" s="296">
        <v>1671017.93826</v>
      </c>
      <c r="F259" s="296">
        <v>1034663.26215</v>
      </c>
      <c r="G259" s="296">
        <v>962381.59062000003</v>
      </c>
      <c r="H259" s="296">
        <v>730636.49213999999</v>
      </c>
      <c r="I259" s="296">
        <v>748777.62951</v>
      </c>
      <c r="J259" s="296">
        <v>996169.89812000003</v>
      </c>
      <c r="K259" s="296">
        <v>1472863.5088200001</v>
      </c>
      <c r="L259" s="296">
        <v>1324084.3846499999</v>
      </c>
      <c r="M259" s="296">
        <v>1309188.13433</v>
      </c>
      <c r="N259" s="296">
        <v>1166084.58742</v>
      </c>
      <c r="O259" s="296">
        <v>1672413.8261599999</v>
      </c>
    </row>
    <row r="260" spans="1:17">
      <c r="A260" s="333" t="s">
        <v>9</v>
      </c>
      <c r="B260" s="219" t="s">
        <v>148</v>
      </c>
      <c r="C260" s="296">
        <v>24179.360000000001</v>
      </c>
      <c r="D260" s="296">
        <v>32410.155500000001</v>
      </c>
      <c r="E260" s="296">
        <v>24790.218000000001</v>
      </c>
      <c r="F260" s="296">
        <v>23621.755000000001</v>
      </c>
      <c r="G260" s="296">
        <v>31602.338500000002</v>
      </c>
      <c r="H260" s="296">
        <v>25175.731500000002</v>
      </c>
      <c r="I260" s="296">
        <v>22555.780999999999</v>
      </c>
      <c r="J260" s="296">
        <v>28023.944500000001</v>
      </c>
      <c r="K260" s="296">
        <v>21802.124</v>
      </c>
      <c r="L260" s="296">
        <v>30459.991000000002</v>
      </c>
      <c r="M260" s="296">
        <v>18379.370999999999</v>
      </c>
      <c r="N260" s="296">
        <v>26267.919999999998</v>
      </c>
      <c r="O260" s="296">
        <v>28720.957999999999</v>
      </c>
    </row>
    <row r="261" spans="1:17">
      <c r="A261" s="334"/>
      <c r="B261" s="219" t="s">
        <v>149</v>
      </c>
      <c r="C261" s="296">
        <v>422927.03843999997</v>
      </c>
      <c r="D261" s="296">
        <v>531751.18104000005</v>
      </c>
      <c r="E261" s="296">
        <v>523991.51747999998</v>
      </c>
      <c r="F261" s="296">
        <v>496467.22032000002</v>
      </c>
      <c r="G261" s="296">
        <v>471179.67191999999</v>
      </c>
      <c r="H261" s="296">
        <v>396421.37316000002</v>
      </c>
      <c r="I261" s="296">
        <v>391817.42495999997</v>
      </c>
      <c r="J261" s="296">
        <v>396246.30047999998</v>
      </c>
      <c r="K261" s="296">
        <v>475194.22992000001</v>
      </c>
      <c r="L261" s="296">
        <v>445069.96451999998</v>
      </c>
      <c r="M261" s="296">
        <v>421484.33412000001</v>
      </c>
      <c r="N261" s="296">
        <v>430007.43635999999</v>
      </c>
      <c r="O261" s="296">
        <v>469098.01188000001</v>
      </c>
    </row>
    <row r="262" spans="1:17">
      <c r="A262" s="328"/>
      <c r="B262" s="219" t="s">
        <v>150</v>
      </c>
      <c r="C262" s="296">
        <v>344.93056000000001</v>
      </c>
      <c r="D262" s="296">
        <v>496.20209999999997</v>
      </c>
      <c r="E262" s="296">
        <v>655.55813999999998</v>
      </c>
      <c r="F262" s="296">
        <v>783.45360000000005</v>
      </c>
      <c r="G262" s="296">
        <v>795.70594000000006</v>
      </c>
      <c r="H262" s="296">
        <v>542.23149999999998</v>
      </c>
      <c r="I262" s="296">
        <v>697.72749999999996</v>
      </c>
      <c r="J262" s="296">
        <v>657.79139999999995</v>
      </c>
      <c r="K262" s="296">
        <v>781.17474000000004</v>
      </c>
      <c r="L262" s="296">
        <v>819.31420000000003</v>
      </c>
      <c r="M262" s="296">
        <v>387.38492000000002</v>
      </c>
      <c r="N262" s="296">
        <v>614.66672000000005</v>
      </c>
      <c r="O262" s="296">
        <v>865.46975999999995</v>
      </c>
    </row>
    <row r="263" spans="1:17">
      <c r="A263" s="333" t="s">
        <v>67</v>
      </c>
      <c r="B263" s="219" t="s">
        <v>151</v>
      </c>
      <c r="C263" s="296">
        <v>31438.095399999998</v>
      </c>
      <c r="D263" s="296">
        <v>10994.634050000001</v>
      </c>
      <c r="E263" s="296">
        <v>6832.7951999999996</v>
      </c>
      <c r="F263" s="296">
        <v>9.5E-4</v>
      </c>
      <c r="G263" s="296"/>
      <c r="H263" s="296">
        <v>1.9E-3</v>
      </c>
      <c r="I263" s="296">
        <v>2.0899999999999998E-2</v>
      </c>
      <c r="J263" s="296">
        <v>9.5E-4</v>
      </c>
      <c r="K263" s="296"/>
      <c r="L263" s="296">
        <v>2.2800000000000001E-2</v>
      </c>
      <c r="M263" s="296">
        <v>9.5E-4</v>
      </c>
      <c r="N263" s="296"/>
      <c r="O263" s="296"/>
    </row>
    <row r="264" spans="1:17">
      <c r="A264" s="334"/>
      <c r="B264" s="219" t="s">
        <v>152</v>
      </c>
      <c r="C264" s="296">
        <v>13485.35736</v>
      </c>
      <c r="D264" s="296">
        <v>15591.66288</v>
      </c>
      <c r="E264" s="296">
        <v>16330.187159999999</v>
      </c>
      <c r="F264" s="296">
        <v>13426.70412</v>
      </c>
      <c r="G264" s="296">
        <v>12951.663119999999</v>
      </c>
      <c r="H264" s="296">
        <v>12392.938319999999</v>
      </c>
      <c r="I264" s="296">
        <v>8915.5421999999999</v>
      </c>
      <c r="J264" s="296">
        <v>7060.4531999999999</v>
      </c>
      <c r="K264" s="296">
        <v>5692.48128</v>
      </c>
      <c r="L264" s="296">
        <v>12488.84952</v>
      </c>
      <c r="M264" s="296">
        <v>14171.85348</v>
      </c>
      <c r="N264" s="296">
        <v>10850.79816</v>
      </c>
      <c r="O264" s="296">
        <v>12428.530559999999</v>
      </c>
    </row>
    <row r="265" spans="1:17">
      <c r="A265" s="328"/>
      <c r="B265" s="219" t="s">
        <v>153</v>
      </c>
      <c r="C265" s="296">
        <v>7571.4187199999997</v>
      </c>
      <c r="D265" s="296">
        <v>9412.7603999999992</v>
      </c>
      <c r="E265" s="296">
        <v>8657.0051999999996</v>
      </c>
      <c r="F265" s="296">
        <v>8613.4380000000001</v>
      </c>
      <c r="G265" s="296">
        <v>8362.5669600000001</v>
      </c>
      <c r="H265" s="296">
        <v>5973.1339200000002</v>
      </c>
      <c r="I265" s="296">
        <v>4499.8785600000001</v>
      </c>
      <c r="J265" s="296">
        <v>3011.7919200000001</v>
      </c>
      <c r="K265" s="296">
        <v>8495.9349600000005</v>
      </c>
      <c r="L265" s="296">
        <v>7778.7225600000002</v>
      </c>
      <c r="M265" s="296">
        <v>8188.4534400000002</v>
      </c>
      <c r="N265" s="296">
        <v>5963.8089600000003</v>
      </c>
      <c r="O265" s="296">
        <v>8968.3408799999997</v>
      </c>
    </row>
    <row r="266" spans="1:17">
      <c r="A266" s="297" t="s">
        <v>15</v>
      </c>
      <c r="B266" s="298"/>
      <c r="C266" s="299">
        <v>1635928.3296699999</v>
      </c>
      <c r="D266" s="299">
        <v>2174242.6565700001</v>
      </c>
      <c r="E266" s="299">
        <v>2554758.2757600001</v>
      </c>
      <c r="F266" s="299">
        <v>1863146.8594200001</v>
      </c>
      <c r="G266" s="299">
        <v>1754206.4887399999</v>
      </c>
      <c r="H266" s="299">
        <v>1354059.8992399999</v>
      </c>
      <c r="I266" s="299">
        <v>1340297.35919</v>
      </c>
      <c r="J266" s="299">
        <v>1568955.8586500001</v>
      </c>
      <c r="K266" s="299">
        <v>2132805.5654000002</v>
      </c>
      <c r="L266" s="299">
        <v>1983228.0497300001</v>
      </c>
      <c r="M266" s="299">
        <v>1863788.4281599999</v>
      </c>
      <c r="N266" s="299">
        <v>1750371.9203900001</v>
      </c>
      <c r="O266" s="299">
        <v>2329441.5789200002</v>
      </c>
      <c r="Q266" s="44">
        <f>(O266-C266)/C266*100</f>
        <v>42.392642554817549</v>
      </c>
    </row>
    <row r="271" spans="1:17">
      <c r="A271" s="163" t="s">
        <v>28</v>
      </c>
      <c r="B271" s="329" t="s">
        <v>247</v>
      </c>
      <c r="C271" s="330"/>
      <c r="D271" s="330"/>
      <c r="E271" s="330"/>
      <c r="F271" s="330"/>
      <c r="G271" s="330"/>
      <c r="H271" s="330"/>
      <c r="I271" s="330"/>
    </row>
    <row r="272" spans="1:17">
      <c r="A272" s="163" t="s">
        <v>101</v>
      </c>
      <c r="B272" s="164" t="s">
        <v>94</v>
      </c>
      <c r="C272" s="164" t="s">
        <v>142</v>
      </c>
      <c r="D272" s="164" t="s">
        <v>95</v>
      </c>
      <c r="E272" s="164" t="s">
        <v>96</v>
      </c>
      <c r="F272" s="164" t="s">
        <v>143</v>
      </c>
      <c r="G272" s="164" t="s">
        <v>97</v>
      </c>
      <c r="H272" s="164" t="s">
        <v>98</v>
      </c>
      <c r="I272" s="164" t="s">
        <v>99</v>
      </c>
    </row>
    <row r="273" spans="1:9">
      <c r="A273" s="163" t="s">
        <v>102</v>
      </c>
      <c r="B273" s="165"/>
      <c r="C273" s="165"/>
      <c r="D273" s="165"/>
      <c r="E273" s="165"/>
      <c r="F273" s="165"/>
      <c r="G273" s="165"/>
      <c r="H273" s="165"/>
      <c r="I273" s="165"/>
    </row>
    <row r="274" spans="1:9">
      <c r="A274" s="300" t="s">
        <v>2</v>
      </c>
      <c r="B274" s="293">
        <v>1776331.4679479999</v>
      </c>
      <c r="C274" s="293">
        <v>2895149.2237470001</v>
      </c>
      <c r="D274" s="301">
        <v>-0.38644562659999998</v>
      </c>
      <c r="E274" s="293">
        <v>28381074.890673999</v>
      </c>
      <c r="F274" s="293">
        <v>29749050.925301</v>
      </c>
      <c r="G274" s="301">
        <v>-4.59838547E-2</v>
      </c>
      <c r="H274" s="293">
        <v>33575612.687790997</v>
      </c>
      <c r="I274" s="301">
        <v>-9.8963969600000007E-2</v>
      </c>
    </row>
    <row r="275" spans="1:9">
      <c r="A275" s="300" t="s">
        <v>3</v>
      </c>
      <c r="B275" s="293">
        <v>3695400.9619999998</v>
      </c>
      <c r="C275" s="293">
        <v>4636156.5559999999</v>
      </c>
      <c r="D275" s="301">
        <v>-0.20291713250000001</v>
      </c>
      <c r="E275" s="293">
        <v>43338868.053000003</v>
      </c>
      <c r="F275" s="293">
        <v>44511098.950999998</v>
      </c>
      <c r="G275" s="301">
        <v>-2.6335698899999999E-2</v>
      </c>
      <c r="H275" s="293">
        <v>51218572.038999997</v>
      </c>
      <c r="I275" s="301">
        <v>-3.9179109900000002E-2</v>
      </c>
    </row>
    <row r="276" spans="1:9">
      <c r="A276" s="300" t="s">
        <v>4</v>
      </c>
      <c r="B276" s="293">
        <v>19604.61</v>
      </c>
      <c r="C276" s="293">
        <v>310385.93599999999</v>
      </c>
      <c r="D276" s="301">
        <v>-0.93683795650000001</v>
      </c>
      <c r="E276" s="293">
        <v>1461587.173</v>
      </c>
      <c r="F276" s="293">
        <v>2427277.128</v>
      </c>
      <c r="G276" s="301">
        <v>-0.39784907289999999</v>
      </c>
      <c r="H276" s="293">
        <v>2064749.8589999999</v>
      </c>
      <c r="I276" s="301">
        <v>-0.2819076459</v>
      </c>
    </row>
    <row r="277" spans="1:9">
      <c r="A277" s="300" t="s">
        <v>135</v>
      </c>
      <c r="B277" s="293">
        <v>208338.96799999999</v>
      </c>
      <c r="C277" s="293">
        <v>0</v>
      </c>
      <c r="D277" s="301">
        <v>0</v>
      </c>
      <c r="E277" s="293">
        <v>666281.17599999998</v>
      </c>
      <c r="F277" s="293">
        <v>0</v>
      </c>
      <c r="G277" s="301">
        <v>0</v>
      </c>
      <c r="H277" s="293">
        <v>666281.17599999998</v>
      </c>
      <c r="I277" s="301">
        <v>0</v>
      </c>
    </row>
    <row r="278" spans="1:9">
      <c r="A278" s="300" t="s">
        <v>230</v>
      </c>
      <c r="B278" s="293">
        <v>396033.17300000001</v>
      </c>
      <c r="C278" s="293">
        <v>364749.77799999999</v>
      </c>
      <c r="D278" s="301">
        <v>8.5766728E-2</v>
      </c>
      <c r="E278" s="293">
        <v>3715638.034</v>
      </c>
      <c r="F278" s="293">
        <v>3706555.1770000001</v>
      </c>
      <c r="G278" s="301">
        <v>2.4504848E-3</v>
      </c>
      <c r="H278" s="293">
        <v>4374024.8430000003</v>
      </c>
      <c r="I278" s="301">
        <v>-1.01014161E-2</v>
      </c>
    </row>
    <row r="279" spans="1:9">
      <c r="A279" s="300" t="s">
        <v>11</v>
      </c>
      <c r="B279" s="293">
        <v>5151713.3899999997</v>
      </c>
      <c r="C279" s="293">
        <v>2853385.139</v>
      </c>
      <c r="D279" s="301">
        <v>0.80547424869999995</v>
      </c>
      <c r="E279" s="293">
        <v>36608949.497000001</v>
      </c>
      <c r="F279" s="293">
        <v>26447683.153999999</v>
      </c>
      <c r="G279" s="301">
        <v>0.38420251350000001</v>
      </c>
      <c r="H279" s="293">
        <v>45916155.765000001</v>
      </c>
      <c r="I279" s="301">
        <v>0.4070371827</v>
      </c>
    </row>
    <row r="280" spans="1:9">
      <c r="A280" s="300" t="s">
        <v>137</v>
      </c>
      <c r="B280" s="293">
        <v>853.58199999999999</v>
      </c>
      <c r="C280" s="293">
        <v>1869.634</v>
      </c>
      <c r="D280" s="301">
        <v>-0.54344968049999998</v>
      </c>
      <c r="E280" s="293">
        <v>19281.762999999999</v>
      </c>
      <c r="F280" s="293">
        <v>21664.165000000001</v>
      </c>
      <c r="G280" s="301">
        <v>-0.1099697127</v>
      </c>
      <c r="H280" s="293">
        <v>20969.589</v>
      </c>
      <c r="I280" s="301">
        <v>-0.1083666948</v>
      </c>
    </row>
    <row r="281" spans="1:9">
      <c r="A281" s="300" t="s">
        <v>5</v>
      </c>
      <c r="B281" s="293">
        <v>4439141.9800000004</v>
      </c>
      <c r="C281" s="293">
        <v>5696522.6610000003</v>
      </c>
      <c r="D281" s="301">
        <v>-0.220727759</v>
      </c>
      <c r="E281" s="293">
        <v>46018893.373000003</v>
      </c>
      <c r="F281" s="293">
        <v>50782271.527999997</v>
      </c>
      <c r="G281" s="301">
        <v>-9.3800021400000003E-2</v>
      </c>
      <c r="H281" s="293">
        <v>56164123.299999997</v>
      </c>
      <c r="I281" s="301">
        <v>-0.1173267432</v>
      </c>
    </row>
    <row r="282" spans="1:9">
      <c r="A282" s="300" t="s">
        <v>6</v>
      </c>
      <c r="B282" s="293">
        <v>4064774.227707</v>
      </c>
      <c r="C282" s="293">
        <v>2798363.1409999998</v>
      </c>
      <c r="D282" s="301">
        <v>0.45255423360000002</v>
      </c>
      <c r="E282" s="293">
        <v>44764941.700707003</v>
      </c>
      <c r="F282" s="293">
        <v>39770131.696999997</v>
      </c>
      <c r="G282" s="301">
        <v>0.1255919905</v>
      </c>
      <c r="H282" s="293">
        <v>49590117.829706997</v>
      </c>
      <c r="I282" s="301">
        <v>0.13556253739999999</v>
      </c>
    </row>
    <row r="283" spans="1:9">
      <c r="A283" s="300" t="s">
        <v>7</v>
      </c>
      <c r="B283" s="293">
        <v>246379.48529300001</v>
      </c>
      <c r="C283" s="293">
        <v>153796.77900000001</v>
      </c>
      <c r="D283" s="301">
        <v>0.60198078850000003</v>
      </c>
      <c r="E283" s="293">
        <v>3532440.468293</v>
      </c>
      <c r="F283" s="293">
        <v>3919650.2250000001</v>
      </c>
      <c r="G283" s="301">
        <v>-9.8786813700000004E-2</v>
      </c>
      <c r="H283" s="293">
        <v>3740160.8122930001</v>
      </c>
      <c r="I283" s="301">
        <v>-9.2853269200000005E-2</v>
      </c>
    </row>
    <row r="284" spans="1:9">
      <c r="A284" s="300" t="s">
        <v>8</v>
      </c>
      <c r="B284" s="293">
        <v>329981.18</v>
      </c>
      <c r="C284" s="293">
        <v>276494.51899999997</v>
      </c>
      <c r="D284" s="301">
        <v>0.19344564659999999</v>
      </c>
      <c r="E284" s="293">
        <v>3246397.176</v>
      </c>
      <c r="F284" s="293">
        <v>3042821.4670000002</v>
      </c>
      <c r="G284" s="301">
        <v>6.6903599600000002E-2</v>
      </c>
      <c r="H284" s="293">
        <v>3895339.4470000002</v>
      </c>
      <c r="I284" s="301">
        <v>0.10092826890000001</v>
      </c>
    </row>
    <row r="285" spans="1:9">
      <c r="A285" s="300" t="s">
        <v>9</v>
      </c>
      <c r="B285" s="293">
        <v>1360050.5379999999</v>
      </c>
      <c r="C285" s="293">
        <v>1226348.9639999999</v>
      </c>
      <c r="D285" s="301">
        <v>0.1090240853</v>
      </c>
      <c r="E285" s="293">
        <v>12759989.975</v>
      </c>
      <c r="F285" s="293">
        <v>13355628.579</v>
      </c>
      <c r="G285" s="301">
        <v>-4.4598320499999997E-2</v>
      </c>
      <c r="H285" s="293">
        <v>15815186.215</v>
      </c>
      <c r="I285" s="301">
        <v>1.8449834200000001E-2</v>
      </c>
    </row>
    <row r="286" spans="1:9">
      <c r="A286" s="300" t="s">
        <v>66</v>
      </c>
      <c r="B286" s="293">
        <v>60913.698499999999</v>
      </c>
      <c r="C286" s="293">
        <v>65960.967000000004</v>
      </c>
      <c r="D286" s="301">
        <v>-7.6519019199999996E-2</v>
      </c>
      <c r="E286" s="293">
        <v>575729.505</v>
      </c>
      <c r="F286" s="293">
        <v>649491.32649999997</v>
      </c>
      <c r="G286" s="301">
        <v>-0.1135686013</v>
      </c>
      <c r="H286" s="293">
        <v>731139.64199999999</v>
      </c>
      <c r="I286" s="301">
        <v>-7.1851037300000004E-2</v>
      </c>
    </row>
    <row r="287" spans="1:9">
      <c r="A287" s="300" t="s">
        <v>67</v>
      </c>
      <c r="B287" s="293">
        <v>98281.785499999998</v>
      </c>
      <c r="C287" s="293">
        <v>130601.277</v>
      </c>
      <c r="D287" s="301">
        <v>-0.24746688729999999</v>
      </c>
      <c r="E287" s="293">
        <v>866796.51500000001</v>
      </c>
      <c r="F287" s="293">
        <v>1096912.0194999999</v>
      </c>
      <c r="G287" s="301">
        <v>-0.20978483270000001</v>
      </c>
      <c r="H287" s="293">
        <v>1116263.057</v>
      </c>
      <c r="I287" s="301">
        <v>-0.14968509599999999</v>
      </c>
    </row>
    <row r="288" spans="1:9">
      <c r="A288" s="251" t="s">
        <v>10</v>
      </c>
      <c r="B288" s="294">
        <v>21847799.047947999</v>
      </c>
      <c r="C288" s="294">
        <v>21409784.574747</v>
      </c>
      <c r="D288" s="295">
        <v>2.04586119E-2</v>
      </c>
      <c r="E288" s="294">
        <v>225956869.299674</v>
      </c>
      <c r="F288" s="294">
        <v>219480236.34230101</v>
      </c>
      <c r="G288" s="295">
        <v>2.9508957499999999E-2</v>
      </c>
      <c r="H288" s="294">
        <v>268888696.26179099</v>
      </c>
      <c r="I288" s="295">
        <v>2.1958222699999998E-2</v>
      </c>
    </row>
    <row r="289" spans="1:15">
      <c r="A289" s="300" t="s">
        <v>78</v>
      </c>
      <c r="B289" s="293">
        <v>445686.01117200003</v>
      </c>
      <c r="C289" s="293">
        <v>341078.52178100002</v>
      </c>
      <c r="D289" s="301">
        <v>0.3066962084</v>
      </c>
      <c r="E289" s="293">
        <v>4998771.2192660002</v>
      </c>
      <c r="F289" s="293">
        <v>4829208.6556860004</v>
      </c>
      <c r="G289" s="301">
        <v>3.5111873500000002E-2</v>
      </c>
      <c r="H289" s="293">
        <v>5627982.450309</v>
      </c>
      <c r="I289" s="301">
        <v>-1.6949883299999999E-2</v>
      </c>
    </row>
    <row r="290" spans="1:15">
      <c r="A290" s="300" t="s">
        <v>115</v>
      </c>
      <c r="B290" s="293">
        <v>-805188.94400000002</v>
      </c>
      <c r="C290" s="293">
        <v>-528090.72713799996</v>
      </c>
      <c r="D290" s="301">
        <v>0.5247170659</v>
      </c>
      <c r="E290" s="293">
        <v>-7918880.6734530004</v>
      </c>
      <c r="F290" s="293">
        <v>-7670169.7887030002</v>
      </c>
      <c r="G290" s="301">
        <v>3.2425733900000003E-2</v>
      </c>
      <c r="H290" s="293">
        <v>-8912919.6900050007</v>
      </c>
      <c r="I290" s="301">
        <v>-2.68755894E-2</v>
      </c>
    </row>
    <row r="291" spans="1:15">
      <c r="A291" s="300" t="s">
        <v>201</v>
      </c>
      <c r="B291" s="293">
        <v>142.708</v>
      </c>
      <c r="C291" s="293">
        <v>1127.7829999999999</v>
      </c>
      <c r="D291" s="301">
        <v>-0.87346147259999996</v>
      </c>
      <c r="E291" s="293">
        <v>5141.5469999999996</v>
      </c>
      <c r="F291" s="293">
        <v>7229.25</v>
      </c>
      <c r="G291" s="301">
        <v>-0.2887855587</v>
      </c>
      <c r="H291" s="293">
        <v>7154.6880000000001</v>
      </c>
      <c r="I291" s="301">
        <v>-0.13615210759999999</v>
      </c>
    </row>
    <row r="292" spans="1:15">
      <c r="A292" s="300" t="s">
        <v>202</v>
      </c>
      <c r="B292" s="293">
        <v>-259.18299999999999</v>
      </c>
      <c r="C292" s="293">
        <v>-1415.1949999999999</v>
      </c>
      <c r="D292" s="301">
        <v>-0.8168570409</v>
      </c>
      <c r="E292" s="293">
        <v>-7002.5609999999997</v>
      </c>
      <c r="F292" s="293">
        <v>-9145.6229999999996</v>
      </c>
      <c r="G292" s="301">
        <v>-0.23432651879999999</v>
      </c>
      <c r="H292" s="293">
        <v>-9466.5609999999997</v>
      </c>
      <c r="I292" s="301">
        <v>-9.8562356000000004E-2</v>
      </c>
    </row>
    <row r="293" spans="1:15">
      <c r="A293" s="300" t="s">
        <v>116</v>
      </c>
      <c r="B293" s="293">
        <v>-1270423.68</v>
      </c>
      <c r="C293" s="293">
        <v>-889269.18700000003</v>
      </c>
      <c r="D293" s="301">
        <v>0.4286154278</v>
      </c>
      <c r="E293" s="293">
        <v>-11210058.106000001</v>
      </c>
      <c r="F293" s="293">
        <v>-9243021.4849999994</v>
      </c>
      <c r="G293" s="301">
        <v>0.21281316119999999</v>
      </c>
      <c r="H293" s="293">
        <v>-12194031.356000001</v>
      </c>
      <c r="I293" s="301">
        <v>0.1223172761</v>
      </c>
    </row>
    <row r="294" spans="1:15">
      <c r="A294" s="251" t="s">
        <v>117</v>
      </c>
      <c r="B294" s="294">
        <v>20217755.96012</v>
      </c>
      <c r="C294" s="294">
        <v>20333215.77039</v>
      </c>
      <c r="D294" s="295">
        <v>-5.6783841999999999E-3</v>
      </c>
      <c r="E294" s="294">
        <v>211824840.72548699</v>
      </c>
      <c r="F294" s="294">
        <v>207394337.351284</v>
      </c>
      <c r="G294" s="295">
        <v>2.1362701800000002E-2</v>
      </c>
      <c r="H294" s="294">
        <v>253407415.79309499</v>
      </c>
      <c r="I294" s="295">
        <v>1.8477947500000001E-2</v>
      </c>
    </row>
    <row r="295" spans="1:15">
      <c r="A295" s="300" t="s">
        <v>241</v>
      </c>
      <c r="B295" s="293">
        <v>909.68</v>
      </c>
      <c r="C295" s="293">
        <v>0</v>
      </c>
      <c r="D295" s="301">
        <v>0</v>
      </c>
      <c r="E295" s="293">
        <v>6392.1450000000004</v>
      </c>
      <c r="F295" s="293">
        <v>0</v>
      </c>
      <c r="G295" s="301">
        <v>0</v>
      </c>
      <c r="H295" s="293">
        <v>6392.1450000000004</v>
      </c>
      <c r="I295" s="301">
        <v>0</v>
      </c>
    </row>
    <row r="296" spans="1:15">
      <c r="A296" s="180" t="s">
        <v>108</v>
      </c>
      <c r="B296" s="191">
        <f>SUM(B274,B280:B284,B286)/1000</f>
        <v>10918.375621447998</v>
      </c>
      <c r="C296" s="191">
        <f>SUM(C274,C280:C284,C286)/1000</f>
        <v>11888.156924747</v>
      </c>
      <c r="E296" s="191">
        <f>SUM(E274,E280:E284,E286)/1000</f>
        <v>126538.75887667399</v>
      </c>
      <c r="F296" s="191">
        <f>SUM(F274,F280:F284,F286)/1000</f>
        <v>127935.081333801</v>
      </c>
    </row>
    <row r="297" spans="1:15">
      <c r="A297" s="180" t="s">
        <v>109</v>
      </c>
      <c r="B297" s="191">
        <f>SUM(B275:B279,B285,B287)/1000</f>
        <v>10929.4234265</v>
      </c>
      <c r="C297" s="191">
        <f>SUM(C275:C279,C285,C287)/1000</f>
        <v>9521.6276500000004</v>
      </c>
      <c r="E297" s="191">
        <f>SUM(E275:E279,E285,E287)/1000</f>
        <v>99418.110422999991</v>
      </c>
      <c r="F297" s="191">
        <f>SUM(F275:F279,F285,F287)/1000</f>
        <v>91545.155008499991</v>
      </c>
    </row>
    <row r="298" spans="1:15">
      <c r="A298" s="180" t="s">
        <v>110</v>
      </c>
      <c r="B298" s="181">
        <f>B296/(B288/1000)*100</f>
        <v>49.974716434759046</v>
      </c>
      <c r="C298" s="181">
        <f>C296/(C288/1000)*100</f>
        <v>55.526747049894041</v>
      </c>
      <c r="E298" s="181">
        <f>E296/(E288/1000)*100</f>
        <v>56.001288771996883</v>
      </c>
      <c r="F298" s="181">
        <f>F296/(F288/1000)*100</f>
        <v>58.290023496363318</v>
      </c>
    </row>
    <row r="299" spans="1:15">
      <c r="A299" s="180" t="s">
        <v>111</v>
      </c>
      <c r="B299" s="181">
        <f>B297/(B288/1000)*100</f>
        <v>50.025283565240954</v>
      </c>
      <c r="C299" s="181">
        <f>C297/(C288/1000)*100</f>
        <v>44.473252950105966</v>
      </c>
      <c r="E299" s="181">
        <f>E297/(E288/1000)*100</f>
        <v>43.998711228003117</v>
      </c>
      <c r="F299" s="181">
        <f>F297/(F288/1000)*100</f>
        <v>41.709976503636675</v>
      </c>
    </row>
    <row r="302" spans="1:15">
      <c r="A302" s="179" t="s">
        <v>28</v>
      </c>
      <c r="B302" s="179" t="str">
        <f>MID(UPPER(TEXT(B303,"mmm")),1,1)</f>
        <v>O</v>
      </c>
      <c r="C302" s="179" t="str">
        <f t="shared" ref="C302:N302" si="35">MID(UPPER(TEXT(C303,"mmm")),1,1)</f>
        <v>N</v>
      </c>
      <c r="D302" s="179" t="str">
        <f t="shared" si="35"/>
        <v>D</v>
      </c>
      <c r="E302" s="179" t="str">
        <f t="shared" si="35"/>
        <v>E</v>
      </c>
      <c r="F302" s="179" t="str">
        <f t="shared" si="35"/>
        <v>F</v>
      </c>
      <c r="G302" s="179" t="str">
        <f t="shared" si="35"/>
        <v>M</v>
      </c>
      <c r="H302" s="179" t="str">
        <f t="shared" si="35"/>
        <v>A</v>
      </c>
      <c r="I302" s="179" t="str">
        <f t="shared" si="35"/>
        <v>M</v>
      </c>
      <c r="J302" s="179" t="str">
        <f t="shared" si="35"/>
        <v>J</v>
      </c>
      <c r="K302" s="179" t="str">
        <f t="shared" si="35"/>
        <v>J</v>
      </c>
      <c r="L302" s="179" t="str">
        <f t="shared" si="35"/>
        <v>A</v>
      </c>
      <c r="M302" s="179" t="str">
        <f t="shared" si="35"/>
        <v>S</v>
      </c>
      <c r="N302" s="179" t="str">
        <f t="shared" si="35"/>
        <v>O</v>
      </c>
    </row>
    <row r="303" spans="1:15">
      <c r="A303" s="179" t="s">
        <v>106</v>
      </c>
      <c r="B303" s="179" t="str">
        <f>TEXT(EDATE(C303,-1),"mmmm aaaa")</f>
        <v>octubre 2024</v>
      </c>
      <c r="C303" s="179" t="str">
        <f t="shared" ref="C303" si="36">TEXT(EDATE(D303,-1),"mmmm aaaa")</f>
        <v>noviembre 2024</v>
      </c>
      <c r="D303" s="179" t="str">
        <f t="shared" ref="D303" si="37">TEXT(EDATE(E303,-1),"mmmm aaaa")</f>
        <v>diciembre 2024</v>
      </c>
      <c r="E303" s="179" t="str">
        <f t="shared" ref="E303" si="38">TEXT(EDATE(F303,-1),"mmmm aaaa")</f>
        <v>enero 2025</v>
      </c>
      <c r="F303" s="179" t="str">
        <f t="shared" ref="F303" si="39">TEXT(EDATE(G303,-1),"mmmm aaaa")</f>
        <v>febrero 2025</v>
      </c>
      <c r="G303" s="179" t="str">
        <f t="shared" ref="G303" si="40">TEXT(EDATE(H303,-1),"mmmm aaaa")</f>
        <v>marzo 2025</v>
      </c>
      <c r="H303" s="179" t="str">
        <f t="shared" ref="H303" si="41">TEXT(EDATE(I303,-1),"mmmm aaaa")</f>
        <v>abril 2025</v>
      </c>
      <c r="I303" s="179" t="str">
        <f t="shared" ref="I303" si="42">TEXT(EDATE(J303,-1),"mmmm aaaa")</f>
        <v>mayo 2025</v>
      </c>
      <c r="J303" s="179" t="str">
        <f t="shared" ref="J303" si="43">TEXT(EDATE(K303,-1),"mmmm aaaa")</f>
        <v>junio 2025</v>
      </c>
      <c r="K303" s="179" t="str">
        <f t="shared" ref="K303" si="44">TEXT(EDATE(L303,-1),"mmmm aaaa")</f>
        <v>julio 2025</v>
      </c>
      <c r="L303" s="179" t="str">
        <f t="shared" ref="L303" si="45">TEXT(EDATE(M303,-1),"mmmm aaaa")</f>
        <v>agosto 2025</v>
      </c>
      <c r="M303" s="179" t="str">
        <f t="shared" ref="M303" si="46">TEXT(EDATE(N303,-1),"mmmm aaaa")</f>
        <v>septiembre 2025</v>
      </c>
      <c r="N303" s="179" t="str">
        <f>A2</f>
        <v>Octubre 2025</v>
      </c>
    </row>
    <row r="304" spans="1:15" s="176" customFormat="1" ht="12">
      <c r="A304" s="289" t="s">
        <v>78</v>
      </c>
      <c r="B304" s="191">
        <f>HLOOKUP(B$145,$120:$142,17,FALSE)</f>
        <v>341.07852178100001</v>
      </c>
      <c r="C304" s="191">
        <f t="shared" ref="C304:N304" si="47">HLOOKUP(C$145,$120:$142,17,FALSE)</f>
        <v>269.729903068</v>
      </c>
      <c r="D304" s="191">
        <f t="shared" si="47"/>
        <v>359.481327975</v>
      </c>
      <c r="E304" s="191">
        <f t="shared" si="47"/>
        <v>420.38307831700001</v>
      </c>
      <c r="F304" s="191">
        <f t="shared" si="47"/>
        <v>369.20445063199998</v>
      </c>
      <c r="G304" s="191">
        <f t="shared" si="47"/>
        <v>426.792561396</v>
      </c>
      <c r="H304" s="191">
        <f t="shared" si="47"/>
        <v>577.09596771600002</v>
      </c>
      <c r="I304" s="191">
        <f t="shared" si="47"/>
        <v>632.717653176</v>
      </c>
      <c r="J304" s="191">
        <f t="shared" si="47"/>
        <v>477.09177458400001</v>
      </c>
      <c r="K304" s="191">
        <f t="shared" si="47"/>
        <v>534.74221343099998</v>
      </c>
      <c r="L304" s="191">
        <f t="shared" si="47"/>
        <v>575.76503984199996</v>
      </c>
      <c r="M304" s="191">
        <f t="shared" si="47"/>
        <v>539.29246899999998</v>
      </c>
      <c r="N304" s="191">
        <f t="shared" si="47"/>
        <v>445.68601117200001</v>
      </c>
      <c r="O304" s="209">
        <f>((N304/B304)-1)*100</f>
        <v>30.669620838267409</v>
      </c>
    </row>
    <row r="305" spans="1:15" s="176" customFormat="1" ht="12">
      <c r="A305" s="289" t="s">
        <v>201</v>
      </c>
      <c r="B305" s="191">
        <f>HLOOKUP(B$145,$120:$142,19,FALSE)</f>
        <v>1.07081</v>
      </c>
      <c r="C305" s="191">
        <f t="shared" ref="C305:N305" si="48">HLOOKUP(C$145,$120:$142,19,FALSE)</f>
        <v>1.3666769999999999</v>
      </c>
      <c r="D305" s="191">
        <f t="shared" si="48"/>
        <v>0.59266399999999997</v>
      </c>
      <c r="E305" s="191">
        <f t="shared" si="48"/>
        <v>0.77196299999999995</v>
      </c>
      <c r="F305" s="191">
        <f t="shared" si="48"/>
        <v>0.50680899999999995</v>
      </c>
      <c r="G305" s="191">
        <f t="shared" si="48"/>
        <v>0.407918</v>
      </c>
      <c r="H305" s="191">
        <f t="shared" si="48"/>
        <v>0.44958999999999999</v>
      </c>
      <c r="I305" s="191">
        <f t="shared" si="48"/>
        <v>0.80445</v>
      </c>
      <c r="J305" s="191">
        <f t="shared" si="48"/>
        <v>0.72361799999999998</v>
      </c>
      <c r="K305" s="191">
        <f t="shared" si="48"/>
        <v>0.81677200000000005</v>
      </c>
      <c r="L305" s="191">
        <f t="shared" si="48"/>
        <v>0.27729999999999999</v>
      </c>
      <c r="M305" s="191">
        <f t="shared" si="48"/>
        <v>0.15621599999999999</v>
      </c>
      <c r="N305" s="191">
        <f t="shared" si="48"/>
        <v>0.14160600000000001</v>
      </c>
      <c r="O305" s="209">
        <f t="shared" ref="O305:O310" si="49">((N305/B305)-1)*100</f>
        <v>-86.775805231553676</v>
      </c>
    </row>
    <row r="306" spans="1:15" s="176" customFormat="1" ht="12">
      <c r="A306" s="174" t="s">
        <v>223</v>
      </c>
      <c r="B306" s="191">
        <f>SUM(B304:B305)</f>
        <v>342.149331781</v>
      </c>
      <c r="C306" s="191">
        <f t="shared" ref="C306:N306" si="50">SUM(C304:C305)</f>
        <v>271.09658006799998</v>
      </c>
      <c r="D306" s="191">
        <f t="shared" si="50"/>
        <v>360.07399197500001</v>
      </c>
      <c r="E306" s="191">
        <f t="shared" si="50"/>
        <v>421.15504131700004</v>
      </c>
      <c r="F306" s="191">
        <f t="shared" si="50"/>
        <v>369.71125963199995</v>
      </c>
      <c r="G306" s="191">
        <f t="shared" si="50"/>
        <v>427.20047939599999</v>
      </c>
      <c r="H306" s="191">
        <f t="shared" si="50"/>
        <v>577.54555771599996</v>
      </c>
      <c r="I306" s="191">
        <f t="shared" si="50"/>
        <v>633.52210317599997</v>
      </c>
      <c r="J306" s="191">
        <f t="shared" si="50"/>
        <v>477.81539258399999</v>
      </c>
      <c r="K306" s="191">
        <f t="shared" si="50"/>
        <v>535.558985431</v>
      </c>
      <c r="L306" s="191">
        <f t="shared" si="50"/>
        <v>576.04233984199993</v>
      </c>
      <c r="M306" s="191">
        <f t="shared" si="50"/>
        <v>539.44868499999995</v>
      </c>
      <c r="N306" s="191">
        <f t="shared" si="50"/>
        <v>445.82761717200003</v>
      </c>
      <c r="O306" s="209">
        <f t="shared" si="49"/>
        <v>30.302056956043266</v>
      </c>
    </row>
    <row r="307" spans="1:15" s="176" customFormat="1" ht="12">
      <c r="A307" s="288" t="s">
        <v>115</v>
      </c>
      <c r="B307" s="191">
        <f>HLOOKUP(B$145,$120:$142,18,FALSE)</f>
        <v>-528.09072713800003</v>
      </c>
      <c r="C307" s="191">
        <f t="shared" ref="C307:N307" si="51">HLOOKUP(C$145,$120:$142,18,FALSE)</f>
        <v>-419.49846351999997</v>
      </c>
      <c r="D307" s="191">
        <f t="shared" si="51"/>
        <v>-574.54055303200005</v>
      </c>
      <c r="E307" s="191">
        <f t="shared" si="51"/>
        <v>-753.55384100000003</v>
      </c>
      <c r="F307" s="191">
        <f t="shared" si="51"/>
        <v>-511.27236605600001</v>
      </c>
      <c r="G307" s="191">
        <f t="shared" si="51"/>
        <v>-779.77098613400005</v>
      </c>
      <c r="H307" s="191">
        <f t="shared" si="51"/>
        <v>-963.43647009699998</v>
      </c>
      <c r="I307" s="191">
        <f t="shared" si="51"/>
        <v>-936.56374595299997</v>
      </c>
      <c r="J307" s="191">
        <f t="shared" si="51"/>
        <v>-718.62000988199998</v>
      </c>
      <c r="K307" s="191">
        <f t="shared" si="51"/>
        <v>-803.21347497099998</v>
      </c>
      <c r="L307" s="191">
        <f t="shared" si="51"/>
        <v>-846.41290735999996</v>
      </c>
      <c r="M307" s="191">
        <f t="shared" si="51"/>
        <v>-800.84792800000002</v>
      </c>
      <c r="N307" s="191">
        <f t="shared" si="51"/>
        <v>-805.18894399999999</v>
      </c>
      <c r="O307" s="209">
        <f t="shared" si="49"/>
        <v>52.471706587945647</v>
      </c>
    </row>
    <row r="308" spans="1:15" s="176" customFormat="1" ht="12">
      <c r="A308" s="288" t="s">
        <v>202</v>
      </c>
      <c r="B308" s="191">
        <f>HLOOKUP(B$145,$120:$142,20,FALSE)</f>
        <v>-1.287288</v>
      </c>
      <c r="C308" s="191">
        <f t="shared" ref="C308:N308" si="52">HLOOKUP(C$145,$120:$142,20,FALSE)</f>
        <v>-1.6128800000000001</v>
      </c>
      <c r="D308" s="191">
        <f t="shared" si="52"/>
        <v>-0.73918799999999996</v>
      </c>
      <c r="E308" s="191">
        <f t="shared" si="52"/>
        <v>-0.93555100000000002</v>
      </c>
      <c r="F308" s="191">
        <f t="shared" si="52"/>
        <v>-0.61304400000000003</v>
      </c>
      <c r="G308" s="191">
        <f t="shared" si="52"/>
        <v>-0.51296900000000001</v>
      </c>
      <c r="H308" s="191">
        <f t="shared" si="52"/>
        <v>-0.56382399999999999</v>
      </c>
      <c r="I308" s="191">
        <f t="shared" si="52"/>
        <v>-0.98076099999999999</v>
      </c>
      <c r="J308" s="191">
        <f t="shared" si="52"/>
        <v>-0.89748099999999997</v>
      </c>
      <c r="K308" s="191">
        <f t="shared" si="52"/>
        <v>-0.99246400000000001</v>
      </c>
      <c r="L308" s="191">
        <f t="shared" si="52"/>
        <v>-0.66012999999999999</v>
      </c>
      <c r="M308" s="191">
        <f t="shared" si="52"/>
        <v>-0.35147800000000001</v>
      </c>
      <c r="N308" s="191">
        <f t="shared" si="52"/>
        <v>-0.25456800000000002</v>
      </c>
      <c r="O308" s="209">
        <f t="shared" si="49"/>
        <v>-80.224471913045093</v>
      </c>
    </row>
    <row r="309" spans="1:15" s="176" customFormat="1" ht="12">
      <c r="A309" s="174" t="s">
        <v>225</v>
      </c>
      <c r="B309" s="191">
        <f>SUM(B307:B308)</f>
        <v>-529.37801513800002</v>
      </c>
      <c r="C309" s="191">
        <f t="shared" ref="C309:N309" si="53">SUM(C307:C308)</f>
        <v>-421.11134351999999</v>
      </c>
      <c r="D309" s="191">
        <f t="shared" si="53"/>
        <v>-575.27974103200006</v>
      </c>
      <c r="E309" s="191">
        <f t="shared" si="53"/>
        <v>-754.48939200000007</v>
      </c>
      <c r="F309" s="191">
        <f t="shared" si="53"/>
        <v>-511.88541005600001</v>
      </c>
      <c r="G309" s="191">
        <f t="shared" si="53"/>
        <v>-780.28395513400005</v>
      </c>
      <c r="H309" s="191">
        <f t="shared" si="53"/>
        <v>-964.00029409699994</v>
      </c>
      <c r="I309" s="191">
        <f t="shared" si="53"/>
        <v>-937.544506953</v>
      </c>
      <c r="J309" s="191">
        <f t="shared" si="53"/>
        <v>-719.51749088199995</v>
      </c>
      <c r="K309" s="191">
        <f t="shared" si="53"/>
        <v>-804.20593897100002</v>
      </c>
      <c r="L309" s="191">
        <f t="shared" si="53"/>
        <v>-847.07303735999994</v>
      </c>
      <c r="M309" s="191">
        <f t="shared" si="53"/>
        <v>-801.19940600000007</v>
      </c>
      <c r="N309" s="191">
        <f t="shared" si="53"/>
        <v>-805.44351199999994</v>
      </c>
      <c r="O309" s="209">
        <f t="shared" si="49"/>
        <v>52.149029420882599</v>
      </c>
    </row>
    <row r="310" spans="1:15" s="176" customFormat="1" ht="12">
      <c r="A310" s="177" t="s">
        <v>220</v>
      </c>
      <c r="B310" s="287">
        <f>SUM(B306,B309)</f>
        <v>-187.22868335700002</v>
      </c>
      <c r="C310" s="287">
        <f t="shared" ref="C310:N310" si="54">SUM(C306,C309)</f>
        <v>-150.01476345200001</v>
      </c>
      <c r="D310" s="287">
        <f t="shared" si="54"/>
        <v>-215.20574905700005</v>
      </c>
      <c r="E310" s="287">
        <f t="shared" si="54"/>
        <v>-333.33435068300003</v>
      </c>
      <c r="F310" s="287">
        <f t="shared" si="54"/>
        <v>-142.17415042400006</v>
      </c>
      <c r="G310" s="287">
        <f t="shared" si="54"/>
        <v>-353.08347573800006</v>
      </c>
      <c r="H310" s="287">
        <f t="shared" si="54"/>
        <v>-386.45473638099998</v>
      </c>
      <c r="I310" s="287">
        <f t="shared" si="54"/>
        <v>-304.02240377700002</v>
      </c>
      <c r="J310" s="287">
        <f t="shared" si="54"/>
        <v>-241.70209829799995</v>
      </c>
      <c r="K310" s="287">
        <f t="shared" si="54"/>
        <v>-268.64695354000003</v>
      </c>
      <c r="L310" s="287">
        <f t="shared" si="54"/>
        <v>-271.03069751800001</v>
      </c>
      <c r="M310" s="287">
        <f t="shared" si="54"/>
        <v>-261.75072100000011</v>
      </c>
      <c r="N310" s="287">
        <f t="shared" si="54"/>
        <v>-359.61589482799991</v>
      </c>
      <c r="O310" s="209">
        <f t="shared" si="49"/>
        <v>92.073077896028877</v>
      </c>
    </row>
  </sheetData>
  <sortState xmlns:xlrd2="http://schemas.microsoft.com/office/spreadsheetml/2017/richdata2" ref="H51:J61">
    <sortCondition descending="1" ref="J51:J61"/>
  </sortState>
  <mergeCells count="14">
    <mergeCell ref="B221:S221"/>
    <mergeCell ref="A255:A256"/>
    <mergeCell ref="B271:I271"/>
    <mergeCell ref="B4:J4"/>
    <mergeCell ref="B5:J5"/>
    <mergeCell ref="B118:Z118"/>
    <mergeCell ref="B119:Z119"/>
    <mergeCell ref="B179:W179"/>
    <mergeCell ref="B180:W180"/>
    <mergeCell ref="B181:W181"/>
    <mergeCell ref="A263:A265"/>
    <mergeCell ref="A260:A262"/>
    <mergeCell ref="B219:S219"/>
    <mergeCell ref="B220:S220"/>
  </mergeCells>
  <conditionalFormatting sqref="X184:X214">
    <cfRule type="cellIs" dxfId="2" priority="2" operator="equal">
      <formula>$V$172</formula>
    </cfRule>
  </conditionalFormatting>
  <conditionalFormatting sqref="X224:X250">
    <cfRule type="cellIs" dxfId="1" priority="1" operator="equal">
      <formula>$V$172</formula>
    </cfRule>
  </conditionalFormatting>
  <conditionalFormatting sqref="Z184:Z214">
    <cfRule type="cellIs" dxfId="0" priority="3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zoomScale="93" workbookViewId="0">
      <selection activeCell="C3" sqref="C3"/>
    </sheetView>
  </sheetViews>
  <sheetFormatPr baseColWidth="10" defaultRowHeight="12.75"/>
  <cols>
    <col min="1" max="2" width="14.5703125" customWidth="1"/>
    <col min="3" max="5" width="17.5703125" customWidth="1"/>
    <col min="6" max="6" width="7.5703125" style="188" customWidth="1"/>
    <col min="7" max="7" width="7.5703125" style="189" customWidth="1"/>
  </cols>
  <sheetData>
    <row r="1" spans="1:9">
      <c r="C1" s="190" t="s">
        <v>30</v>
      </c>
      <c r="D1" s="190" t="s">
        <v>31</v>
      </c>
      <c r="E1" s="190" t="s">
        <v>32</v>
      </c>
    </row>
    <row r="2" spans="1:9">
      <c r="C2" s="335" t="s">
        <v>119</v>
      </c>
      <c r="D2" s="336"/>
      <c r="E2" s="336"/>
    </row>
    <row r="3" spans="1:9">
      <c r="A3">
        <v>0</v>
      </c>
      <c r="B3" s="46">
        <v>45200</v>
      </c>
      <c r="C3" s="166">
        <v>2.1056485495590422</v>
      </c>
      <c r="D3" s="166">
        <v>40.400211353346023</v>
      </c>
      <c r="E3" s="166">
        <f>IF(C3&lt;D3,C3,D3)</f>
        <v>2.1056485495590422</v>
      </c>
      <c r="F3" s="188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2023</v>
      </c>
    </row>
    <row r="4" spans="1:9">
      <c r="A4">
        <v>1</v>
      </c>
      <c r="B4" s="46">
        <v>45201</v>
      </c>
      <c r="C4" s="166">
        <v>2.635984137558109</v>
      </c>
      <c r="D4" s="166">
        <v>40.400211353346023</v>
      </c>
      <c r="E4" s="166">
        <f t="shared" ref="E4:E67" si="1">IF(C4&lt;D4,C4,D4)</f>
        <v>2.635984137558109</v>
      </c>
      <c r="F4" s="188" t="str">
        <f t="shared" si="0"/>
        <v/>
      </c>
      <c r="H4" t="str">
        <f>IF(MONTH(B4)=1,IF(DAY(B4)=1,YEAR(B4),""),"")</f>
        <v/>
      </c>
      <c r="I4" s="188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45202</v>
      </c>
      <c r="C5" s="166">
        <v>3.8150691695590395</v>
      </c>
      <c r="D5" s="166">
        <v>40.400211353346023</v>
      </c>
      <c r="E5" s="166">
        <f t="shared" si="1"/>
        <v>3.8150691695590395</v>
      </c>
      <c r="F5" s="188" t="str">
        <f t="shared" si="0"/>
        <v/>
      </c>
      <c r="H5" t="str">
        <f t="shared" ref="H5:H68" si="3">IF(MONTH(B5)=1,IF(DAY(B5)=1,YEAR(B5),""),"")</f>
        <v/>
      </c>
      <c r="I5" s="188" t="str">
        <f t="shared" si="2"/>
        <v/>
      </c>
    </row>
    <row r="6" spans="1:9">
      <c r="A6">
        <v>3</v>
      </c>
      <c r="B6" s="46">
        <v>45203</v>
      </c>
      <c r="C6" s="166">
        <v>8.2569853218427092</v>
      </c>
      <c r="D6" s="166">
        <v>40.400211353346023</v>
      </c>
      <c r="E6" s="166">
        <f t="shared" si="1"/>
        <v>8.2569853218427092</v>
      </c>
      <c r="F6" s="188" t="str">
        <f t="shared" si="0"/>
        <v/>
      </c>
      <c r="H6" t="str">
        <f t="shared" si="3"/>
        <v/>
      </c>
      <c r="I6" s="188" t="str">
        <f t="shared" si="2"/>
        <v/>
      </c>
    </row>
    <row r="7" spans="1:9">
      <c r="A7">
        <v>4</v>
      </c>
      <c r="B7" s="46">
        <v>45204</v>
      </c>
      <c r="C7" s="166">
        <v>20.672574646844573</v>
      </c>
      <c r="D7" s="166">
        <v>40.400211353346023</v>
      </c>
      <c r="E7" s="166">
        <f t="shared" si="1"/>
        <v>20.672574646844573</v>
      </c>
      <c r="F7" s="188" t="str">
        <f t="shared" si="0"/>
        <v/>
      </c>
      <c r="H7" t="str">
        <f t="shared" si="3"/>
        <v/>
      </c>
      <c r="I7" s="188" t="str">
        <f t="shared" si="2"/>
        <v/>
      </c>
    </row>
    <row r="8" spans="1:9">
      <c r="A8">
        <v>5</v>
      </c>
      <c r="B8" s="46">
        <v>45205</v>
      </c>
      <c r="C8" s="166">
        <v>22.144515225843644</v>
      </c>
      <c r="D8" s="166">
        <v>40.400211353346023</v>
      </c>
      <c r="E8" s="166">
        <f t="shared" si="1"/>
        <v>22.144515225843644</v>
      </c>
      <c r="F8" s="188" t="str">
        <f t="shared" si="0"/>
        <v/>
      </c>
      <c r="H8" t="str">
        <f t="shared" si="3"/>
        <v/>
      </c>
      <c r="I8" s="188" t="str">
        <f t="shared" si="2"/>
        <v/>
      </c>
    </row>
    <row r="9" spans="1:9">
      <c r="A9">
        <v>6</v>
      </c>
      <c r="B9" s="46">
        <v>45206</v>
      </c>
      <c r="C9" s="166">
        <v>5.1140933218445719</v>
      </c>
      <c r="D9" s="166">
        <v>40.400211353346023</v>
      </c>
      <c r="E9" s="166">
        <f t="shared" si="1"/>
        <v>5.1140933218445719</v>
      </c>
      <c r="F9" s="188" t="str">
        <f t="shared" si="0"/>
        <v/>
      </c>
      <c r="H9" t="str">
        <f t="shared" si="3"/>
        <v/>
      </c>
      <c r="I9" s="188" t="str">
        <f t="shared" si="2"/>
        <v/>
      </c>
    </row>
    <row r="10" spans="1:9">
      <c r="A10">
        <v>7</v>
      </c>
      <c r="B10" s="46">
        <v>45207</v>
      </c>
      <c r="C10" s="166">
        <v>3.4750962828436425</v>
      </c>
      <c r="D10" s="166">
        <v>40.400211353346023</v>
      </c>
      <c r="E10" s="166">
        <f t="shared" si="1"/>
        <v>3.4750962828436425</v>
      </c>
      <c r="F10" s="188" t="str">
        <f t="shared" si="0"/>
        <v/>
      </c>
      <c r="H10" t="str">
        <f t="shared" si="3"/>
        <v/>
      </c>
      <c r="I10" s="188" t="str">
        <f t="shared" si="2"/>
        <v/>
      </c>
    </row>
    <row r="11" spans="1:9">
      <c r="A11">
        <v>8</v>
      </c>
      <c r="B11" s="46">
        <v>45208</v>
      </c>
      <c r="C11" s="166">
        <v>22.509661284844572</v>
      </c>
      <c r="D11" s="166">
        <v>40.400211353346023</v>
      </c>
      <c r="E11" s="166">
        <f t="shared" si="1"/>
        <v>22.509661284844572</v>
      </c>
      <c r="F11" s="188" t="str">
        <f t="shared" si="0"/>
        <v/>
      </c>
      <c r="H11" t="str">
        <f t="shared" si="3"/>
        <v/>
      </c>
      <c r="I11" s="188" t="str">
        <f t="shared" si="2"/>
        <v/>
      </c>
    </row>
    <row r="12" spans="1:9">
      <c r="A12">
        <v>9</v>
      </c>
      <c r="B12" s="46">
        <v>45209</v>
      </c>
      <c r="C12" s="166">
        <v>24.315748561843641</v>
      </c>
      <c r="D12" s="166">
        <v>40.400211353346023</v>
      </c>
      <c r="E12" s="166">
        <f t="shared" si="1"/>
        <v>24.315748561843641</v>
      </c>
      <c r="F12" s="188" t="str">
        <f t="shared" si="0"/>
        <v/>
      </c>
      <c r="H12" t="str">
        <f t="shared" si="3"/>
        <v/>
      </c>
      <c r="I12" s="188" t="str">
        <f t="shared" si="2"/>
        <v/>
      </c>
    </row>
    <row r="13" spans="1:9">
      <c r="A13">
        <v>10</v>
      </c>
      <c r="B13" s="46">
        <v>45210</v>
      </c>
      <c r="C13" s="166">
        <v>16.618847536526957</v>
      </c>
      <c r="D13" s="166">
        <v>40.400211353346023</v>
      </c>
      <c r="E13" s="166">
        <f t="shared" si="1"/>
        <v>16.618847536526957</v>
      </c>
      <c r="F13" s="188" t="str">
        <f t="shared" si="0"/>
        <v/>
      </c>
      <c r="H13" t="str">
        <f t="shared" si="3"/>
        <v/>
      </c>
      <c r="I13" s="188" t="str">
        <f t="shared" si="2"/>
        <v/>
      </c>
    </row>
    <row r="14" spans="1:9">
      <c r="A14">
        <v>11</v>
      </c>
      <c r="B14" s="46">
        <v>45211</v>
      </c>
      <c r="C14" s="166">
        <v>8.7665859895250904</v>
      </c>
      <c r="D14" s="166">
        <v>40.400211353346023</v>
      </c>
      <c r="E14" s="166">
        <f t="shared" si="1"/>
        <v>8.7665859895250904</v>
      </c>
      <c r="F14" s="188" t="str">
        <f t="shared" si="0"/>
        <v/>
      </c>
      <c r="H14" t="str">
        <f t="shared" si="3"/>
        <v/>
      </c>
      <c r="I14" s="188" t="str">
        <f t="shared" si="2"/>
        <v/>
      </c>
    </row>
    <row r="15" spans="1:9">
      <c r="A15">
        <v>12</v>
      </c>
      <c r="B15" s="46">
        <v>45212</v>
      </c>
      <c r="C15" s="166">
        <v>4.0539202715278808</v>
      </c>
      <c r="D15" s="166">
        <v>40.400211353346023</v>
      </c>
      <c r="E15" s="166">
        <f t="shared" si="1"/>
        <v>4.0539202715278808</v>
      </c>
      <c r="F15" s="188" t="str">
        <f t="shared" si="0"/>
        <v/>
      </c>
      <c r="H15" t="str">
        <f t="shared" si="3"/>
        <v/>
      </c>
      <c r="I15" s="188" t="str">
        <f t="shared" si="2"/>
        <v/>
      </c>
    </row>
    <row r="16" spans="1:9">
      <c r="A16">
        <v>13</v>
      </c>
      <c r="B16" s="46">
        <v>45213</v>
      </c>
      <c r="C16" s="166">
        <v>11.487250864526956</v>
      </c>
      <c r="D16" s="166">
        <v>40.400211353346023</v>
      </c>
      <c r="E16" s="166">
        <f t="shared" si="1"/>
        <v>11.487250864526956</v>
      </c>
      <c r="F16" s="188" t="str">
        <f t="shared" si="0"/>
        <v/>
      </c>
      <c r="H16" t="str">
        <f t="shared" si="3"/>
        <v/>
      </c>
      <c r="I16" s="188" t="str">
        <f t="shared" si="2"/>
        <v/>
      </c>
    </row>
    <row r="17" spans="1:10">
      <c r="A17">
        <v>14</v>
      </c>
      <c r="B17" s="46">
        <v>45214</v>
      </c>
      <c r="C17" s="166">
        <v>5.1308790605269534</v>
      </c>
      <c r="D17" s="166">
        <v>40.400211353346023</v>
      </c>
      <c r="E17" s="166">
        <f t="shared" si="1"/>
        <v>5.1308790605269534</v>
      </c>
      <c r="F17" s="188" t="str">
        <f t="shared" si="0"/>
        <v>O</v>
      </c>
      <c r="G17" s="189">
        <f>IF(DAY(B17)=15,D17,"")</f>
        <v>40.400211353346023</v>
      </c>
      <c r="H17" t="str">
        <f t="shared" si="3"/>
        <v/>
      </c>
      <c r="I17" s="188" t="str">
        <f t="shared" si="2"/>
        <v>O</v>
      </c>
      <c r="J17" s="189"/>
    </row>
    <row r="18" spans="1:10">
      <c r="A18">
        <v>15</v>
      </c>
      <c r="B18" s="46">
        <v>45215</v>
      </c>
      <c r="C18" s="166">
        <v>27.555892200526948</v>
      </c>
      <c r="D18" s="166">
        <v>40.400211353346023</v>
      </c>
      <c r="E18" s="166">
        <f t="shared" si="1"/>
        <v>27.555892200526948</v>
      </c>
      <c r="F18" s="188" t="str">
        <f t="shared" si="0"/>
        <v/>
      </c>
      <c r="H18" t="str">
        <f t="shared" si="3"/>
        <v/>
      </c>
      <c r="I18" s="188" t="str">
        <f t="shared" si="2"/>
        <v/>
      </c>
    </row>
    <row r="19" spans="1:10">
      <c r="A19">
        <v>16</v>
      </c>
      <c r="B19" s="46">
        <v>45216</v>
      </c>
      <c r="C19" s="166">
        <v>5.8518849325269544</v>
      </c>
      <c r="D19" s="166">
        <v>40.400211353346023</v>
      </c>
      <c r="E19" s="166">
        <f t="shared" si="1"/>
        <v>5.8518849325269544</v>
      </c>
      <c r="F19" s="188" t="str">
        <f t="shared" si="0"/>
        <v/>
      </c>
      <c r="H19" t="str">
        <f t="shared" si="3"/>
        <v/>
      </c>
      <c r="I19" s="188" t="str">
        <f t="shared" si="2"/>
        <v/>
      </c>
    </row>
    <row r="20" spans="1:10">
      <c r="A20">
        <v>17</v>
      </c>
      <c r="B20" s="46">
        <v>45217</v>
      </c>
      <c r="C20" s="166">
        <v>70.60312873297741</v>
      </c>
      <c r="D20" s="166">
        <v>40.400211353346023</v>
      </c>
      <c r="E20" s="166">
        <f t="shared" si="1"/>
        <v>40.400211353346023</v>
      </c>
      <c r="F20" s="188" t="str">
        <f t="shared" si="0"/>
        <v/>
      </c>
      <c r="H20" t="str">
        <f t="shared" si="3"/>
        <v/>
      </c>
      <c r="I20" s="188" t="str">
        <f t="shared" si="2"/>
        <v/>
      </c>
    </row>
    <row r="21" spans="1:10">
      <c r="A21">
        <v>18</v>
      </c>
      <c r="B21" s="46">
        <v>45218</v>
      </c>
      <c r="C21" s="166">
        <v>78.534630715978338</v>
      </c>
      <c r="D21" s="166">
        <v>40.400211353346023</v>
      </c>
      <c r="E21" s="166">
        <f t="shared" si="1"/>
        <v>40.400211353346023</v>
      </c>
      <c r="F21" s="188" t="str">
        <f t="shared" si="0"/>
        <v/>
      </c>
      <c r="H21" t="str">
        <f t="shared" si="3"/>
        <v/>
      </c>
      <c r="I21" s="188" t="str">
        <f t="shared" si="2"/>
        <v/>
      </c>
    </row>
    <row r="22" spans="1:10">
      <c r="A22">
        <v>19</v>
      </c>
      <c r="B22" s="46">
        <v>45219</v>
      </c>
      <c r="C22" s="166">
        <v>90.890940400979275</v>
      </c>
      <c r="D22" s="166">
        <v>40.400211353346023</v>
      </c>
      <c r="E22" s="166">
        <f t="shared" si="1"/>
        <v>40.400211353346023</v>
      </c>
      <c r="F22" s="188" t="str">
        <f t="shared" si="0"/>
        <v/>
      </c>
      <c r="H22" t="str">
        <f t="shared" si="3"/>
        <v/>
      </c>
      <c r="I22" s="188" t="str">
        <f t="shared" si="2"/>
        <v/>
      </c>
    </row>
    <row r="23" spans="1:10">
      <c r="A23">
        <v>20</v>
      </c>
      <c r="B23" s="46">
        <v>45220</v>
      </c>
      <c r="C23" s="166">
        <v>96.171797856979282</v>
      </c>
      <c r="D23" s="166">
        <v>40.400211353346023</v>
      </c>
      <c r="E23" s="166">
        <f t="shared" si="1"/>
        <v>40.400211353346023</v>
      </c>
      <c r="F23" s="188" t="str">
        <f t="shared" si="0"/>
        <v/>
      </c>
      <c r="H23" t="str">
        <f t="shared" si="3"/>
        <v/>
      </c>
      <c r="I23" s="188" t="str">
        <f t="shared" si="2"/>
        <v/>
      </c>
    </row>
    <row r="24" spans="1:10">
      <c r="A24">
        <v>21</v>
      </c>
      <c r="B24" s="46">
        <v>45221</v>
      </c>
      <c r="C24" s="166">
        <v>104.0859269489774</v>
      </c>
      <c r="D24" s="166">
        <v>40.400211353346023</v>
      </c>
      <c r="E24" s="166">
        <f t="shared" si="1"/>
        <v>40.400211353346023</v>
      </c>
      <c r="F24" s="188" t="str">
        <f t="shared" si="0"/>
        <v/>
      </c>
      <c r="H24" t="str">
        <f t="shared" si="3"/>
        <v/>
      </c>
      <c r="I24" s="188" t="str">
        <f t="shared" si="2"/>
        <v/>
      </c>
    </row>
    <row r="25" spans="1:10">
      <c r="A25">
        <v>22</v>
      </c>
      <c r="B25" s="46">
        <v>45222</v>
      </c>
      <c r="C25" s="166">
        <v>122.76917567297927</v>
      </c>
      <c r="D25" s="166">
        <v>40.400211353346023</v>
      </c>
      <c r="E25" s="166">
        <f t="shared" si="1"/>
        <v>40.400211353346023</v>
      </c>
      <c r="F25" s="188" t="str">
        <f t="shared" si="0"/>
        <v/>
      </c>
      <c r="H25" t="str">
        <f t="shared" si="3"/>
        <v/>
      </c>
      <c r="I25" s="188" t="str">
        <f t="shared" si="2"/>
        <v/>
      </c>
    </row>
    <row r="26" spans="1:10">
      <c r="A26">
        <v>23</v>
      </c>
      <c r="B26" s="46">
        <v>45223</v>
      </c>
      <c r="C26" s="166">
        <v>101.42940740097833</v>
      </c>
      <c r="D26" s="166">
        <v>40.400211353346023</v>
      </c>
      <c r="E26" s="166">
        <f t="shared" si="1"/>
        <v>40.400211353346023</v>
      </c>
      <c r="F26" s="188" t="str">
        <f t="shared" si="0"/>
        <v/>
      </c>
      <c r="H26" t="str">
        <f t="shared" si="3"/>
        <v/>
      </c>
      <c r="I26" s="188" t="str">
        <f t="shared" si="2"/>
        <v/>
      </c>
    </row>
    <row r="27" spans="1:10">
      <c r="A27">
        <v>24</v>
      </c>
      <c r="B27" s="46">
        <v>45224</v>
      </c>
      <c r="C27" s="166">
        <v>155.50635443682236</v>
      </c>
      <c r="D27" s="166">
        <v>40.400211353346023</v>
      </c>
      <c r="E27" s="166">
        <f t="shared" si="1"/>
        <v>40.400211353346023</v>
      </c>
      <c r="F27" s="188" t="str">
        <f t="shared" si="0"/>
        <v/>
      </c>
      <c r="H27" t="str">
        <f t="shared" si="3"/>
        <v/>
      </c>
      <c r="I27" s="188" t="str">
        <f t="shared" si="2"/>
        <v/>
      </c>
    </row>
    <row r="28" spans="1:10">
      <c r="A28">
        <v>25</v>
      </c>
      <c r="B28" s="46">
        <v>45225</v>
      </c>
      <c r="C28" s="166">
        <v>161.22304439982139</v>
      </c>
      <c r="D28" s="166">
        <v>40.400211353346023</v>
      </c>
      <c r="E28" s="166">
        <f t="shared" si="1"/>
        <v>40.400211353346023</v>
      </c>
      <c r="F28" s="188" t="str">
        <f t="shared" si="0"/>
        <v/>
      </c>
      <c r="H28" t="str">
        <f t="shared" si="3"/>
        <v/>
      </c>
      <c r="I28" s="188" t="str">
        <f t="shared" si="2"/>
        <v/>
      </c>
    </row>
    <row r="29" spans="1:10">
      <c r="A29">
        <v>26</v>
      </c>
      <c r="B29" s="46">
        <v>45226</v>
      </c>
      <c r="C29" s="166">
        <v>173.31285210182233</v>
      </c>
      <c r="D29" s="166">
        <v>40.400211353346023</v>
      </c>
      <c r="E29" s="166">
        <f t="shared" si="1"/>
        <v>40.400211353346023</v>
      </c>
      <c r="F29" s="188" t="str">
        <f t="shared" si="0"/>
        <v/>
      </c>
      <c r="H29" t="str">
        <f t="shared" si="3"/>
        <v/>
      </c>
      <c r="I29" s="188" t="str">
        <f t="shared" si="2"/>
        <v/>
      </c>
    </row>
    <row r="30" spans="1:10">
      <c r="A30">
        <v>27</v>
      </c>
      <c r="B30" s="46">
        <v>45227</v>
      </c>
      <c r="C30" s="166">
        <v>167.54062048382141</v>
      </c>
      <c r="D30" s="166">
        <v>40.400211353346023</v>
      </c>
      <c r="E30" s="166">
        <f t="shared" si="1"/>
        <v>40.400211353346023</v>
      </c>
      <c r="F30" s="188" t="str">
        <f t="shared" si="0"/>
        <v/>
      </c>
      <c r="H30" t="str">
        <f t="shared" si="3"/>
        <v/>
      </c>
      <c r="I30" s="188" t="str">
        <f t="shared" si="2"/>
        <v/>
      </c>
    </row>
    <row r="31" spans="1:10">
      <c r="A31">
        <v>28</v>
      </c>
      <c r="B31" s="46">
        <v>45228</v>
      </c>
      <c r="C31" s="166">
        <v>177.79013328882235</v>
      </c>
      <c r="D31" s="166">
        <v>40.400211353346023</v>
      </c>
      <c r="E31" s="166">
        <f t="shared" si="1"/>
        <v>40.400211353346023</v>
      </c>
      <c r="F31" s="188" t="str">
        <f t="shared" si="0"/>
        <v/>
      </c>
      <c r="H31" t="str">
        <f t="shared" si="3"/>
        <v/>
      </c>
      <c r="I31" s="188" t="str">
        <f t="shared" si="2"/>
        <v/>
      </c>
    </row>
    <row r="32" spans="1:10">
      <c r="A32">
        <v>29</v>
      </c>
      <c r="B32" s="46">
        <v>45229</v>
      </c>
      <c r="C32" s="166">
        <v>178.86842101782236</v>
      </c>
      <c r="D32" s="166">
        <v>40.400211353346023</v>
      </c>
      <c r="E32" s="166">
        <f t="shared" si="1"/>
        <v>40.400211353346023</v>
      </c>
      <c r="F32" s="188" t="str">
        <f t="shared" si="0"/>
        <v/>
      </c>
      <c r="H32" t="str">
        <f t="shared" si="3"/>
        <v/>
      </c>
      <c r="I32" s="188" t="str">
        <f t="shared" si="2"/>
        <v/>
      </c>
    </row>
    <row r="33" spans="1:9">
      <c r="A33">
        <v>30</v>
      </c>
      <c r="B33" s="46">
        <v>45230</v>
      </c>
      <c r="C33" s="166">
        <v>219.01297562782048</v>
      </c>
      <c r="D33" s="166">
        <v>40.400211353346023</v>
      </c>
      <c r="E33" s="166">
        <f t="shared" si="1"/>
        <v>40.400211353346023</v>
      </c>
      <c r="F33" s="188" t="str">
        <f t="shared" si="0"/>
        <v/>
      </c>
      <c r="H33" t="str">
        <f t="shared" si="3"/>
        <v/>
      </c>
      <c r="I33" s="188" t="str">
        <f t="shared" si="2"/>
        <v/>
      </c>
    </row>
    <row r="34" spans="1:9">
      <c r="A34">
        <v>31</v>
      </c>
      <c r="B34" s="46">
        <v>45231</v>
      </c>
      <c r="C34" s="166">
        <v>253.6148215318982</v>
      </c>
      <c r="D34" s="166">
        <v>80.938788836501317</v>
      </c>
      <c r="E34" s="166">
        <f t="shared" si="1"/>
        <v>80.938788836501317</v>
      </c>
      <c r="F34" s="188" t="str">
        <f t="shared" si="0"/>
        <v/>
      </c>
      <c r="H34" t="str">
        <f t="shared" si="3"/>
        <v/>
      </c>
      <c r="I34" s="188" t="str">
        <f t="shared" si="2"/>
        <v/>
      </c>
    </row>
    <row r="35" spans="1:9">
      <c r="A35">
        <v>32</v>
      </c>
      <c r="B35" s="46">
        <v>45232</v>
      </c>
      <c r="C35" s="166">
        <v>254.10288048389819</v>
      </c>
      <c r="D35" s="166">
        <v>80.938788836501317</v>
      </c>
      <c r="E35" s="166">
        <f t="shared" si="1"/>
        <v>80.938788836501317</v>
      </c>
      <c r="F35" s="188" t="str">
        <f t="shared" si="0"/>
        <v/>
      </c>
      <c r="H35" t="str">
        <f t="shared" si="3"/>
        <v/>
      </c>
      <c r="I35" s="188" t="str">
        <f t="shared" si="2"/>
        <v/>
      </c>
    </row>
    <row r="36" spans="1:9">
      <c r="A36">
        <v>33</v>
      </c>
      <c r="B36" s="46">
        <v>45233</v>
      </c>
      <c r="C36" s="166">
        <v>263.87942528789819</v>
      </c>
      <c r="D36" s="166">
        <v>80.938788836501317</v>
      </c>
      <c r="E36" s="166">
        <f t="shared" si="1"/>
        <v>80.938788836501317</v>
      </c>
      <c r="F36" s="188" t="str">
        <f t="shared" si="0"/>
        <v/>
      </c>
      <c r="H36" t="str">
        <f t="shared" si="3"/>
        <v/>
      </c>
      <c r="I36" s="188" t="str">
        <f t="shared" si="2"/>
        <v/>
      </c>
    </row>
    <row r="37" spans="1:9">
      <c r="A37">
        <v>34</v>
      </c>
      <c r="B37" s="46">
        <v>45234</v>
      </c>
      <c r="C37" s="166">
        <v>260.97814761189818</v>
      </c>
      <c r="D37" s="166">
        <v>80.938788836501317</v>
      </c>
      <c r="E37" s="166">
        <f t="shared" si="1"/>
        <v>80.938788836501317</v>
      </c>
      <c r="F37" s="188" t="str">
        <f t="shared" si="0"/>
        <v/>
      </c>
      <c r="H37" t="str">
        <f t="shared" si="3"/>
        <v/>
      </c>
      <c r="I37" s="188" t="str">
        <f t="shared" si="2"/>
        <v/>
      </c>
    </row>
    <row r="38" spans="1:9">
      <c r="A38">
        <v>35</v>
      </c>
      <c r="B38" s="46">
        <v>45235</v>
      </c>
      <c r="C38" s="166">
        <v>260.26990864389916</v>
      </c>
      <c r="D38" s="166">
        <v>80.938788836501317</v>
      </c>
      <c r="E38" s="166">
        <f t="shared" si="1"/>
        <v>80.938788836501317</v>
      </c>
      <c r="F38" s="188" t="str">
        <f t="shared" si="0"/>
        <v/>
      </c>
      <c r="H38" t="str">
        <f t="shared" si="3"/>
        <v/>
      </c>
      <c r="I38" s="188" t="str">
        <f t="shared" si="2"/>
        <v/>
      </c>
    </row>
    <row r="39" spans="1:9">
      <c r="A39">
        <v>36</v>
      </c>
      <c r="B39" s="46">
        <v>45236</v>
      </c>
      <c r="C39" s="166">
        <v>271.86419665289731</v>
      </c>
      <c r="D39" s="166">
        <v>80.938788836501317</v>
      </c>
      <c r="E39" s="166">
        <f t="shared" si="1"/>
        <v>80.938788836501317</v>
      </c>
      <c r="F39" s="188" t="str">
        <f t="shared" si="0"/>
        <v/>
      </c>
      <c r="H39" t="str">
        <f t="shared" si="3"/>
        <v/>
      </c>
      <c r="I39" s="188" t="str">
        <f t="shared" si="2"/>
        <v/>
      </c>
    </row>
    <row r="40" spans="1:9">
      <c r="A40">
        <v>37</v>
      </c>
      <c r="B40" s="46">
        <v>45237</v>
      </c>
      <c r="C40" s="166">
        <v>288.43707496989913</v>
      </c>
      <c r="D40" s="166">
        <v>80.938788836501317</v>
      </c>
      <c r="E40" s="166">
        <f t="shared" si="1"/>
        <v>80.938788836501317</v>
      </c>
      <c r="F40" s="188" t="str">
        <f t="shared" si="0"/>
        <v/>
      </c>
      <c r="H40" t="str">
        <f t="shared" si="3"/>
        <v/>
      </c>
      <c r="I40" s="188" t="str">
        <f t="shared" si="2"/>
        <v/>
      </c>
    </row>
    <row r="41" spans="1:9">
      <c r="A41">
        <v>38</v>
      </c>
      <c r="B41" s="46">
        <v>45238</v>
      </c>
      <c r="C41" s="166">
        <v>201.7189202797035</v>
      </c>
      <c r="D41" s="166">
        <v>80.938788836501317</v>
      </c>
      <c r="E41" s="166">
        <f t="shared" si="1"/>
        <v>80.938788836501317</v>
      </c>
      <c r="F41" s="188" t="str">
        <f t="shared" si="0"/>
        <v/>
      </c>
      <c r="H41" t="str">
        <f t="shared" si="3"/>
        <v/>
      </c>
      <c r="I41" s="188" t="str">
        <f t="shared" si="2"/>
        <v/>
      </c>
    </row>
    <row r="42" spans="1:9">
      <c r="A42">
        <v>39</v>
      </c>
      <c r="B42" s="46">
        <v>45239</v>
      </c>
      <c r="C42" s="166">
        <v>192.57401201370166</v>
      </c>
      <c r="D42" s="166">
        <v>80.938788836501317</v>
      </c>
      <c r="E42" s="166">
        <f t="shared" si="1"/>
        <v>80.938788836501317</v>
      </c>
      <c r="F42" s="188" t="str">
        <f t="shared" si="0"/>
        <v/>
      </c>
      <c r="H42" t="str">
        <f t="shared" si="3"/>
        <v/>
      </c>
      <c r="I42" s="188" t="str">
        <f t="shared" si="2"/>
        <v/>
      </c>
    </row>
    <row r="43" spans="1:9">
      <c r="A43">
        <v>40</v>
      </c>
      <c r="B43" s="46">
        <v>45240</v>
      </c>
      <c r="C43" s="166">
        <v>190.53594786770165</v>
      </c>
      <c r="D43" s="166">
        <v>80.938788836501317</v>
      </c>
      <c r="E43" s="166">
        <f t="shared" si="1"/>
        <v>80.938788836501317</v>
      </c>
      <c r="F43" s="188" t="str">
        <f t="shared" si="0"/>
        <v/>
      </c>
      <c r="H43" t="str">
        <f t="shared" si="3"/>
        <v/>
      </c>
      <c r="I43" s="188" t="str">
        <f t="shared" si="2"/>
        <v/>
      </c>
    </row>
    <row r="44" spans="1:9">
      <c r="A44">
        <v>41</v>
      </c>
      <c r="B44" s="46">
        <v>45241</v>
      </c>
      <c r="C44" s="166">
        <v>165.43634698970351</v>
      </c>
      <c r="D44" s="166">
        <v>80.938788836501317</v>
      </c>
      <c r="E44" s="166">
        <f t="shared" si="1"/>
        <v>80.938788836501317</v>
      </c>
      <c r="F44" s="188" t="str">
        <f t="shared" si="0"/>
        <v/>
      </c>
      <c r="H44" t="str">
        <f t="shared" si="3"/>
        <v/>
      </c>
      <c r="I44" s="188" t="str">
        <f t="shared" si="2"/>
        <v/>
      </c>
    </row>
    <row r="45" spans="1:9">
      <c r="A45">
        <v>42</v>
      </c>
      <c r="B45" s="46">
        <v>45242</v>
      </c>
      <c r="C45" s="166">
        <v>171.5012587987035</v>
      </c>
      <c r="D45" s="166">
        <v>80.938788836501317</v>
      </c>
      <c r="E45" s="166">
        <f t="shared" si="1"/>
        <v>80.938788836501317</v>
      </c>
      <c r="F45" s="188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8" t="str">
        <f t="shared" si="2"/>
        <v/>
      </c>
    </row>
    <row r="46" spans="1:9">
      <c r="A46">
        <v>43</v>
      </c>
      <c r="B46" s="46">
        <v>45243</v>
      </c>
      <c r="C46" s="166">
        <v>186.9203967267035</v>
      </c>
      <c r="D46" s="166">
        <v>80.938788836501317</v>
      </c>
      <c r="E46" s="166">
        <f t="shared" si="1"/>
        <v>80.938788836501317</v>
      </c>
      <c r="F46" s="188" t="str">
        <f t="shared" si="0"/>
        <v/>
      </c>
      <c r="H46" t="str">
        <f t="shared" si="3"/>
        <v/>
      </c>
      <c r="I46" s="188" t="str">
        <f t="shared" si="2"/>
        <v/>
      </c>
    </row>
    <row r="47" spans="1:9">
      <c r="A47">
        <v>44</v>
      </c>
      <c r="B47" s="46">
        <v>45244</v>
      </c>
      <c r="C47" s="166">
        <v>195.15432373870163</v>
      </c>
      <c r="D47" s="166">
        <v>80.938788836501317</v>
      </c>
      <c r="E47" s="166">
        <f t="shared" si="1"/>
        <v>80.938788836501317</v>
      </c>
      <c r="F47" s="188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/>
      </c>
      <c r="H47" t="str">
        <f t="shared" si="3"/>
        <v/>
      </c>
      <c r="I47" s="188" t="str">
        <f t="shared" si="2"/>
        <v/>
      </c>
    </row>
    <row r="48" spans="1:9">
      <c r="A48">
        <v>45</v>
      </c>
      <c r="B48" s="46">
        <v>45245</v>
      </c>
      <c r="C48" s="166">
        <v>136.88150827041906</v>
      </c>
      <c r="D48" s="166">
        <v>80.938788836501317</v>
      </c>
      <c r="E48" s="166">
        <f t="shared" si="1"/>
        <v>80.938788836501317</v>
      </c>
      <c r="F48" s="188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>N</v>
      </c>
      <c r="G48" s="189">
        <f>IF(DAY(B48)=15,D48,"")</f>
        <v>80.938788836501317</v>
      </c>
      <c r="H48" t="str">
        <f t="shared" si="3"/>
        <v/>
      </c>
      <c r="I48" s="188" t="str">
        <f t="shared" si="2"/>
        <v>N</v>
      </c>
    </row>
    <row r="49" spans="1:9">
      <c r="A49">
        <v>46</v>
      </c>
      <c r="B49" s="46">
        <v>45246</v>
      </c>
      <c r="C49" s="166">
        <v>137.88263202641906</v>
      </c>
      <c r="D49" s="166">
        <v>80.938788836501317</v>
      </c>
      <c r="E49" s="166">
        <f t="shared" si="1"/>
        <v>80.938788836501317</v>
      </c>
      <c r="F49" s="188" t="str">
        <f t="shared" si="0"/>
        <v/>
      </c>
      <c r="H49" t="str">
        <f t="shared" si="3"/>
        <v/>
      </c>
      <c r="I49" s="188" t="str">
        <f t="shared" si="2"/>
        <v/>
      </c>
    </row>
    <row r="50" spans="1:9">
      <c r="A50">
        <v>47</v>
      </c>
      <c r="B50" s="46">
        <v>45247</v>
      </c>
      <c r="C50" s="166">
        <v>154.00726435041909</v>
      </c>
      <c r="D50" s="166">
        <v>80.938788836501317</v>
      </c>
      <c r="E50" s="166">
        <f t="shared" si="1"/>
        <v>80.938788836501317</v>
      </c>
      <c r="F50" s="188" t="str">
        <f t="shared" si="0"/>
        <v/>
      </c>
      <c r="H50" t="str">
        <f t="shared" si="3"/>
        <v/>
      </c>
      <c r="I50" s="188" t="str">
        <f t="shared" si="2"/>
        <v/>
      </c>
    </row>
    <row r="51" spans="1:9">
      <c r="A51">
        <v>48</v>
      </c>
      <c r="B51" s="46">
        <v>45248</v>
      </c>
      <c r="C51" s="166">
        <v>147.38477178242093</v>
      </c>
      <c r="D51" s="166">
        <v>80.938788836501317</v>
      </c>
      <c r="E51" s="166">
        <f t="shared" si="1"/>
        <v>80.938788836501317</v>
      </c>
      <c r="F51" s="188" t="str">
        <f t="shared" si="0"/>
        <v/>
      </c>
      <c r="H51" t="str">
        <f t="shared" si="3"/>
        <v/>
      </c>
      <c r="I51" s="188" t="str">
        <f t="shared" si="2"/>
        <v/>
      </c>
    </row>
    <row r="52" spans="1:9">
      <c r="A52">
        <v>49</v>
      </c>
      <c r="B52" s="46">
        <v>45249</v>
      </c>
      <c r="C52" s="166">
        <v>113.46929277041906</v>
      </c>
      <c r="D52" s="166">
        <v>80.938788836501317</v>
      </c>
      <c r="E52" s="166">
        <f t="shared" si="1"/>
        <v>80.938788836501317</v>
      </c>
      <c r="F52" s="188" t="str">
        <f t="shared" si="0"/>
        <v/>
      </c>
      <c r="H52" t="str">
        <f t="shared" si="3"/>
        <v/>
      </c>
      <c r="I52" s="188" t="str">
        <f t="shared" si="2"/>
        <v/>
      </c>
    </row>
    <row r="53" spans="1:9">
      <c r="A53">
        <v>50</v>
      </c>
      <c r="B53" s="46">
        <v>45250</v>
      </c>
      <c r="C53" s="166">
        <v>133.41938511441907</v>
      </c>
      <c r="D53" s="166">
        <v>80.938788836501317</v>
      </c>
      <c r="E53" s="166">
        <f t="shared" si="1"/>
        <v>80.938788836501317</v>
      </c>
      <c r="F53" s="188" t="str">
        <f t="shared" si="0"/>
        <v/>
      </c>
      <c r="H53" t="str">
        <f t="shared" si="3"/>
        <v/>
      </c>
      <c r="I53" s="188" t="str">
        <f t="shared" si="2"/>
        <v/>
      </c>
    </row>
    <row r="54" spans="1:9">
      <c r="A54">
        <v>51</v>
      </c>
      <c r="B54" s="46">
        <v>45251</v>
      </c>
      <c r="C54" s="166">
        <v>96.503505298420933</v>
      </c>
      <c r="D54" s="166">
        <v>80.938788836501317</v>
      </c>
      <c r="E54" s="166">
        <f t="shared" si="1"/>
        <v>80.938788836501317</v>
      </c>
      <c r="F54" s="188" t="str">
        <f t="shared" si="0"/>
        <v/>
      </c>
      <c r="H54" t="str">
        <f t="shared" si="3"/>
        <v/>
      </c>
      <c r="I54" s="188" t="str">
        <f t="shared" si="2"/>
        <v/>
      </c>
    </row>
    <row r="55" spans="1:9">
      <c r="A55">
        <v>52</v>
      </c>
      <c r="B55" s="46">
        <v>45252</v>
      </c>
      <c r="C55" s="166">
        <v>54.502371812797733</v>
      </c>
      <c r="D55" s="166">
        <v>80.938788836501317</v>
      </c>
      <c r="E55" s="166">
        <f t="shared" si="1"/>
        <v>54.502371812797733</v>
      </c>
      <c r="F55" s="188" t="str">
        <f t="shared" si="0"/>
        <v/>
      </c>
      <c r="H55" t="str">
        <f t="shared" si="3"/>
        <v/>
      </c>
      <c r="I55" s="188" t="str">
        <f t="shared" si="2"/>
        <v/>
      </c>
    </row>
    <row r="56" spans="1:9">
      <c r="A56">
        <v>53</v>
      </c>
      <c r="B56" s="46">
        <v>45253</v>
      </c>
      <c r="C56" s="166">
        <v>69.862290128795863</v>
      </c>
      <c r="D56" s="166">
        <v>80.938788836501317</v>
      </c>
      <c r="E56" s="166">
        <f t="shared" si="1"/>
        <v>69.862290128795863</v>
      </c>
      <c r="F56" s="188" t="str">
        <f t="shared" si="0"/>
        <v/>
      </c>
      <c r="H56" t="str">
        <f t="shared" si="3"/>
        <v/>
      </c>
      <c r="I56" s="188" t="str">
        <f t="shared" si="2"/>
        <v/>
      </c>
    </row>
    <row r="57" spans="1:9">
      <c r="A57">
        <v>54</v>
      </c>
      <c r="B57" s="46">
        <v>45254</v>
      </c>
      <c r="C57" s="166">
        <v>82.498538988797733</v>
      </c>
      <c r="D57" s="166">
        <v>80.938788836501317</v>
      </c>
      <c r="E57" s="166">
        <f t="shared" si="1"/>
        <v>80.938788836501317</v>
      </c>
      <c r="F57" s="188" t="str">
        <f t="shared" si="0"/>
        <v/>
      </c>
      <c r="H57" t="str">
        <f t="shared" si="3"/>
        <v/>
      </c>
      <c r="I57" s="188" t="str">
        <f t="shared" si="2"/>
        <v/>
      </c>
    </row>
    <row r="58" spans="1:9">
      <c r="A58">
        <v>55</v>
      </c>
      <c r="B58" s="46">
        <v>45255</v>
      </c>
      <c r="C58" s="166">
        <v>78.329930240797736</v>
      </c>
      <c r="D58" s="166">
        <v>80.938788836501317</v>
      </c>
      <c r="E58" s="166">
        <f t="shared" si="1"/>
        <v>78.329930240797736</v>
      </c>
      <c r="F58" s="188" t="str">
        <f t="shared" si="0"/>
        <v/>
      </c>
      <c r="H58" t="str">
        <f t="shared" si="3"/>
        <v/>
      </c>
      <c r="I58" s="188" t="str">
        <f t="shared" si="2"/>
        <v/>
      </c>
    </row>
    <row r="59" spans="1:9">
      <c r="A59">
        <v>56</v>
      </c>
      <c r="B59" s="46">
        <v>45256</v>
      </c>
      <c r="C59" s="166">
        <v>119.80415644079773</v>
      </c>
      <c r="D59" s="166">
        <v>80.938788836501317</v>
      </c>
      <c r="E59" s="166">
        <f t="shared" si="1"/>
        <v>80.938788836501317</v>
      </c>
      <c r="F59" s="188" t="str">
        <f t="shared" si="0"/>
        <v/>
      </c>
      <c r="H59" t="str">
        <f t="shared" si="3"/>
        <v/>
      </c>
      <c r="I59" s="188" t="str">
        <f t="shared" si="2"/>
        <v/>
      </c>
    </row>
    <row r="60" spans="1:9">
      <c r="A60">
        <v>57</v>
      </c>
      <c r="B60" s="46">
        <v>45257</v>
      </c>
      <c r="C60" s="166">
        <v>116.94519380879588</v>
      </c>
      <c r="D60" s="166">
        <v>80.938788836501317</v>
      </c>
      <c r="E60" s="166">
        <f t="shared" si="1"/>
        <v>80.938788836501317</v>
      </c>
      <c r="F60" s="188" t="str">
        <f t="shared" si="0"/>
        <v/>
      </c>
      <c r="H60" t="str">
        <f t="shared" si="3"/>
        <v/>
      </c>
      <c r="I60" s="188" t="str">
        <f t="shared" si="2"/>
        <v/>
      </c>
    </row>
    <row r="61" spans="1:9">
      <c r="A61">
        <v>58</v>
      </c>
      <c r="B61" s="46">
        <v>45258</v>
      </c>
      <c r="C61" s="166">
        <v>112.09005923679774</v>
      </c>
      <c r="D61" s="166">
        <v>80.938788836501317</v>
      </c>
      <c r="E61" s="166">
        <f t="shared" si="1"/>
        <v>80.938788836501317</v>
      </c>
      <c r="F61" s="188" t="str">
        <f t="shared" si="0"/>
        <v/>
      </c>
      <c r="H61" t="str">
        <f t="shared" si="3"/>
        <v/>
      </c>
      <c r="I61" s="188" t="str">
        <f t="shared" si="2"/>
        <v/>
      </c>
    </row>
    <row r="62" spans="1:9">
      <c r="A62">
        <v>59</v>
      </c>
      <c r="B62" s="46">
        <v>45259</v>
      </c>
      <c r="C62" s="166">
        <v>138.81680317065374</v>
      </c>
      <c r="D62" s="166">
        <v>80.938788836501317</v>
      </c>
      <c r="E62" s="166">
        <f t="shared" si="1"/>
        <v>80.938788836501317</v>
      </c>
      <c r="F62" s="188" t="str">
        <f t="shared" si="0"/>
        <v/>
      </c>
      <c r="H62" t="str">
        <f t="shared" si="3"/>
        <v/>
      </c>
      <c r="I62" s="188" t="str">
        <f t="shared" si="2"/>
        <v/>
      </c>
    </row>
    <row r="63" spans="1:9">
      <c r="A63">
        <v>60</v>
      </c>
      <c r="B63" s="46">
        <v>45260</v>
      </c>
      <c r="C63" s="166">
        <v>161.78593439865745</v>
      </c>
      <c r="D63" s="166">
        <v>80.938788836501317</v>
      </c>
      <c r="E63" s="166">
        <f t="shared" si="1"/>
        <v>80.938788836501317</v>
      </c>
      <c r="F63" s="188" t="str">
        <f t="shared" si="0"/>
        <v/>
      </c>
      <c r="H63" t="str">
        <f t="shared" si="3"/>
        <v/>
      </c>
      <c r="I63" s="188" t="str">
        <f t="shared" si="2"/>
        <v/>
      </c>
    </row>
    <row r="64" spans="1:9">
      <c r="A64">
        <v>61</v>
      </c>
      <c r="B64" s="46">
        <v>45261</v>
      </c>
      <c r="C64" s="166">
        <v>161.11846028265373</v>
      </c>
      <c r="D64" s="166">
        <v>105.77564059458246</v>
      </c>
      <c r="E64" s="166">
        <f t="shared" si="1"/>
        <v>105.77564059458246</v>
      </c>
      <c r="F64" s="188" t="str">
        <f t="shared" si="0"/>
        <v/>
      </c>
      <c r="H64" t="str">
        <f t="shared" si="3"/>
        <v/>
      </c>
      <c r="I64" s="188" t="str">
        <f t="shared" si="2"/>
        <v/>
      </c>
    </row>
    <row r="65" spans="1:9">
      <c r="A65">
        <v>62</v>
      </c>
      <c r="B65" s="46">
        <v>45262</v>
      </c>
      <c r="C65" s="166">
        <v>157.50765632665559</v>
      </c>
      <c r="D65" s="166">
        <v>105.77564059458246</v>
      </c>
      <c r="E65" s="166">
        <f t="shared" si="1"/>
        <v>105.77564059458246</v>
      </c>
      <c r="F65" s="188" t="str">
        <f t="shared" si="0"/>
        <v/>
      </c>
      <c r="H65" t="str">
        <f t="shared" si="3"/>
        <v/>
      </c>
      <c r="I65" s="188" t="str">
        <f t="shared" si="2"/>
        <v/>
      </c>
    </row>
    <row r="66" spans="1:9">
      <c r="A66">
        <v>63</v>
      </c>
      <c r="B66" s="46">
        <v>45263</v>
      </c>
      <c r="C66" s="166">
        <v>164.27959961465373</v>
      </c>
      <c r="D66" s="166">
        <v>105.77564059458246</v>
      </c>
      <c r="E66" s="166">
        <f t="shared" si="1"/>
        <v>105.77564059458246</v>
      </c>
      <c r="F66" s="188" t="str">
        <f t="shared" si="0"/>
        <v/>
      </c>
      <c r="H66" t="str">
        <f t="shared" si="3"/>
        <v/>
      </c>
      <c r="I66" s="188" t="str">
        <f t="shared" si="2"/>
        <v/>
      </c>
    </row>
    <row r="67" spans="1:9">
      <c r="A67">
        <v>64</v>
      </c>
      <c r="B67" s="46">
        <v>45264</v>
      </c>
      <c r="C67" s="166">
        <v>172.60810895065745</v>
      </c>
      <c r="D67" s="166">
        <v>105.77564059458246</v>
      </c>
      <c r="E67" s="166">
        <f t="shared" si="1"/>
        <v>105.77564059458246</v>
      </c>
      <c r="F67" s="188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8" t="str">
        <f t="shared" si="2"/>
        <v/>
      </c>
    </row>
    <row r="68" spans="1:9">
      <c r="A68">
        <v>65</v>
      </c>
      <c r="B68" s="46">
        <v>45265</v>
      </c>
      <c r="C68" s="166">
        <v>201.47537958265372</v>
      </c>
      <c r="D68" s="166">
        <v>105.77564059458246</v>
      </c>
      <c r="E68" s="166">
        <f t="shared" ref="E68:E131" si="8">IF(C68&lt;D68,C68,D68)</f>
        <v>105.77564059458246</v>
      </c>
      <c r="F68" s="188" t="str">
        <f t="shared" si="7"/>
        <v/>
      </c>
      <c r="H68" t="str">
        <f t="shared" si="3"/>
        <v/>
      </c>
      <c r="I68" s="188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45266</v>
      </c>
      <c r="C69" s="166">
        <v>204.49060813522718</v>
      </c>
      <c r="D69" s="166">
        <v>105.77564059458246</v>
      </c>
      <c r="E69" s="166">
        <f t="shared" si="8"/>
        <v>105.77564059458246</v>
      </c>
      <c r="F69" s="188" t="str">
        <f t="shared" si="7"/>
        <v/>
      </c>
      <c r="H69" t="str">
        <f t="shared" ref="H69:H132" si="10">IF(MONTH(B69)=1,IF(DAY(B69)=1,YEAR(B69),""),"")</f>
        <v/>
      </c>
      <c r="I69" s="188" t="str">
        <f t="shared" si="9"/>
        <v/>
      </c>
    </row>
    <row r="70" spans="1:9">
      <c r="A70">
        <v>67</v>
      </c>
      <c r="B70" s="46">
        <v>45267</v>
      </c>
      <c r="C70" s="166">
        <v>176.03838892322719</v>
      </c>
      <c r="D70" s="166">
        <v>105.77564059458246</v>
      </c>
      <c r="E70" s="166">
        <f t="shared" si="8"/>
        <v>105.77564059458246</v>
      </c>
      <c r="F70" s="188" t="str">
        <f t="shared" si="7"/>
        <v/>
      </c>
      <c r="H70" t="str">
        <f t="shared" si="10"/>
        <v/>
      </c>
      <c r="I70" s="188" t="str">
        <f t="shared" si="9"/>
        <v/>
      </c>
    </row>
    <row r="71" spans="1:9">
      <c r="A71">
        <v>68</v>
      </c>
      <c r="B71" s="46">
        <v>45268</v>
      </c>
      <c r="C71" s="166">
        <v>131.1346977272253</v>
      </c>
      <c r="D71" s="166">
        <v>105.77564059458246</v>
      </c>
      <c r="E71" s="166">
        <f t="shared" si="8"/>
        <v>105.77564059458246</v>
      </c>
      <c r="F71" s="188" t="str">
        <f t="shared" si="7"/>
        <v/>
      </c>
      <c r="H71" t="str">
        <f t="shared" si="10"/>
        <v/>
      </c>
      <c r="I71" s="188" t="str">
        <f t="shared" si="9"/>
        <v/>
      </c>
    </row>
    <row r="72" spans="1:9">
      <c r="A72">
        <v>69</v>
      </c>
      <c r="B72" s="46">
        <v>45269</v>
      </c>
      <c r="C72" s="166">
        <v>134.04051455122718</v>
      </c>
      <c r="D72" s="166">
        <v>105.77564059458246</v>
      </c>
      <c r="E72" s="166">
        <f t="shared" si="8"/>
        <v>105.77564059458246</v>
      </c>
      <c r="F72" s="188" t="str">
        <f t="shared" si="7"/>
        <v/>
      </c>
      <c r="H72" t="str">
        <f t="shared" si="10"/>
        <v/>
      </c>
      <c r="I72" s="188" t="str">
        <f t="shared" si="9"/>
        <v/>
      </c>
    </row>
    <row r="73" spans="1:9">
      <c r="A73">
        <v>70</v>
      </c>
      <c r="B73" s="46">
        <v>45270</v>
      </c>
      <c r="C73" s="166">
        <v>140.68438737922534</v>
      </c>
      <c r="D73" s="166">
        <v>105.77564059458246</v>
      </c>
      <c r="E73" s="166">
        <f t="shared" si="8"/>
        <v>105.77564059458246</v>
      </c>
      <c r="F73" s="188" t="str">
        <f t="shared" si="7"/>
        <v/>
      </c>
      <c r="H73" t="str">
        <f t="shared" si="10"/>
        <v/>
      </c>
      <c r="I73" s="188" t="str">
        <f t="shared" si="9"/>
        <v/>
      </c>
    </row>
    <row r="74" spans="1:9">
      <c r="A74">
        <v>71</v>
      </c>
      <c r="B74" s="46">
        <v>45271</v>
      </c>
      <c r="C74" s="166">
        <v>161.31594569722719</v>
      </c>
      <c r="D74" s="166">
        <v>105.77564059458246</v>
      </c>
      <c r="E74" s="166">
        <f t="shared" si="8"/>
        <v>105.77564059458246</v>
      </c>
      <c r="F74" s="188" t="str">
        <f t="shared" si="7"/>
        <v/>
      </c>
      <c r="H74" t="str">
        <f t="shared" si="10"/>
        <v/>
      </c>
      <c r="I74" s="188" t="str">
        <f t="shared" si="9"/>
        <v/>
      </c>
    </row>
    <row r="75" spans="1:9">
      <c r="A75">
        <v>72</v>
      </c>
      <c r="B75" s="46">
        <v>45272</v>
      </c>
      <c r="C75" s="166">
        <v>173.59638009122719</v>
      </c>
      <c r="D75" s="166">
        <v>105.77564059458246</v>
      </c>
      <c r="E75" s="166">
        <f t="shared" si="8"/>
        <v>105.77564059458246</v>
      </c>
      <c r="F75" s="188" t="str">
        <f t="shared" si="7"/>
        <v/>
      </c>
      <c r="H75" t="str">
        <f t="shared" si="10"/>
        <v/>
      </c>
      <c r="I75" s="188" t="str">
        <f t="shared" si="9"/>
        <v/>
      </c>
    </row>
    <row r="76" spans="1:9">
      <c r="A76">
        <v>73</v>
      </c>
      <c r="B76" s="46">
        <v>45273</v>
      </c>
      <c r="C76" s="166">
        <v>144.47361120657493</v>
      </c>
      <c r="D76" s="166">
        <v>105.77564059458246</v>
      </c>
      <c r="E76" s="166">
        <f t="shared" si="8"/>
        <v>105.77564059458246</v>
      </c>
      <c r="F76" s="188" t="str">
        <f t="shared" si="7"/>
        <v/>
      </c>
      <c r="H76" t="str">
        <f t="shared" si="10"/>
        <v/>
      </c>
      <c r="I76" s="188" t="str">
        <f t="shared" si="9"/>
        <v/>
      </c>
    </row>
    <row r="77" spans="1:9">
      <c r="A77">
        <v>74</v>
      </c>
      <c r="B77" s="46">
        <v>45274</v>
      </c>
      <c r="C77" s="166">
        <v>142.99797357457305</v>
      </c>
      <c r="D77" s="166">
        <v>105.77564059458246</v>
      </c>
      <c r="E77" s="166">
        <f t="shared" si="8"/>
        <v>105.77564059458246</v>
      </c>
      <c r="F77" s="188" t="str">
        <f t="shared" si="7"/>
        <v/>
      </c>
      <c r="H77" t="str">
        <f t="shared" si="10"/>
        <v/>
      </c>
      <c r="I77" s="188" t="str">
        <f t="shared" si="9"/>
        <v/>
      </c>
    </row>
    <row r="78" spans="1:9">
      <c r="A78">
        <v>75</v>
      </c>
      <c r="B78" s="46">
        <v>45275</v>
      </c>
      <c r="C78" s="166">
        <v>155.57880703057305</v>
      </c>
      <c r="D78" s="166">
        <v>105.77564059458246</v>
      </c>
      <c r="E78" s="166">
        <f t="shared" si="8"/>
        <v>105.77564059458246</v>
      </c>
      <c r="F78" s="188" t="str">
        <f t="shared" si="7"/>
        <v>D</v>
      </c>
      <c r="G78" s="189">
        <f>IF(DAY(B78)=15,D78,"")</f>
        <v>105.77564059458246</v>
      </c>
      <c r="H78" t="str">
        <f t="shared" si="10"/>
        <v/>
      </c>
      <c r="I78" s="188" t="str">
        <f t="shared" si="9"/>
        <v>D</v>
      </c>
    </row>
    <row r="79" spans="1:9">
      <c r="A79">
        <v>76</v>
      </c>
      <c r="B79" s="46">
        <v>45276</v>
      </c>
      <c r="C79" s="166">
        <v>156.43636204257305</v>
      </c>
      <c r="D79" s="166">
        <v>105.77564059458246</v>
      </c>
      <c r="E79" s="166">
        <f t="shared" si="8"/>
        <v>105.77564059458246</v>
      </c>
      <c r="F79" s="188" t="str">
        <f t="shared" si="7"/>
        <v/>
      </c>
      <c r="H79" t="str">
        <f t="shared" si="10"/>
        <v/>
      </c>
      <c r="I79" s="188" t="str">
        <f t="shared" si="9"/>
        <v/>
      </c>
    </row>
    <row r="80" spans="1:9">
      <c r="A80">
        <v>77</v>
      </c>
      <c r="B80" s="46">
        <v>45277</v>
      </c>
      <c r="C80" s="166">
        <v>163.83536717457494</v>
      </c>
      <c r="D80" s="166">
        <v>105.77564059458246</v>
      </c>
      <c r="E80" s="166">
        <f t="shared" si="8"/>
        <v>105.77564059458246</v>
      </c>
      <c r="F80" s="188" t="str">
        <f t="shared" si="7"/>
        <v/>
      </c>
      <c r="H80" t="str">
        <f t="shared" si="10"/>
        <v/>
      </c>
      <c r="I80" s="188" t="str">
        <f t="shared" si="9"/>
        <v/>
      </c>
    </row>
    <row r="81" spans="1:9">
      <c r="A81">
        <v>78</v>
      </c>
      <c r="B81" s="46">
        <v>45278</v>
      </c>
      <c r="C81" s="166">
        <v>189.10055625057305</v>
      </c>
      <c r="D81" s="166">
        <v>105.77564059458246</v>
      </c>
      <c r="E81" s="166">
        <f t="shared" si="8"/>
        <v>105.77564059458246</v>
      </c>
      <c r="F81" s="188" t="str">
        <f t="shared" si="7"/>
        <v/>
      </c>
      <c r="H81" t="str">
        <f t="shared" si="10"/>
        <v/>
      </c>
      <c r="I81" s="188" t="str">
        <f t="shared" si="9"/>
        <v/>
      </c>
    </row>
    <row r="82" spans="1:9">
      <c r="A82">
        <v>79</v>
      </c>
      <c r="B82" s="46">
        <v>45279</v>
      </c>
      <c r="C82" s="166">
        <v>184.65076205057304</v>
      </c>
      <c r="D82" s="166">
        <v>105.77564059458246</v>
      </c>
      <c r="E82" s="166">
        <f t="shared" si="8"/>
        <v>105.77564059458246</v>
      </c>
      <c r="F82" s="188" t="str">
        <f t="shared" si="7"/>
        <v/>
      </c>
      <c r="H82" t="str">
        <f t="shared" si="10"/>
        <v/>
      </c>
      <c r="I82" s="188" t="str">
        <f t="shared" si="9"/>
        <v/>
      </c>
    </row>
    <row r="83" spans="1:9">
      <c r="A83">
        <v>80</v>
      </c>
      <c r="B83" s="46">
        <v>45280</v>
      </c>
      <c r="C83" s="166">
        <v>91.702290069493571</v>
      </c>
      <c r="D83" s="166">
        <v>105.77564059458246</v>
      </c>
      <c r="E83" s="166">
        <f t="shared" si="8"/>
        <v>91.702290069493571</v>
      </c>
      <c r="F83" s="188" t="str">
        <f t="shared" si="7"/>
        <v/>
      </c>
      <c r="H83" t="str">
        <f t="shared" si="10"/>
        <v/>
      </c>
      <c r="I83" s="188" t="str">
        <f t="shared" si="9"/>
        <v/>
      </c>
    </row>
    <row r="84" spans="1:9">
      <c r="A84">
        <v>81</v>
      </c>
      <c r="B84" s="46">
        <v>45281</v>
      </c>
      <c r="C84" s="166">
        <v>96.763374213493563</v>
      </c>
      <c r="D84" s="166">
        <v>105.77564059458246</v>
      </c>
      <c r="E84" s="166">
        <f t="shared" si="8"/>
        <v>96.763374213493563</v>
      </c>
      <c r="F84" s="188" t="str">
        <f t="shared" si="7"/>
        <v/>
      </c>
      <c r="H84" t="str">
        <f t="shared" si="10"/>
        <v/>
      </c>
      <c r="I84" s="188" t="str">
        <f t="shared" si="9"/>
        <v/>
      </c>
    </row>
    <row r="85" spans="1:9">
      <c r="A85">
        <v>82</v>
      </c>
      <c r="B85" s="46">
        <v>45282</v>
      </c>
      <c r="C85" s="166">
        <v>85.367497525495438</v>
      </c>
      <c r="D85" s="166">
        <v>105.77564059458246</v>
      </c>
      <c r="E85" s="166">
        <f t="shared" si="8"/>
        <v>85.367497525495438</v>
      </c>
      <c r="F85" s="188" t="str">
        <f t="shared" si="7"/>
        <v/>
      </c>
      <c r="H85" t="str">
        <f t="shared" si="10"/>
        <v/>
      </c>
      <c r="I85" s="188" t="str">
        <f t="shared" si="9"/>
        <v/>
      </c>
    </row>
    <row r="86" spans="1:9">
      <c r="A86">
        <v>83</v>
      </c>
      <c r="B86" s="46">
        <v>45283</v>
      </c>
      <c r="C86" s="166">
        <v>83.527756937491702</v>
      </c>
      <c r="D86" s="166">
        <v>105.77564059458246</v>
      </c>
      <c r="E86" s="166">
        <f t="shared" si="8"/>
        <v>83.527756937491702</v>
      </c>
      <c r="F86" s="188" t="str">
        <f t="shared" si="7"/>
        <v/>
      </c>
      <c r="H86" t="str">
        <f t="shared" si="10"/>
        <v/>
      </c>
      <c r="I86" s="188" t="str">
        <f t="shared" si="9"/>
        <v/>
      </c>
    </row>
    <row r="87" spans="1:9">
      <c r="A87">
        <v>84</v>
      </c>
      <c r="B87" s="46">
        <v>45284</v>
      </c>
      <c r="C87" s="166">
        <v>107.22605843349544</v>
      </c>
      <c r="D87" s="166">
        <v>105.77564059458246</v>
      </c>
      <c r="E87" s="166">
        <f t="shared" si="8"/>
        <v>105.77564059458246</v>
      </c>
      <c r="F87" s="188" t="str">
        <f t="shared" si="7"/>
        <v/>
      </c>
      <c r="H87" t="str">
        <f t="shared" si="10"/>
        <v/>
      </c>
      <c r="I87" s="188" t="str">
        <f t="shared" si="9"/>
        <v/>
      </c>
    </row>
    <row r="88" spans="1:9">
      <c r="A88">
        <v>85</v>
      </c>
      <c r="B88" s="46">
        <v>45285</v>
      </c>
      <c r="C88" s="166">
        <v>88.17712642549543</v>
      </c>
      <c r="D88" s="166">
        <v>105.77564059458246</v>
      </c>
      <c r="E88" s="166">
        <f t="shared" si="8"/>
        <v>88.17712642549543</v>
      </c>
      <c r="F88" s="188" t="str">
        <f t="shared" si="7"/>
        <v/>
      </c>
      <c r="H88" t="str">
        <f t="shared" si="10"/>
        <v/>
      </c>
      <c r="I88" s="188" t="str">
        <f t="shared" si="9"/>
        <v/>
      </c>
    </row>
    <row r="89" spans="1:9">
      <c r="A89">
        <v>86</v>
      </c>
      <c r="B89" s="46">
        <v>45286</v>
      </c>
      <c r="C89" s="166">
        <v>122.90049378949357</v>
      </c>
      <c r="D89" s="166">
        <v>105.77564059458246</v>
      </c>
      <c r="E89" s="166">
        <f t="shared" si="8"/>
        <v>105.77564059458246</v>
      </c>
      <c r="F89" s="188" t="str">
        <f t="shared" si="7"/>
        <v/>
      </c>
      <c r="H89" t="str">
        <f t="shared" si="10"/>
        <v/>
      </c>
      <c r="I89" s="188" t="str">
        <f t="shared" si="9"/>
        <v/>
      </c>
    </row>
    <row r="90" spans="1:9">
      <c r="A90">
        <v>87</v>
      </c>
      <c r="B90" s="46">
        <v>45287</v>
      </c>
      <c r="C90" s="166">
        <v>132.85878955014627</v>
      </c>
      <c r="D90" s="166">
        <v>105.77564059458246</v>
      </c>
      <c r="E90" s="166">
        <f t="shared" si="8"/>
        <v>105.77564059458246</v>
      </c>
      <c r="F90" s="188" t="str">
        <f t="shared" si="7"/>
        <v/>
      </c>
      <c r="H90" t="str">
        <f t="shared" si="10"/>
        <v/>
      </c>
      <c r="I90" s="188" t="str">
        <f t="shared" si="9"/>
        <v/>
      </c>
    </row>
    <row r="91" spans="1:9">
      <c r="A91">
        <v>88</v>
      </c>
      <c r="B91" s="46">
        <v>45288</v>
      </c>
      <c r="C91" s="166">
        <v>128.13222722614813</v>
      </c>
      <c r="D91" s="166">
        <v>105.77564059458246</v>
      </c>
      <c r="E91" s="166">
        <f t="shared" si="8"/>
        <v>105.77564059458246</v>
      </c>
      <c r="F91" s="188" t="str">
        <f t="shared" si="7"/>
        <v/>
      </c>
      <c r="H91" t="str">
        <f t="shared" si="10"/>
        <v/>
      </c>
      <c r="I91" s="188" t="str">
        <f t="shared" si="9"/>
        <v/>
      </c>
    </row>
    <row r="92" spans="1:9">
      <c r="A92">
        <v>89</v>
      </c>
      <c r="B92" s="46">
        <v>45289</v>
      </c>
      <c r="C92" s="166">
        <v>139.02115590614628</v>
      </c>
      <c r="D92" s="166">
        <v>105.77564059458246</v>
      </c>
      <c r="E92" s="166">
        <f t="shared" si="8"/>
        <v>105.77564059458246</v>
      </c>
      <c r="F92" s="188" t="str">
        <f t="shared" si="7"/>
        <v/>
      </c>
      <c r="H92" t="str">
        <f t="shared" si="10"/>
        <v/>
      </c>
      <c r="I92" s="188" t="str">
        <f t="shared" si="9"/>
        <v/>
      </c>
    </row>
    <row r="93" spans="1:9">
      <c r="A93">
        <v>90</v>
      </c>
      <c r="B93" s="46">
        <v>45290</v>
      </c>
      <c r="C93" s="166">
        <v>82.876341482146259</v>
      </c>
      <c r="D93" s="166">
        <v>105.77564059458246</v>
      </c>
      <c r="E93" s="166">
        <f t="shared" si="8"/>
        <v>82.876341482146259</v>
      </c>
      <c r="F93" s="188" t="str">
        <f t="shared" si="7"/>
        <v/>
      </c>
      <c r="H93" t="str">
        <f t="shared" si="10"/>
        <v/>
      </c>
      <c r="I93" s="188" t="str">
        <f t="shared" si="9"/>
        <v/>
      </c>
    </row>
    <row r="94" spans="1:9">
      <c r="A94">
        <v>91</v>
      </c>
      <c r="B94" s="46">
        <v>45291</v>
      </c>
      <c r="C94" s="166">
        <v>60.706967374148121</v>
      </c>
      <c r="D94" s="166">
        <v>105.77564059458246</v>
      </c>
      <c r="E94" s="166">
        <f t="shared" si="8"/>
        <v>60.706967374148121</v>
      </c>
      <c r="F94" s="188" t="str">
        <f t="shared" si="7"/>
        <v/>
      </c>
      <c r="H94" t="str">
        <f t="shared" si="10"/>
        <v/>
      </c>
      <c r="I94" s="188" t="str">
        <f t="shared" si="9"/>
        <v/>
      </c>
    </row>
    <row r="95" spans="1:9">
      <c r="A95">
        <v>92</v>
      </c>
      <c r="B95" s="46">
        <v>45292</v>
      </c>
      <c r="C95" s="166">
        <v>46.317331766148129</v>
      </c>
      <c r="D95" s="166">
        <v>117.80762382080276</v>
      </c>
      <c r="E95" s="166">
        <f t="shared" si="8"/>
        <v>46.317331766148129</v>
      </c>
      <c r="F95" s="188" t="str">
        <f t="shared" si="7"/>
        <v/>
      </c>
      <c r="H95">
        <f t="shared" si="10"/>
        <v>2024</v>
      </c>
      <c r="I95" s="188" t="str">
        <f t="shared" si="9"/>
        <v/>
      </c>
    </row>
    <row r="96" spans="1:9">
      <c r="A96">
        <v>93</v>
      </c>
      <c r="B96" s="46">
        <v>45293</v>
      </c>
      <c r="C96" s="166">
        <v>55.940354536146259</v>
      </c>
      <c r="D96" s="166">
        <v>117.80762382080276</v>
      </c>
      <c r="E96" s="166">
        <f t="shared" si="8"/>
        <v>55.940354536146259</v>
      </c>
      <c r="F96" s="188" t="str">
        <f t="shared" si="7"/>
        <v/>
      </c>
      <c r="H96" t="str">
        <f t="shared" si="10"/>
        <v/>
      </c>
      <c r="I96" s="188" t="str">
        <f t="shared" si="9"/>
        <v/>
      </c>
    </row>
    <row r="97" spans="1:9">
      <c r="A97">
        <v>94</v>
      </c>
      <c r="B97" s="46">
        <v>45294</v>
      </c>
      <c r="C97" s="166">
        <v>96.347034938338027</v>
      </c>
      <c r="D97" s="166">
        <v>117.80762382080276</v>
      </c>
      <c r="E97" s="166">
        <f t="shared" si="8"/>
        <v>96.347034938338027</v>
      </c>
      <c r="F97" s="188" t="str">
        <f t="shared" si="7"/>
        <v/>
      </c>
      <c r="H97" t="str">
        <f t="shared" si="10"/>
        <v/>
      </c>
      <c r="I97" s="188" t="str">
        <f t="shared" si="9"/>
        <v/>
      </c>
    </row>
    <row r="98" spans="1:9">
      <c r="A98">
        <v>95</v>
      </c>
      <c r="B98" s="46">
        <v>45295</v>
      </c>
      <c r="C98" s="166">
        <v>142.08962147033802</v>
      </c>
      <c r="D98" s="166">
        <v>117.80762382080276</v>
      </c>
      <c r="E98" s="166">
        <f t="shared" si="8"/>
        <v>117.80762382080276</v>
      </c>
      <c r="F98" s="188" t="str">
        <f t="shared" si="7"/>
        <v/>
      </c>
      <c r="H98" t="str">
        <f t="shared" si="10"/>
        <v/>
      </c>
      <c r="I98" s="188" t="str">
        <f t="shared" si="9"/>
        <v/>
      </c>
    </row>
    <row r="99" spans="1:9">
      <c r="A99">
        <v>96</v>
      </c>
      <c r="B99" s="46">
        <v>45296</v>
      </c>
      <c r="C99" s="166">
        <v>85.95209914233989</v>
      </c>
      <c r="D99" s="166">
        <v>117.80762382080276</v>
      </c>
      <c r="E99" s="166">
        <f t="shared" si="8"/>
        <v>85.95209914233989</v>
      </c>
      <c r="F99" s="188" t="str">
        <f t="shared" si="7"/>
        <v/>
      </c>
      <c r="H99" t="str">
        <f t="shared" si="10"/>
        <v/>
      </c>
      <c r="I99" s="188" t="str">
        <f t="shared" si="9"/>
        <v/>
      </c>
    </row>
    <row r="100" spans="1:9">
      <c r="A100">
        <v>97</v>
      </c>
      <c r="B100" s="46">
        <v>45297</v>
      </c>
      <c r="C100" s="166">
        <v>80.384418654339882</v>
      </c>
      <c r="D100" s="166">
        <v>117.80762382080276</v>
      </c>
      <c r="E100" s="166">
        <f t="shared" si="8"/>
        <v>80.384418654339882</v>
      </c>
      <c r="F100" s="188" t="str">
        <f t="shared" si="7"/>
        <v/>
      </c>
      <c r="H100" t="str">
        <f t="shared" si="10"/>
        <v/>
      </c>
      <c r="I100" s="188" t="str">
        <f t="shared" si="9"/>
        <v/>
      </c>
    </row>
    <row r="101" spans="1:9">
      <c r="A101">
        <v>98</v>
      </c>
      <c r="B101" s="46">
        <v>45298</v>
      </c>
      <c r="C101" s="166">
        <v>91.604318702336172</v>
      </c>
      <c r="D101" s="166">
        <v>117.80762382080276</v>
      </c>
      <c r="E101" s="166">
        <f t="shared" si="8"/>
        <v>91.604318702336172</v>
      </c>
      <c r="F101" s="188" t="str">
        <f t="shared" si="7"/>
        <v/>
      </c>
      <c r="H101" t="str">
        <f t="shared" si="10"/>
        <v/>
      </c>
      <c r="I101" s="188" t="str">
        <f t="shared" si="9"/>
        <v/>
      </c>
    </row>
    <row r="102" spans="1:9">
      <c r="A102">
        <v>99</v>
      </c>
      <c r="B102" s="46">
        <v>45299</v>
      </c>
      <c r="C102" s="166">
        <v>147.70257932633987</v>
      </c>
      <c r="D102" s="166">
        <v>117.80762382080276</v>
      </c>
      <c r="E102" s="166">
        <f t="shared" si="8"/>
        <v>117.80762382080276</v>
      </c>
      <c r="F102" s="188" t="str">
        <f t="shared" si="7"/>
        <v/>
      </c>
      <c r="H102" t="str">
        <f t="shared" si="10"/>
        <v/>
      </c>
      <c r="I102" s="188" t="str">
        <f t="shared" si="9"/>
        <v/>
      </c>
    </row>
    <row r="103" spans="1:9">
      <c r="A103">
        <v>100</v>
      </c>
      <c r="B103" s="46">
        <v>45300</v>
      </c>
      <c r="C103" s="166">
        <v>174.70871064133988</v>
      </c>
      <c r="D103" s="166">
        <v>117.80762382080276</v>
      </c>
      <c r="E103" s="166">
        <f t="shared" si="8"/>
        <v>117.80762382080276</v>
      </c>
      <c r="F103" s="188" t="str">
        <f t="shared" si="7"/>
        <v/>
      </c>
      <c r="H103" t="str">
        <f t="shared" si="10"/>
        <v/>
      </c>
      <c r="I103" s="188" t="str">
        <f t="shared" si="9"/>
        <v/>
      </c>
    </row>
    <row r="104" spans="1:9">
      <c r="A104">
        <v>101</v>
      </c>
      <c r="B104" s="46">
        <v>45301</v>
      </c>
      <c r="C104" s="166">
        <v>128.66585141382532</v>
      </c>
      <c r="D104" s="166">
        <v>117.80762382080276</v>
      </c>
      <c r="E104" s="166">
        <f t="shared" si="8"/>
        <v>117.80762382080276</v>
      </c>
      <c r="F104" s="188" t="str">
        <f t="shared" si="7"/>
        <v/>
      </c>
      <c r="H104" t="str">
        <f t="shared" si="10"/>
        <v/>
      </c>
      <c r="I104" s="188" t="str">
        <f t="shared" si="9"/>
        <v/>
      </c>
    </row>
    <row r="105" spans="1:9">
      <c r="A105">
        <v>102</v>
      </c>
      <c r="B105" s="46">
        <v>45302</v>
      </c>
      <c r="C105" s="166">
        <v>122.48400734982721</v>
      </c>
      <c r="D105" s="166">
        <v>117.80762382080276</v>
      </c>
      <c r="E105" s="166">
        <f t="shared" si="8"/>
        <v>117.80762382080276</v>
      </c>
      <c r="F105" s="188" t="str">
        <f t="shared" si="7"/>
        <v/>
      </c>
      <c r="H105" t="str">
        <f t="shared" si="10"/>
        <v/>
      </c>
      <c r="I105" s="188" t="str">
        <f t="shared" si="9"/>
        <v/>
      </c>
    </row>
    <row r="106" spans="1:9">
      <c r="A106">
        <v>103</v>
      </c>
      <c r="B106" s="46">
        <v>45303</v>
      </c>
      <c r="C106" s="166">
        <v>90.921518729827213</v>
      </c>
      <c r="D106" s="166">
        <v>117.80762382080276</v>
      </c>
      <c r="E106" s="166">
        <f t="shared" si="8"/>
        <v>90.921518729827213</v>
      </c>
      <c r="F106" s="188" t="str">
        <f t="shared" si="7"/>
        <v/>
      </c>
      <c r="H106" t="str">
        <f t="shared" si="10"/>
        <v/>
      </c>
      <c r="I106" s="188" t="str">
        <f t="shared" si="9"/>
        <v/>
      </c>
    </row>
    <row r="107" spans="1:9">
      <c r="A107">
        <v>104</v>
      </c>
      <c r="B107" s="46">
        <v>45304</v>
      </c>
      <c r="C107" s="166">
        <v>101.59093457382534</v>
      </c>
      <c r="D107" s="166">
        <v>117.80762382080276</v>
      </c>
      <c r="E107" s="166">
        <f t="shared" si="8"/>
        <v>101.59093457382534</v>
      </c>
      <c r="F107" s="188" t="str">
        <f t="shared" si="7"/>
        <v/>
      </c>
      <c r="H107" t="str">
        <f t="shared" si="10"/>
        <v/>
      </c>
      <c r="I107" s="188" t="str">
        <f t="shared" si="9"/>
        <v/>
      </c>
    </row>
    <row r="108" spans="1:9">
      <c r="A108">
        <v>105</v>
      </c>
      <c r="B108" s="46">
        <v>45305</v>
      </c>
      <c r="C108" s="166">
        <v>73.273675441827208</v>
      </c>
      <c r="D108" s="166">
        <v>117.80762382080276</v>
      </c>
      <c r="E108" s="166">
        <f t="shared" si="8"/>
        <v>73.273675441827208</v>
      </c>
      <c r="F108" s="188" t="str">
        <f t="shared" si="7"/>
        <v/>
      </c>
      <c r="H108" t="str">
        <f t="shared" si="10"/>
        <v/>
      </c>
      <c r="I108" s="188" t="str">
        <f t="shared" si="9"/>
        <v/>
      </c>
    </row>
    <row r="109" spans="1:9">
      <c r="A109">
        <v>106</v>
      </c>
      <c r="B109" s="46">
        <v>45306</v>
      </c>
      <c r="C109" s="166">
        <v>101.80176113382535</v>
      </c>
      <c r="D109" s="166">
        <v>117.80762382080276</v>
      </c>
      <c r="E109" s="166">
        <f t="shared" si="8"/>
        <v>101.80176113382535</v>
      </c>
      <c r="F109" s="188" t="str">
        <f t="shared" si="7"/>
        <v>E</v>
      </c>
      <c r="G109" s="189">
        <f>IF(DAY(B109)=15,D109,"")</f>
        <v>117.80762382080276</v>
      </c>
      <c r="H109" t="str">
        <f t="shared" si="10"/>
        <v/>
      </c>
      <c r="I109" s="188" t="str">
        <f t="shared" si="9"/>
        <v>E</v>
      </c>
    </row>
    <row r="110" spans="1:9">
      <c r="A110">
        <v>107</v>
      </c>
      <c r="B110" s="46">
        <v>45307</v>
      </c>
      <c r="C110" s="166">
        <v>76.844781177829063</v>
      </c>
      <c r="D110" s="166">
        <v>117.80762382080276</v>
      </c>
      <c r="E110" s="166">
        <f t="shared" si="8"/>
        <v>76.844781177829063</v>
      </c>
      <c r="F110" s="188" t="str">
        <f t="shared" si="7"/>
        <v/>
      </c>
      <c r="H110" t="str">
        <f t="shared" si="10"/>
        <v/>
      </c>
      <c r="I110" s="188" t="str">
        <f t="shared" si="9"/>
        <v/>
      </c>
    </row>
    <row r="111" spans="1:9">
      <c r="A111">
        <v>108</v>
      </c>
      <c r="B111" s="46">
        <v>45308</v>
      </c>
      <c r="C111" s="166">
        <v>291.9973854933985</v>
      </c>
      <c r="D111" s="166">
        <v>117.80762382080276</v>
      </c>
      <c r="E111" s="166">
        <f t="shared" si="8"/>
        <v>117.80762382080276</v>
      </c>
      <c r="F111" s="188" t="str">
        <f t="shared" si="7"/>
        <v/>
      </c>
      <c r="H111" t="str">
        <f t="shared" si="10"/>
        <v/>
      </c>
      <c r="I111" s="188" t="str">
        <f t="shared" si="9"/>
        <v/>
      </c>
    </row>
    <row r="112" spans="1:9">
      <c r="A112">
        <v>109</v>
      </c>
      <c r="B112" s="46">
        <v>45309</v>
      </c>
      <c r="C112" s="166">
        <v>306.61460094139846</v>
      </c>
      <c r="D112" s="166">
        <v>117.80762382080276</v>
      </c>
      <c r="E112" s="166">
        <f t="shared" si="8"/>
        <v>117.80762382080276</v>
      </c>
      <c r="F112" s="188" t="str">
        <f t="shared" si="7"/>
        <v/>
      </c>
      <c r="H112" t="str">
        <f t="shared" si="10"/>
        <v/>
      </c>
      <c r="I112" s="188" t="str">
        <f t="shared" si="9"/>
        <v/>
      </c>
    </row>
    <row r="113" spans="1:9">
      <c r="A113">
        <v>110</v>
      </c>
      <c r="B113" s="46">
        <v>45310</v>
      </c>
      <c r="C113" s="166">
        <v>324.74468462540034</v>
      </c>
      <c r="D113" s="166">
        <v>117.80762382080276</v>
      </c>
      <c r="E113" s="166">
        <f t="shared" si="8"/>
        <v>117.80762382080276</v>
      </c>
      <c r="F113" s="188" t="str">
        <f t="shared" si="7"/>
        <v/>
      </c>
      <c r="H113" t="str">
        <f t="shared" si="10"/>
        <v/>
      </c>
      <c r="I113" s="188" t="str">
        <f t="shared" si="9"/>
        <v/>
      </c>
    </row>
    <row r="114" spans="1:9">
      <c r="A114">
        <v>111</v>
      </c>
      <c r="B114" s="46">
        <v>45311</v>
      </c>
      <c r="C114" s="166">
        <v>325.35613808940036</v>
      </c>
      <c r="D114" s="166">
        <v>117.80762382080276</v>
      </c>
      <c r="E114" s="166">
        <f t="shared" si="8"/>
        <v>117.80762382080276</v>
      </c>
      <c r="F114" s="188" t="str">
        <f t="shared" si="7"/>
        <v/>
      </c>
      <c r="H114" t="str">
        <f t="shared" si="10"/>
        <v/>
      </c>
      <c r="I114" s="188" t="str">
        <f t="shared" si="9"/>
        <v/>
      </c>
    </row>
    <row r="115" spans="1:9">
      <c r="A115">
        <v>112</v>
      </c>
      <c r="B115" s="46">
        <v>45312</v>
      </c>
      <c r="C115" s="166">
        <v>326.47416605340038</v>
      </c>
      <c r="D115" s="166">
        <v>117.80762382080276</v>
      </c>
      <c r="E115" s="166">
        <f t="shared" si="8"/>
        <v>117.80762382080276</v>
      </c>
      <c r="F115" s="188" t="str">
        <f t="shared" si="7"/>
        <v/>
      </c>
      <c r="H115" t="str">
        <f t="shared" si="10"/>
        <v/>
      </c>
      <c r="I115" s="188" t="str">
        <f t="shared" si="9"/>
        <v/>
      </c>
    </row>
    <row r="116" spans="1:9">
      <c r="A116">
        <v>113</v>
      </c>
      <c r="B116" s="46">
        <v>45313</v>
      </c>
      <c r="C116" s="166">
        <v>330.81129340239846</v>
      </c>
      <c r="D116" s="166">
        <v>117.80762382080276</v>
      </c>
      <c r="E116" s="166">
        <f t="shared" si="8"/>
        <v>117.80762382080276</v>
      </c>
      <c r="F116" s="188" t="str">
        <f t="shared" si="7"/>
        <v/>
      </c>
      <c r="H116" t="str">
        <f t="shared" si="10"/>
        <v/>
      </c>
      <c r="I116" s="188" t="str">
        <f t="shared" si="9"/>
        <v/>
      </c>
    </row>
    <row r="117" spans="1:9">
      <c r="A117">
        <v>114</v>
      </c>
      <c r="B117" s="46">
        <v>45314</v>
      </c>
      <c r="C117" s="166">
        <v>336.56841545240036</v>
      </c>
      <c r="D117" s="166">
        <v>117.80762382080276</v>
      </c>
      <c r="E117" s="166">
        <f t="shared" si="8"/>
        <v>117.80762382080276</v>
      </c>
      <c r="F117" s="188" t="str">
        <f t="shared" si="7"/>
        <v/>
      </c>
      <c r="H117" t="str">
        <f t="shared" si="10"/>
        <v/>
      </c>
      <c r="I117" s="188" t="str">
        <f t="shared" si="9"/>
        <v/>
      </c>
    </row>
    <row r="118" spans="1:9">
      <c r="A118">
        <v>115</v>
      </c>
      <c r="B118" s="46">
        <v>45315</v>
      </c>
      <c r="C118" s="166">
        <v>174.25858186489705</v>
      </c>
      <c r="D118" s="166">
        <v>117.80762382080276</v>
      </c>
      <c r="E118" s="166">
        <f t="shared" si="8"/>
        <v>117.80762382080276</v>
      </c>
      <c r="F118" s="188" t="str">
        <f t="shared" si="7"/>
        <v/>
      </c>
      <c r="H118" t="str">
        <f t="shared" si="10"/>
        <v/>
      </c>
      <c r="I118" s="188" t="str">
        <f t="shared" si="9"/>
        <v/>
      </c>
    </row>
    <row r="119" spans="1:9">
      <c r="A119">
        <v>116</v>
      </c>
      <c r="B119" s="46">
        <v>45316</v>
      </c>
      <c r="C119" s="166">
        <v>189.73486431289888</v>
      </c>
      <c r="D119" s="166">
        <v>117.80762382080276</v>
      </c>
      <c r="E119" s="166">
        <f t="shared" si="8"/>
        <v>117.80762382080276</v>
      </c>
      <c r="F119" s="188" t="str">
        <f t="shared" si="7"/>
        <v/>
      </c>
      <c r="H119" t="str">
        <f t="shared" si="10"/>
        <v/>
      </c>
      <c r="I119" s="188" t="str">
        <f t="shared" si="9"/>
        <v/>
      </c>
    </row>
    <row r="120" spans="1:9">
      <c r="A120">
        <v>117</v>
      </c>
      <c r="B120" s="46">
        <v>45317</v>
      </c>
      <c r="C120" s="166">
        <v>199.20515662889332</v>
      </c>
      <c r="D120" s="166">
        <v>117.80762382080276</v>
      </c>
      <c r="E120" s="166">
        <f t="shared" si="8"/>
        <v>117.80762382080276</v>
      </c>
      <c r="F120" s="188" t="str">
        <f t="shared" si="7"/>
        <v/>
      </c>
      <c r="H120" t="str">
        <f t="shared" si="10"/>
        <v/>
      </c>
      <c r="I120" s="188" t="str">
        <f t="shared" si="9"/>
        <v/>
      </c>
    </row>
    <row r="121" spans="1:9">
      <c r="A121">
        <v>118</v>
      </c>
      <c r="B121" s="46">
        <v>45318</v>
      </c>
      <c r="C121" s="166">
        <v>156.98031956089889</v>
      </c>
      <c r="D121" s="166">
        <v>117.80762382080276</v>
      </c>
      <c r="E121" s="166">
        <f t="shared" si="8"/>
        <v>117.80762382080276</v>
      </c>
      <c r="F121" s="188" t="str">
        <f t="shared" si="7"/>
        <v/>
      </c>
      <c r="H121" t="str">
        <f t="shared" si="10"/>
        <v/>
      </c>
      <c r="I121" s="188" t="str">
        <f t="shared" si="9"/>
        <v/>
      </c>
    </row>
    <row r="122" spans="1:9">
      <c r="A122">
        <v>119</v>
      </c>
      <c r="B122" s="46">
        <v>45319</v>
      </c>
      <c r="C122" s="166">
        <v>144.3194687128989</v>
      </c>
      <c r="D122" s="166">
        <v>117.80762382080276</v>
      </c>
      <c r="E122" s="166">
        <f t="shared" si="8"/>
        <v>117.80762382080276</v>
      </c>
      <c r="F122" s="188" t="str">
        <f t="shared" si="7"/>
        <v/>
      </c>
      <c r="H122" t="str">
        <f t="shared" si="10"/>
        <v/>
      </c>
      <c r="I122" s="188" t="str">
        <f t="shared" si="9"/>
        <v/>
      </c>
    </row>
    <row r="123" spans="1:9">
      <c r="A123">
        <v>120</v>
      </c>
      <c r="B123" s="46">
        <v>45320</v>
      </c>
      <c r="C123" s="166">
        <v>168.74329450889704</v>
      </c>
      <c r="D123" s="166">
        <v>117.80762382080276</v>
      </c>
      <c r="E123" s="166">
        <f t="shared" si="8"/>
        <v>117.80762382080276</v>
      </c>
      <c r="F123" s="188" t="str">
        <f t="shared" si="7"/>
        <v/>
      </c>
      <c r="H123" t="str">
        <f t="shared" si="10"/>
        <v/>
      </c>
      <c r="I123" s="188" t="str">
        <f t="shared" si="9"/>
        <v/>
      </c>
    </row>
    <row r="124" spans="1:9">
      <c r="A124">
        <v>121</v>
      </c>
      <c r="B124" s="46">
        <v>45321</v>
      </c>
      <c r="C124" s="166">
        <v>193.72112196889518</v>
      </c>
      <c r="D124" s="166">
        <v>117.80762382080276</v>
      </c>
      <c r="E124" s="166">
        <f t="shared" si="8"/>
        <v>117.80762382080276</v>
      </c>
      <c r="F124" s="188" t="str">
        <f t="shared" si="7"/>
        <v/>
      </c>
      <c r="H124" t="str">
        <f t="shared" si="10"/>
        <v/>
      </c>
      <c r="I124" s="188" t="str">
        <f t="shared" si="9"/>
        <v/>
      </c>
    </row>
    <row r="125" spans="1:9">
      <c r="A125">
        <v>122</v>
      </c>
      <c r="B125" s="46">
        <v>45322</v>
      </c>
      <c r="C125" s="166">
        <v>127.45307729313772</v>
      </c>
      <c r="D125" s="166">
        <v>117.80762382080276</v>
      </c>
      <c r="E125" s="166">
        <f t="shared" si="8"/>
        <v>117.80762382080276</v>
      </c>
      <c r="F125" s="188" t="str">
        <f t="shared" si="7"/>
        <v/>
      </c>
      <c r="H125" t="str">
        <f t="shared" si="10"/>
        <v/>
      </c>
      <c r="I125" s="188" t="str">
        <f t="shared" si="9"/>
        <v/>
      </c>
    </row>
    <row r="126" spans="1:9">
      <c r="A126">
        <v>123</v>
      </c>
      <c r="B126" s="46">
        <v>45323</v>
      </c>
      <c r="C126" s="166">
        <v>115.24412592513586</v>
      </c>
      <c r="D126" s="166">
        <v>123.31777659525035</v>
      </c>
      <c r="E126" s="166">
        <f t="shared" si="8"/>
        <v>115.24412592513586</v>
      </c>
      <c r="F126" s="188" t="str">
        <f t="shared" si="7"/>
        <v/>
      </c>
      <c r="H126" t="str">
        <f t="shared" si="10"/>
        <v/>
      </c>
      <c r="I126" s="188" t="str">
        <f t="shared" si="9"/>
        <v/>
      </c>
    </row>
    <row r="127" spans="1:9">
      <c r="A127">
        <v>124</v>
      </c>
      <c r="B127" s="46">
        <v>45324</v>
      </c>
      <c r="C127" s="166">
        <v>88.351072877137739</v>
      </c>
      <c r="D127" s="166">
        <v>123.31777659525035</v>
      </c>
      <c r="E127" s="166">
        <f t="shared" si="8"/>
        <v>88.351072877137739</v>
      </c>
      <c r="F127" s="188" t="str">
        <f t="shared" si="7"/>
        <v/>
      </c>
      <c r="H127" t="str">
        <f t="shared" si="10"/>
        <v/>
      </c>
      <c r="I127" s="188" t="str">
        <f t="shared" si="9"/>
        <v/>
      </c>
    </row>
    <row r="128" spans="1:9">
      <c r="A128">
        <v>125</v>
      </c>
      <c r="B128" s="46">
        <v>45325</v>
      </c>
      <c r="C128" s="166">
        <v>70.321336005135862</v>
      </c>
      <c r="D128" s="166">
        <v>123.31777659525035</v>
      </c>
      <c r="E128" s="166">
        <f t="shared" si="8"/>
        <v>70.321336005135862</v>
      </c>
      <c r="F128" s="188" t="str">
        <f t="shared" si="7"/>
        <v/>
      </c>
      <c r="H128" t="str">
        <f t="shared" si="10"/>
        <v/>
      </c>
      <c r="I128" s="188" t="str">
        <f t="shared" si="9"/>
        <v/>
      </c>
    </row>
    <row r="129" spans="1:9">
      <c r="A129">
        <v>126</v>
      </c>
      <c r="B129" s="46">
        <v>45326</v>
      </c>
      <c r="C129" s="166">
        <v>56.144467513139595</v>
      </c>
      <c r="D129" s="166">
        <v>123.31777659525035</v>
      </c>
      <c r="E129" s="166">
        <f t="shared" si="8"/>
        <v>56.144467513139595</v>
      </c>
      <c r="F129" s="188" t="str">
        <f t="shared" si="7"/>
        <v/>
      </c>
      <c r="H129" t="str">
        <f t="shared" si="10"/>
        <v/>
      </c>
      <c r="I129" s="188" t="str">
        <f t="shared" si="9"/>
        <v/>
      </c>
    </row>
    <row r="130" spans="1:9">
      <c r="A130">
        <v>127</v>
      </c>
      <c r="B130" s="46">
        <v>45327</v>
      </c>
      <c r="C130" s="166">
        <v>107.72370077713774</v>
      </c>
      <c r="D130" s="166">
        <v>123.31777659525035</v>
      </c>
      <c r="E130" s="166">
        <f t="shared" si="8"/>
        <v>107.72370077713774</v>
      </c>
      <c r="F130" s="188" t="str">
        <f t="shared" si="7"/>
        <v/>
      </c>
      <c r="H130" t="str">
        <f t="shared" si="10"/>
        <v/>
      </c>
      <c r="I130" s="188" t="str">
        <f t="shared" si="9"/>
        <v/>
      </c>
    </row>
    <row r="131" spans="1:9">
      <c r="A131">
        <v>128</v>
      </c>
      <c r="B131" s="46">
        <v>45328</v>
      </c>
      <c r="C131" s="166">
        <v>102.96022487713586</v>
      </c>
      <c r="D131" s="166">
        <v>123.31777659525035</v>
      </c>
      <c r="E131" s="166">
        <f t="shared" si="8"/>
        <v>102.96022487713586</v>
      </c>
      <c r="F131" s="188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8" t="str">
        <f t="shared" si="9"/>
        <v/>
      </c>
    </row>
    <row r="132" spans="1:9">
      <c r="A132">
        <v>129</v>
      </c>
      <c r="B132" s="46">
        <v>45329</v>
      </c>
      <c r="C132" s="166">
        <v>125.23253068134586</v>
      </c>
      <c r="D132" s="166">
        <v>123.31777659525035</v>
      </c>
      <c r="E132" s="166">
        <f t="shared" ref="E132:E195" si="12">IF(C132&lt;D132,C132,D132)</f>
        <v>123.31777659525035</v>
      </c>
      <c r="F132" s="188" t="str">
        <f t="shared" si="11"/>
        <v/>
      </c>
      <c r="H132" t="str">
        <f t="shared" si="10"/>
        <v/>
      </c>
      <c r="I132" s="188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45330</v>
      </c>
      <c r="C133" s="166">
        <v>121.74336943334959</v>
      </c>
      <c r="D133" s="166">
        <v>123.31777659525035</v>
      </c>
      <c r="E133" s="166">
        <f t="shared" si="12"/>
        <v>121.74336943334959</v>
      </c>
      <c r="F133" s="188" t="str">
        <f t="shared" si="11"/>
        <v/>
      </c>
      <c r="H133" t="str">
        <f t="shared" ref="H133:H196" si="14">IF(MONTH(B133)=1,IF(DAY(B133)=1,YEAR(B133),""),"")</f>
        <v/>
      </c>
      <c r="I133" s="188" t="str">
        <f t="shared" si="13"/>
        <v/>
      </c>
    </row>
    <row r="134" spans="1:9">
      <c r="A134">
        <v>131</v>
      </c>
      <c r="B134" s="46">
        <v>45331</v>
      </c>
      <c r="C134" s="166">
        <v>122.85423017734398</v>
      </c>
      <c r="D134" s="166">
        <v>123.31777659525035</v>
      </c>
      <c r="E134" s="166">
        <f t="shared" si="12"/>
        <v>122.85423017734398</v>
      </c>
      <c r="F134" s="188" t="str">
        <f t="shared" si="11"/>
        <v/>
      </c>
      <c r="H134" t="str">
        <f t="shared" si="14"/>
        <v/>
      </c>
      <c r="I134" s="188" t="str">
        <f t="shared" si="13"/>
        <v/>
      </c>
    </row>
    <row r="135" spans="1:9">
      <c r="A135">
        <v>132</v>
      </c>
      <c r="B135" s="46">
        <v>45332</v>
      </c>
      <c r="C135" s="166">
        <v>82.009763521347722</v>
      </c>
      <c r="D135" s="166">
        <v>123.31777659525035</v>
      </c>
      <c r="E135" s="166">
        <f t="shared" si="12"/>
        <v>82.009763521347722</v>
      </c>
      <c r="F135" s="188" t="str">
        <f t="shared" si="11"/>
        <v/>
      </c>
      <c r="H135" t="str">
        <f t="shared" si="14"/>
        <v/>
      </c>
      <c r="I135" s="188" t="str">
        <f t="shared" si="13"/>
        <v/>
      </c>
    </row>
    <row r="136" spans="1:9">
      <c r="A136">
        <v>133</v>
      </c>
      <c r="B136" s="46">
        <v>45333</v>
      </c>
      <c r="C136" s="166">
        <v>92.096768257349581</v>
      </c>
      <c r="D136" s="166">
        <v>123.31777659525035</v>
      </c>
      <c r="E136" s="166">
        <f t="shared" si="12"/>
        <v>92.096768257349581</v>
      </c>
      <c r="F136" s="188" t="str">
        <f t="shared" si="11"/>
        <v/>
      </c>
      <c r="H136" t="str">
        <f t="shared" si="14"/>
        <v/>
      </c>
      <c r="I136" s="188" t="str">
        <f t="shared" si="13"/>
        <v/>
      </c>
    </row>
    <row r="137" spans="1:9">
      <c r="A137">
        <v>134</v>
      </c>
      <c r="B137" s="46">
        <v>45334</v>
      </c>
      <c r="C137" s="166">
        <v>104.74626892534584</v>
      </c>
      <c r="D137" s="166">
        <v>123.31777659525035</v>
      </c>
      <c r="E137" s="166">
        <f t="shared" si="12"/>
        <v>104.74626892534584</v>
      </c>
      <c r="F137" s="188" t="str">
        <f t="shared" si="11"/>
        <v/>
      </c>
      <c r="H137" t="str">
        <f t="shared" si="14"/>
        <v/>
      </c>
      <c r="I137" s="188" t="str">
        <f t="shared" si="13"/>
        <v/>
      </c>
    </row>
    <row r="138" spans="1:9">
      <c r="A138">
        <v>135</v>
      </c>
      <c r="B138" s="46">
        <v>45335</v>
      </c>
      <c r="C138" s="166">
        <v>155.0008602853477</v>
      </c>
      <c r="D138" s="166">
        <v>123.31777659525035</v>
      </c>
      <c r="E138" s="166">
        <f t="shared" si="12"/>
        <v>123.31777659525035</v>
      </c>
      <c r="F138" s="188" t="str">
        <f t="shared" si="11"/>
        <v/>
      </c>
      <c r="H138" t="str">
        <f t="shared" si="14"/>
        <v/>
      </c>
      <c r="I138" s="188" t="str">
        <f t="shared" si="13"/>
        <v/>
      </c>
    </row>
    <row r="139" spans="1:9">
      <c r="A139">
        <v>136</v>
      </c>
      <c r="B139" s="46">
        <v>45336</v>
      </c>
      <c r="C139" s="166">
        <v>155.40752792467583</v>
      </c>
      <c r="D139" s="166">
        <v>123.31777659525035</v>
      </c>
      <c r="E139" s="166">
        <f t="shared" si="12"/>
        <v>123.31777659525035</v>
      </c>
      <c r="F139" s="188" t="str">
        <f t="shared" si="11"/>
        <v/>
      </c>
      <c r="G139" s="189" t="str">
        <f>IF(DAY(B139)=15,D139,"")</f>
        <v/>
      </c>
      <c r="H139" t="str">
        <f t="shared" si="14"/>
        <v/>
      </c>
      <c r="I139" s="188" t="str">
        <f t="shared" si="13"/>
        <v/>
      </c>
    </row>
    <row r="140" spans="1:9">
      <c r="A140">
        <v>137</v>
      </c>
      <c r="B140" s="46">
        <v>45337</v>
      </c>
      <c r="C140" s="166">
        <v>145.30744173267769</v>
      </c>
      <c r="D140" s="166">
        <v>123.31777659525035</v>
      </c>
      <c r="E140" s="166">
        <f t="shared" si="12"/>
        <v>123.31777659525035</v>
      </c>
      <c r="F140" s="188" t="str">
        <f t="shared" si="11"/>
        <v>F</v>
      </c>
      <c r="H140" t="str">
        <f t="shared" si="14"/>
        <v/>
      </c>
      <c r="I140" s="188" t="str">
        <f t="shared" si="13"/>
        <v>F</v>
      </c>
    </row>
    <row r="141" spans="1:9">
      <c r="A141">
        <v>138</v>
      </c>
      <c r="B141" s="46">
        <v>45338</v>
      </c>
      <c r="C141" s="166">
        <v>133.63674514867583</v>
      </c>
      <c r="D141" s="166">
        <v>123.31777659525035</v>
      </c>
      <c r="E141" s="166">
        <f t="shared" si="12"/>
        <v>123.31777659525035</v>
      </c>
      <c r="F141" s="188" t="str">
        <f t="shared" si="11"/>
        <v/>
      </c>
      <c r="H141" t="str">
        <f t="shared" si="14"/>
        <v/>
      </c>
      <c r="I141" s="188" t="str">
        <f t="shared" si="13"/>
        <v/>
      </c>
    </row>
    <row r="142" spans="1:9">
      <c r="A142">
        <v>139</v>
      </c>
      <c r="B142" s="46">
        <v>45339</v>
      </c>
      <c r="C142" s="166">
        <v>119.15370997267397</v>
      </c>
      <c r="D142" s="166">
        <v>123.31777659525035</v>
      </c>
      <c r="E142" s="166">
        <f t="shared" si="12"/>
        <v>119.15370997267397</v>
      </c>
      <c r="F142" s="188" t="str">
        <f t="shared" si="11"/>
        <v/>
      </c>
      <c r="H142" t="str">
        <f t="shared" si="14"/>
        <v/>
      </c>
      <c r="I142" s="188" t="str">
        <f t="shared" si="13"/>
        <v/>
      </c>
    </row>
    <row r="143" spans="1:9">
      <c r="A143">
        <v>140</v>
      </c>
      <c r="B143" s="46">
        <v>45340</v>
      </c>
      <c r="C143" s="166">
        <v>111.38864493667769</v>
      </c>
      <c r="D143" s="166">
        <v>123.31777659525035</v>
      </c>
      <c r="E143" s="166">
        <f t="shared" si="12"/>
        <v>111.38864493667769</v>
      </c>
      <c r="F143" s="188" t="str">
        <f t="shared" si="11"/>
        <v/>
      </c>
      <c r="H143" t="str">
        <f t="shared" si="14"/>
        <v/>
      </c>
      <c r="I143" s="188" t="str">
        <f t="shared" si="13"/>
        <v/>
      </c>
    </row>
    <row r="144" spans="1:9">
      <c r="A144">
        <v>141</v>
      </c>
      <c r="B144" s="46">
        <v>45341</v>
      </c>
      <c r="C144" s="166">
        <v>103.97121753667584</v>
      </c>
      <c r="D144" s="166">
        <v>123.31777659525035</v>
      </c>
      <c r="E144" s="166">
        <f t="shared" si="12"/>
        <v>103.97121753667584</v>
      </c>
      <c r="F144" s="188" t="str">
        <f t="shared" si="11"/>
        <v/>
      </c>
      <c r="H144" t="str">
        <f t="shared" si="14"/>
        <v/>
      </c>
      <c r="I144" s="188" t="str">
        <f t="shared" si="13"/>
        <v/>
      </c>
    </row>
    <row r="145" spans="1:9">
      <c r="A145">
        <v>142</v>
      </c>
      <c r="B145" s="46">
        <v>45342</v>
      </c>
      <c r="C145" s="166">
        <v>141.12725004467583</v>
      </c>
      <c r="D145" s="166">
        <v>123.31777659525035</v>
      </c>
      <c r="E145" s="166">
        <f t="shared" si="12"/>
        <v>123.31777659525035</v>
      </c>
      <c r="F145" s="188" t="str">
        <f t="shared" si="11"/>
        <v/>
      </c>
      <c r="H145" t="str">
        <f t="shared" si="14"/>
        <v/>
      </c>
      <c r="I145" s="188" t="str">
        <f t="shared" si="13"/>
        <v/>
      </c>
    </row>
    <row r="146" spans="1:9">
      <c r="A146">
        <v>143</v>
      </c>
      <c r="B146" s="46">
        <v>45343</v>
      </c>
      <c r="C146" s="166">
        <v>180.11611496162033</v>
      </c>
      <c r="D146" s="166">
        <v>123.31777659525035</v>
      </c>
      <c r="E146" s="166">
        <f t="shared" si="12"/>
        <v>123.31777659525035</v>
      </c>
      <c r="F146" s="188" t="str">
        <f t="shared" si="11"/>
        <v/>
      </c>
      <c r="H146" t="str">
        <f t="shared" si="14"/>
        <v/>
      </c>
      <c r="I146" s="188" t="str">
        <f t="shared" si="13"/>
        <v/>
      </c>
    </row>
    <row r="147" spans="1:9">
      <c r="A147">
        <v>144</v>
      </c>
      <c r="B147" s="46">
        <v>45344</v>
      </c>
      <c r="C147" s="166">
        <v>124.62648388562218</v>
      </c>
      <c r="D147" s="166">
        <v>123.31777659525035</v>
      </c>
      <c r="E147" s="166">
        <f t="shared" si="12"/>
        <v>123.31777659525035</v>
      </c>
      <c r="F147" s="188" t="str">
        <f t="shared" si="11"/>
        <v/>
      </c>
      <c r="H147" t="str">
        <f t="shared" si="14"/>
        <v/>
      </c>
      <c r="I147" s="188" t="str">
        <f t="shared" si="13"/>
        <v/>
      </c>
    </row>
    <row r="148" spans="1:9">
      <c r="A148">
        <v>145</v>
      </c>
      <c r="B148" s="46">
        <v>45345</v>
      </c>
      <c r="C148" s="166">
        <v>111.29172475362031</v>
      </c>
      <c r="D148" s="166">
        <v>123.31777659525035</v>
      </c>
      <c r="E148" s="166">
        <f t="shared" si="12"/>
        <v>111.29172475362031</v>
      </c>
      <c r="F148" s="188" t="str">
        <f t="shared" si="11"/>
        <v/>
      </c>
      <c r="H148" t="str">
        <f t="shared" si="14"/>
        <v/>
      </c>
      <c r="I148" s="188" t="str">
        <f t="shared" si="13"/>
        <v/>
      </c>
    </row>
    <row r="149" spans="1:9">
      <c r="A149">
        <v>146</v>
      </c>
      <c r="B149" s="46">
        <v>45346</v>
      </c>
      <c r="C149" s="166">
        <v>105.35793837762031</v>
      </c>
      <c r="D149" s="166">
        <v>123.31777659525035</v>
      </c>
      <c r="E149" s="166">
        <f t="shared" si="12"/>
        <v>105.35793837762031</v>
      </c>
      <c r="F149" s="188" t="str">
        <f t="shared" si="11"/>
        <v/>
      </c>
      <c r="H149" t="str">
        <f t="shared" si="14"/>
        <v/>
      </c>
      <c r="I149" s="188" t="str">
        <f t="shared" si="13"/>
        <v/>
      </c>
    </row>
    <row r="150" spans="1:9">
      <c r="A150">
        <v>147</v>
      </c>
      <c r="B150" s="46">
        <v>45347</v>
      </c>
      <c r="C150" s="166">
        <v>103.96632681762031</v>
      </c>
      <c r="D150" s="166">
        <v>123.31777659525035</v>
      </c>
      <c r="E150" s="166">
        <f t="shared" si="12"/>
        <v>103.96632681762031</v>
      </c>
      <c r="F150" s="188" t="str">
        <f t="shared" si="11"/>
        <v/>
      </c>
      <c r="H150" t="str">
        <f t="shared" si="14"/>
        <v/>
      </c>
      <c r="I150" s="188" t="str">
        <f t="shared" si="13"/>
        <v/>
      </c>
    </row>
    <row r="151" spans="1:9">
      <c r="A151">
        <v>148</v>
      </c>
      <c r="B151" s="46">
        <v>45348</v>
      </c>
      <c r="C151" s="166">
        <v>135.15554449762405</v>
      </c>
      <c r="D151" s="166">
        <v>123.31777659525035</v>
      </c>
      <c r="E151" s="166">
        <f t="shared" si="12"/>
        <v>123.31777659525035</v>
      </c>
      <c r="F151" s="188" t="str">
        <f t="shared" si="11"/>
        <v/>
      </c>
      <c r="H151" t="str">
        <f t="shared" si="14"/>
        <v/>
      </c>
      <c r="I151" s="188" t="str">
        <f t="shared" si="13"/>
        <v/>
      </c>
    </row>
    <row r="152" spans="1:9">
      <c r="A152">
        <v>149</v>
      </c>
      <c r="B152" s="46">
        <v>45349</v>
      </c>
      <c r="C152" s="166">
        <v>145.6437247416203</v>
      </c>
      <c r="D152" s="166">
        <v>123.31777659525035</v>
      </c>
      <c r="E152" s="166">
        <f t="shared" si="12"/>
        <v>123.31777659525035</v>
      </c>
      <c r="F152" s="188" t="str">
        <f t="shared" si="11"/>
        <v/>
      </c>
      <c r="H152" t="str">
        <f t="shared" si="14"/>
        <v/>
      </c>
      <c r="I152" s="188" t="str">
        <f t="shared" si="13"/>
        <v/>
      </c>
    </row>
    <row r="153" spans="1:9">
      <c r="A153">
        <v>150</v>
      </c>
      <c r="B153" s="46">
        <v>45350</v>
      </c>
      <c r="C153" s="166">
        <v>204.59404648474109</v>
      </c>
      <c r="D153" s="166">
        <v>123.31777659525035</v>
      </c>
      <c r="E153" s="166">
        <f t="shared" si="12"/>
        <v>123.31777659525035</v>
      </c>
      <c r="F153" s="188" t="str">
        <f t="shared" si="11"/>
        <v/>
      </c>
      <c r="H153" t="str">
        <f t="shared" si="14"/>
        <v/>
      </c>
      <c r="I153" s="188" t="str">
        <f t="shared" si="13"/>
        <v/>
      </c>
    </row>
    <row r="154" spans="1:9">
      <c r="A154">
        <v>151</v>
      </c>
      <c r="B154" s="46">
        <v>45351</v>
      </c>
      <c r="C154" s="166">
        <v>210.08763446474481</v>
      </c>
      <c r="D154" s="166">
        <v>123.31777659525035</v>
      </c>
      <c r="E154" s="166">
        <f t="shared" si="12"/>
        <v>123.31777659525035</v>
      </c>
      <c r="F154" s="188" t="str">
        <f t="shared" si="11"/>
        <v/>
      </c>
      <c r="H154" t="str">
        <f t="shared" si="14"/>
        <v/>
      </c>
      <c r="I154" s="188" t="str">
        <f t="shared" si="13"/>
        <v/>
      </c>
    </row>
    <row r="155" spans="1:9">
      <c r="A155">
        <v>152</v>
      </c>
      <c r="B155" s="46">
        <v>45352</v>
      </c>
      <c r="C155" s="166">
        <v>211.9660497607392</v>
      </c>
      <c r="D155" s="166">
        <v>124.28094877902988</v>
      </c>
      <c r="E155" s="166">
        <f t="shared" si="12"/>
        <v>124.28094877902988</v>
      </c>
      <c r="F155" s="188" t="str">
        <f t="shared" si="11"/>
        <v/>
      </c>
      <c r="H155" t="str">
        <f t="shared" si="14"/>
        <v/>
      </c>
      <c r="I155" s="188" t="str">
        <f t="shared" si="13"/>
        <v/>
      </c>
    </row>
    <row r="156" spans="1:9">
      <c r="A156">
        <v>153</v>
      </c>
      <c r="B156" s="46">
        <v>45353</v>
      </c>
      <c r="C156" s="166">
        <v>211.88002381274293</v>
      </c>
      <c r="D156" s="166">
        <v>124.28094877902988</v>
      </c>
      <c r="E156" s="166">
        <f t="shared" si="12"/>
        <v>124.28094877902988</v>
      </c>
      <c r="F156" s="188" t="str">
        <f t="shared" si="11"/>
        <v/>
      </c>
      <c r="H156" t="str">
        <f t="shared" si="14"/>
        <v/>
      </c>
      <c r="I156" s="188" t="str">
        <f t="shared" si="13"/>
        <v/>
      </c>
    </row>
    <row r="157" spans="1:9">
      <c r="A157">
        <v>154</v>
      </c>
      <c r="B157" s="46">
        <v>45354</v>
      </c>
      <c r="C157" s="166">
        <v>197.66541324074106</v>
      </c>
      <c r="D157" s="166">
        <v>124.28094877902988</v>
      </c>
      <c r="E157" s="166">
        <f t="shared" si="12"/>
        <v>124.28094877902988</v>
      </c>
      <c r="F157" s="188" t="str">
        <f t="shared" si="11"/>
        <v/>
      </c>
      <c r="H157" t="str">
        <f t="shared" si="14"/>
        <v/>
      </c>
      <c r="I157" s="188" t="str">
        <f t="shared" si="13"/>
        <v/>
      </c>
    </row>
    <row r="158" spans="1:9">
      <c r="A158">
        <v>155</v>
      </c>
      <c r="B158" s="46">
        <v>45355</v>
      </c>
      <c r="C158" s="166">
        <v>214.30620139274293</v>
      </c>
      <c r="D158" s="166">
        <v>124.28094877902988</v>
      </c>
      <c r="E158" s="166">
        <f t="shared" si="12"/>
        <v>124.28094877902988</v>
      </c>
      <c r="F158" s="188" t="str">
        <f t="shared" si="11"/>
        <v/>
      </c>
      <c r="H158" t="str">
        <f t="shared" si="14"/>
        <v/>
      </c>
      <c r="I158" s="188" t="str">
        <f t="shared" si="13"/>
        <v/>
      </c>
    </row>
    <row r="159" spans="1:9">
      <c r="A159">
        <v>156</v>
      </c>
      <c r="B159" s="46">
        <v>45356</v>
      </c>
      <c r="C159" s="166">
        <v>238.23071474874106</v>
      </c>
      <c r="D159" s="166">
        <v>124.28094877902988</v>
      </c>
      <c r="E159" s="166">
        <f t="shared" si="12"/>
        <v>124.28094877902988</v>
      </c>
      <c r="F159" s="188" t="str">
        <f t="shared" si="11"/>
        <v/>
      </c>
      <c r="H159" t="str">
        <f t="shared" si="14"/>
        <v/>
      </c>
      <c r="I159" s="188" t="str">
        <f t="shared" si="13"/>
        <v/>
      </c>
    </row>
    <row r="160" spans="1:9">
      <c r="A160">
        <v>157</v>
      </c>
      <c r="B160" s="46">
        <v>45357</v>
      </c>
      <c r="C160" s="166">
        <v>234.32867166482279</v>
      </c>
      <c r="D160" s="166">
        <v>124.28094877902988</v>
      </c>
      <c r="E160" s="166">
        <f t="shared" si="12"/>
        <v>124.28094877902988</v>
      </c>
      <c r="F160" s="188" t="str">
        <f t="shared" si="11"/>
        <v/>
      </c>
      <c r="H160" t="str">
        <f t="shared" si="14"/>
        <v/>
      </c>
      <c r="I160" s="188" t="str">
        <f t="shared" si="13"/>
        <v/>
      </c>
    </row>
    <row r="161" spans="1:9">
      <c r="A161">
        <v>158</v>
      </c>
      <c r="B161" s="46">
        <v>45358</v>
      </c>
      <c r="C161" s="166">
        <v>215.8372478448228</v>
      </c>
      <c r="D161" s="166">
        <v>124.28094877902988</v>
      </c>
      <c r="E161" s="166">
        <f t="shared" si="12"/>
        <v>124.28094877902988</v>
      </c>
      <c r="F161" s="188" t="str">
        <f t="shared" si="11"/>
        <v/>
      </c>
      <c r="H161" t="str">
        <f t="shared" si="14"/>
        <v/>
      </c>
      <c r="I161" s="188" t="str">
        <f t="shared" si="13"/>
        <v/>
      </c>
    </row>
    <row r="162" spans="1:9">
      <c r="A162">
        <v>159</v>
      </c>
      <c r="B162" s="46">
        <v>45359</v>
      </c>
      <c r="C162" s="166">
        <v>221.93362245282464</v>
      </c>
      <c r="D162" s="166">
        <v>124.28094877902988</v>
      </c>
      <c r="E162" s="166">
        <f t="shared" si="12"/>
        <v>124.28094877902988</v>
      </c>
      <c r="F162" s="188" t="str">
        <f t="shared" si="11"/>
        <v/>
      </c>
      <c r="H162" t="str">
        <f t="shared" si="14"/>
        <v/>
      </c>
      <c r="I162" s="188" t="str">
        <f t="shared" si="13"/>
        <v/>
      </c>
    </row>
    <row r="163" spans="1:9">
      <c r="A163">
        <v>160</v>
      </c>
      <c r="B163" s="46">
        <v>45360</v>
      </c>
      <c r="C163" s="166">
        <v>218.76776825682276</v>
      </c>
      <c r="D163" s="166">
        <v>124.28094877902988</v>
      </c>
      <c r="E163" s="166">
        <f t="shared" si="12"/>
        <v>124.28094877902988</v>
      </c>
      <c r="F163" s="188" t="str">
        <f t="shared" si="11"/>
        <v/>
      </c>
      <c r="H163" t="str">
        <f t="shared" si="14"/>
        <v/>
      </c>
      <c r="I163" s="188" t="str">
        <f t="shared" si="13"/>
        <v/>
      </c>
    </row>
    <row r="164" spans="1:9">
      <c r="A164">
        <v>161</v>
      </c>
      <c r="B164" s="46">
        <v>45361</v>
      </c>
      <c r="C164" s="166">
        <v>202.10173770882093</v>
      </c>
      <c r="D164" s="166">
        <v>124.28094877902988</v>
      </c>
      <c r="E164" s="166">
        <f t="shared" si="12"/>
        <v>124.28094877902988</v>
      </c>
      <c r="F164" s="188" t="str">
        <f t="shared" si="11"/>
        <v/>
      </c>
      <c r="H164" t="str">
        <f t="shared" si="14"/>
        <v/>
      </c>
      <c r="I164" s="188" t="str">
        <f t="shared" si="13"/>
        <v/>
      </c>
    </row>
    <row r="165" spans="1:9">
      <c r="A165">
        <v>162</v>
      </c>
      <c r="B165" s="46">
        <v>45362</v>
      </c>
      <c r="C165" s="166">
        <v>221.20131164882466</v>
      </c>
      <c r="D165" s="166">
        <v>124.28094877902988</v>
      </c>
      <c r="E165" s="166">
        <f t="shared" si="12"/>
        <v>124.28094877902988</v>
      </c>
      <c r="F165" s="188" t="str">
        <f t="shared" si="11"/>
        <v/>
      </c>
      <c r="H165" t="str">
        <f t="shared" si="14"/>
        <v/>
      </c>
      <c r="I165" s="188" t="str">
        <f t="shared" si="13"/>
        <v/>
      </c>
    </row>
    <row r="166" spans="1:9">
      <c r="A166">
        <v>163</v>
      </c>
      <c r="B166" s="46">
        <v>45363</v>
      </c>
      <c r="C166" s="166">
        <v>234.67890028482466</v>
      </c>
      <c r="D166" s="166">
        <v>124.28094877902988</v>
      </c>
      <c r="E166" s="166">
        <f t="shared" si="12"/>
        <v>124.28094877902988</v>
      </c>
      <c r="F166" s="188" t="str">
        <f t="shared" si="11"/>
        <v/>
      </c>
      <c r="H166" t="str">
        <f t="shared" si="14"/>
        <v/>
      </c>
      <c r="I166" s="188" t="str">
        <f t="shared" si="13"/>
        <v/>
      </c>
    </row>
    <row r="167" spans="1:9">
      <c r="A167">
        <v>164</v>
      </c>
      <c r="B167" s="46">
        <v>45364</v>
      </c>
      <c r="C167" s="166">
        <v>211.53238243101572</v>
      </c>
      <c r="D167" s="166">
        <v>124.28094877902988</v>
      </c>
      <c r="E167" s="166">
        <f t="shared" si="12"/>
        <v>124.28094877902988</v>
      </c>
      <c r="F167" s="188" t="str">
        <f t="shared" si="11"/>
        <v/>
      </c>
      <c r="H167" t="str">
        <f t="shared" si="14"/>
        <v/>
      </c>
      <c r="I167" s="188" t="str">
        <f t="shared" si="13"/>
        <v/>
      </c>
    </row>
    <row r="168" spans="1:9">
      <c r="A168">
        <v>165</v>
      </c>
      <c r="B168" s="46">
        <v>45365</v>
      </c>
      <c r="C168" s="166">
        <v>216.07462333901569</v>
      </c>
      <c r="D168" s="166">
        <v>124.28094877902988</v>
      </c>
      <c r="E168" s="166">
        <f t="shared" si="12"/>
        <v>124.28094877902988</v>
      </c>
      <c r="F168" s="188" t="str">
        <f t="shared" si="11"/>
        <v/>
      </c>
      <c r="H168" t="str">
        <f t="shared" si="14"/>
        <v/>
      </c>
      <c r="I168" s="188" t="str">
        <f t="shared" si="13"/>
        <v/>
      </c>
    </row>
    <row r="169" spans="1:9">
      <c r="A169">
        <v>166</v>
      </c>
      <c r="B169" s="46">
        <v>45366</v>
      </c>
      <c r="C169" s="166">
        <v>223.02256256701943</v>
      </c>
      <c r="D169" s="166">
        <v>124.28094877902988</v>
      </c>
      <c r="E169" s="166">
        <f t="shared" si="12"/>
        <v>124.28094877902988</v>
      </c>
      <c r="F169" s="188" t="str">
        <f t="shared" si="11"/>
        <v>M</v>
      </c>
      <c r="H169" t="str">
        <f t="shared" si="14"/>
        <v/>
      </c>
      <c r="I169" s="188" t="str">
        <f t="shared" si="13"/>
        <v>M</v>
      </c>
    </row>
    <row r="170" spans="1:9">
      <c r="A170">
        <v>167</v>
      </c>
      <c r="B170" s="46">
        <v>45367</v>
      </c>
      <c r="C170" s="166">
        <v>206.91598158701569</v>
      </c>
      <c r="D170" s="166">
        <v>124.28094877902988</v>
      </c>
      <c r="E170" s="166">
        <f t="shared" si="12"/>
        <v>124.28094877902988</v>
      </c>
      <c r="F170" s="188" t="str">
        <f t="shared" si="11"/>
        <v/>
      </c>
      <c r="G170" s="189" t="str">
        <f>IF(DAY(B170)=15,D170,"")</f>
        <v/>
      </c>
      <c r="H170" t="str">
        <f t="shared" si="14"/>
        <v/>
      </c>
      <c r="I170" s="188" t="str">
        <f t="shared" si="13"/>
        <v/>
      </c>
    </row>
    <row r="171" spans="1:9">
      <c r="A171">
        <v>168</v>
      </c>
      <c r="B171" s="46">
        <v>45368</v>
      </c>
      <c r="C171" s="166">
        <v>208.01399140701571</v>
      </c>
      <c r="D171" s="166">
        <v>124.28094877902988</v>
      </c>
      <c r="E171" s="166">
        <f t="shared" si="12"/>
        <v>124.28094877902988</v>
      </c>
      <c r="F171" s="188" t="str">
        <f t="shared" si="11"/>
        <v/>
      </c>
      <c r="H171" t="str">
        <f t="shared" si="14"/>
        <v/>
      </c>
      <c r="I171" s="188" t="str">
        <f t="shared" si="13"/>
        <v/>
      </c>
    </row>
    <row r="172" spans="1:9">
      <c r="A172">
        <v>169</v>
      </c>
      <c r="B172" s="46">
        <v>45369</v>
      </c>
      <c r="C172" s="166">
        <v>227.33454118701758</v>
      </c>
      <c r="D172" s="166">
        <v>124.28094877902988</v>
      </c>
      <c r="E172" s="166">
        <f t="shared" si="12"/>
        <v>124.28094877902988</v>
      </c>
      <c r="F172" s="188" t="str">
        <f t="shared" si="11"/>
        <v/>
      </c>
      <c r="H172" t="str">
        <f t="shared" si="14"/>
        <v/>
      </c>
      <c r="I172" s="188" t="str">
        <f t="shared" si="13"/>
        <v/>
      </c>
    </row>
    <row r="173" spans="1:9">
      <c r="A173">
        <v>170</v>
      </c>
      <c r="B173" s="46">
        <v>45370</v>
      </c>
      <c r="C173" s="166">
        <v>233.93777666701945</v>
      </c>
      <c r="D173" s="166">
        <v>124.28094877902988</v>
      </c>
      <c r="E173" s="166">
        <f t="shared" si="12"/>
        <v>124.28094877902988</v>
      </c>
      <c r="F173" s="188" t="str">
        <f t="shared" si="11"/>
        <v/>
      </c>
      <c r="H173" t="str">
        <f t="shared" si="14"/>
        <v/>
      </c>
      <c r="I173" s="188" t="str">
        <f t="shared" si="13"/>
        <v/>
      </c>
    </row>
    <row r="174" spans="1:9">
      <c r="A174">
        <v>171</v>
      </c>
      <c r="B174" s="46">
        <v>45371</v>
      </c>
      <c r="C174" s="166">
        <v>197.96447342418341</v>
      </c>
      <c r="D174" s="166">
        <v>124.28094877902988</v>
      </c>
      <c r="E174" s="166">
        <f t="shared" si="12"/>
        <v>124.28094877902988</v>
      </c>
      <c r="F174" s="188" t="str">
        <f t="shared" si="11"/>
        <v/>
      </c>
      <c r="H174" t="str">
        <f t="shared" si="14"/>
        <v/>
      </c>
      <c r="I174" s="188" t="str">
        <f t="shared" si="13"/>
        <v/>
      </c>
    </row>
    <row r="175" spans="1:9">
      <c r="A175">
        <v>172</v>
      </c>
      <c r="B175" s="46">
        <v>45372</v>
      </c>
      <c r="C175" s="166">
        <v>176.85543021218712</v>
      </c>
      <c r="D175" s="166">
        <v>124.28094877902988</v>
      </c>
      <c r="E175" s="166">
        <f t="shared" si="12"/>
        <v>124.28094877902988</v>
      </c>
      <c r="F175" s="188" t="str">
        <f t="shared" si="11"/>
        <v/>
      </c>
      <c r="H175" t="str">
        <f t="shared" si="14"/>
        <v/>
      </c>
      <c r="I175" s="188" t="str">
        <f t="shared" si="13"/>
        <v/>
      </c>
    </row>
    <row r="176" spans="1:9">
      <c r="A176">
        <v>173</v>
      </c>
      <c r="B176" s="46">
        <v>45373</v>
      </c>
      <c r="C176" s="166">
        <v>184.05906138818526</v>
      </c>
      <c r="D176" s="166">
        <v>124.28094877902988</v>
      </c>
      <c r="E176" s="166">
        <f t="shared" si="12"/>
        <v>124.28094877902988</v>
      </c>
      <c r="F176" s="188" t="str">
        <f t="shared" si="11"/>
        <v/>
      </c>
      <c r="H176" t="str">
        <f t="shared" si="14"/>
        <v/>
      </c>
      <c r="I176" s="188" t="str">
        <f t="shared" si="13"/>
        <v/>
      </c>
    </row>
    <row r="177" spans="1:9">
      <c r="A177">
        <v>174</v>
      </c>
      <c r="B177" s="46">
        <v>45374</v>
      </c>
      <c r="C177" s="166">
        <v>144.84861818018339</v>
      </c>
      <c r="D177" s="166">
        <v>124.28094877902988</v>
      </c>
      <c r="E177" s="166">
        <f t="shared" si="12"/>
        <v>124.28094877902988</v>
      </c>
      <c r="F177" s="188" t="str">
        <f t="shared" si="11"/>
        <v/>
      </c>
      <c r="H177" t="str">
        <f t="shared" si="14"/>
        <v/>
      </c>
      <c r="I177" s="188" t="str">
        <f t="shared" si="13"/>
        <v/>
      </c>
    </row>
    <row r="178" spans="1:9">
      <c r="A178">
        <v>175</v>
      </c>
      <c r="B178" s="46">
        <v>45375</v>
      </c>
      <c r="C178" s="166">
        <v>136.00949461218897</v>
      </c>
      <c r="D178" s="166">
        <v>124.28094877902988</v>
      </c>
      <c r="E178" s="166">
        <f t="shared" si="12"/>
        <v>124.28094877902988</v>
      </c>
      <c r="F178" s="188" t="str">
        <f t="shared" si="11"/>
        <v/>
      </c>
      <c r="H178" t="str">
        <f t="shared" si="14"/>
        <v/>
      </c>
      <c r="I178" s="188" t="str">
        <f t="shared" si="13"/>
        <v/>
      </c>
    </row>
    <row r="179" spans="1:9">
      <c r="A179">
        <v>176</v>
      </c>
      <c r="B179" s="46">
        <v>45376</v>
      </c>
      <c r="C179" s="166">
        <v>188.86417784818713</v>
      </c>
      <c r="D179" s="166">
        <v>124.28094877902988</v>
      </c>
      <c r="E179" s="166">
        <f t="shared" si="12"/>
        <v>124.28094877902988</v>
      </c>
      <c r="F179" s="188" t="str">
        <f t="shared" si="11"/>
        <v/>
      </c>
      <c r="H179" t="str">
        <f t="shared" si="14"/>
        <v/>
      </c>
      <c r="I179" s="188" t="str">
        <f t="shared" si="13"/>
        <v/>
      </c>
    </row>
    <row r="180" spans="1:9">
      <c r="A180">
        <v>177</v>
      </c>
      <c r="B180" s="46">
        <v>45377</v>
      </c>
      <c r="C180" s="166">
        <v>178.12515757218523</v>
      </c>
      <c r="D180" s="166">
        <v>124.28094877902988</v>
      </c>
      <c r="E180" s="166">
        <f t="shared" si="12"/>
        <v>124.28094877902988</v>
      </c>
      <c r="F180" s="188" t="str">
        <f t="shared" si="11"/>
        <v/>
      </c>
      <c r="H180" t="str">
        <f t="shared" si="14"/>
        <v/>
      </c>
      <c r="I180" s="188" t="str">
        <f t="shared" si="13"/>
        <v/>
      </c>
    </row>
    <row r="181" spans="1:9">
      <c r="A181">
        <v>178</v>
      </c>
      <c r="B181" s="46">
        <v>45378</v>
      </c>
      <c r="C181" s="166">
        <v>224.35234708788724</v>
      </c>
      <c r="D181" s="166">
        <v>124.28094877902988</v>
      </c>
      <c r="E181" s="166">
        <f t="shared" si="12"/>
        <v>124.28094877902988</v>
      </c>
      <c r="F181" s="188" t="str">
        <f t="shared" si="11"/>
        <v/>
      </c>
      <c r="H181" t="str">
        <f t="shared" si="14"/>
        <v/>
      </c>
      <c r="I181" s="188" t="str">
        <f t="shared" si="13"/>
        <v/>
      </c>
    </row>
    <row r="182" spans="1:9">
      <c r="A182">
        <v>179</v>
      </c>
      <c r="B182" s="46">
        <v>45379</v>
      </c>
      <c r="C182" s="166">
        <v>230.37488433589098</v>
      </c>
      <c r="D182" s="166">
        <v>124.28094877902988</v>
      </c>
      <c r="E182" s="166">
        <f t="shared" si="12"/>
        <v>124.28094877902988</v>
      </c>
      <c r="F182" s="188" t="str">
        <f t="shared" si="11"/>
        <v/>
      </c>
      <c r="H182" t="str">
        <f t="shared" si="14"/>
        <v/>
      </c>
      <c r="I182" s="188" t="str">
        <f t="shared" si="13"/>
        <v/>
      </c>
    </row>
    <row r="183" spans="1:9">
      <c r="A183">
        <v>180</v>
      </c>
      <c r="B183" s="46">
        <v>45380</v>
      </c>
      <c r="C183" s="166">
        <v>244.73744427988726</v>
      </c>
      <c r="D183" s="166">
        <v>124.28094877902988</v>
      </c>
      <c r="E183" s="166">
        <f t="shared" si="12"/>
        <v>124.28094877902988</v>
      </c>
      <c r="F183" s="188" t="str">
        <f t="shared" si="11"/>
        <v/>
      </c>
      <c r="H183" t="str">
        <f t="shared" si="14"/>
        <v/>
      </c>
      <c r="I183" s="188" t="str">
        <f t="shared" si="13"/>
        <v/>
      </c>
    </row>
    <row r="184" spans="1:9">
      <c r="A184">
        <v>181</v>
      </c>
      <c r="B184" s="46">
        <v>45381</v>
      </c>
      <c r="C184" s="166">
        <v>252.09877540788537</v>
      </c>
      <c r="D184" s="166">
        <v>124.28094877902988</v>
      </c>
      <c r="E184" s="166">
        <f t="shared" si="12"/>
        <v>124.28094877902988</v>
      </c>
      <c r="F184" s="188" t="str">
        <f t="shared" si="11"/>
        <v/>
      </c>
      <c r="H184" t="str">
        <f t="shared" si="14"/>
        <v/>
      </c>
      <c r="I184" s="188" t="str">
        <f t="shared" si="13"/>
        <v/>
      </c>
    </row>
    <row r="185" spans="1:9">
      <c r="A185">
        <v>182</v>
      </c>
      <c r="B185" s="46">
        <v>45382</v>
      </c>
      <c r="C185" s="166">
        <v>244.49603375188912</v>
      </c>
      <c r="D185" s="166">
        <v>124.28094877902988</v>
      </c>
      <c r="E185" s="166">
        <f t="shared" si="12"/>
        <v>124.28094877902988</v>
      </c>
      <c r="F185" s="188" t="str">
        <f t="shared" si="11"/>
        <v/>
      </c>
      <c r="H185" t="str">
        <f t="shared" si="14"/>
        <v/>
      </c>
      <c r="I185" s="188" t="str">
        <f t="shared" si="13"/>
        <v/>
      </c>
    </row>
    <row r="186" spans="1:9">
      <c r="A186">
        <v>183</v>
      </c>
      <c r="B186" s="46">
        <v>45383</v>
      </c>
      <c r="C186" s="166">
        <v>243.29348493988911</v>
      </c>
      <c r="D186" s="166">
        <v>120.54288292781465</v>
      </c>
      <c r="E186" s="166">
        <f t="shared" si="12"/>
        <v>120.54288292781465</v>
      </c>
      <c r="F186" s="188" t="str">
        <f t="shared" si="11"/>
        <v/>
      </c>
      <c r="H186" t="str">
        <f t="shared" si="14"/>
        <v/>
      </c>
      <c r="I186" s="188" t="str">
        <f t="shared" si="13"/>
        <v/>
      </c>
    </row>
    <row r="187" spans="1:9">
      <c r="A187">
        <v>184</v>
      </c>
      <c r="B187" s="46">
        <v>45384</v>
      </c>
      <c r="C187" s="166">
        <v>255.81591222788725</v>
      </c>
      <c r="D187" s="166">
        <v>120.54288292781465</v>
      </c>
      <c r="E187" s="166">
        <f t="shared" si="12"/>
        <v>120.54288292781465</v>
      </c>
      <c r="F187" s="188" t="str">
        <f t="shared" si="11"/>
        <v/>
      </c>
      <c r="H187" t="str">
        <f t="shared" si="14"/>
        <v/>
      </c>
      <c r="I187" s="188" t="str">
        <f t="shared" si="13"/>
        <v/>
      </c>
    </row>
    <row r="188" spans="1:9">
      <c r="A188">
        <v>185</v>
      </c>
      <c r="B188" s="46">
        <v>45385</v>
      </c>
      <c r="C188" s="166">
        <v>263.57349480166044</v>
      </c>
      <c r="D188" s="166">
        <v>120.54288292781465</v>
      </c>
      <c r="E188" s="166">
        <f t="shared" si="12"/>
        <v>120.54288292781465</v>
      </c>
      <c r="F188" s="188" t="str">
        <f t="shared" si="11"/>
        <v/>
      </c>
      <c r="H188" t="str">
        <f t="shared" si="14"/>
        <v/>
      </c>
      <c r="I188" s="188" t="str">
        <f t="shared" si="13"/>
        <v/>
      </c>
    </row>
    <row r="189" spans="1:9">
      <c r="A189">
        <v>186</v>
      </c>
      <c r="B189" s="46">
        <v>45386</v>
      </c>
      <c r="C189" s="166">
        <v>262.71526991366233</v>
      </c>
      <c r="D189" s="166">
        <v>120.54288292781465</v>
      </c>
      <c r="E189" s="166">
        <f t="shared" si="12"/>
        <v>120.54288292781465</v>
      </c>
      <c r="F189" s="188" t="str">
        <f t="shared" si="11"/>
        <v/>
      </c>
      <c r="H189" t="str">
        <f t="shared" si="14"/>
        <v/>
      </c>
      <c r="I189" s="188" t="str">
        <f t="shared" si="13"/>
        <v/>
      </c>
    </row>
    <row r="190" spans="1:9">
      <c r="A190">
        <v>187</v>
      </c>
      <c r="B190" s="46">
        <v>45387</v>
      </c>
      <c r="C190" s="166">
        <v>257.32151106966046</v>
      </c>
      <c r="D190" s="166">
        <v>120.54288292781465</v>
      </c>
      <c r="E190" s="166">
        <f t="shared" si="12"/>
        <v>120.54288292781465</v>
      </c>
      <c r="F190" s="188" t="str">
        <f t="shared" si="11"/>
        <v/>
      </c>
      <c r="H190" t="str">
        <f t="shared" si="14"/>
        <v/>
      </c>
      <c r="I190" s="188" t="str">
        <f t="shared" si="13"/>
        <v/>
      </c>
    </row>
    <row r="191" spans="1:9">
      <c r="A191">
        <v>188</v>
      </c>
      <c r="B191" s="46">
        <v>45388</v>
      </c>
      <c r="C191" s="166">
        <v>259.32376841766046</v>
      </c>
      <c r="D191" s="166">
        <v>120.54288292781465</v>
      </c>
      <c r="E191" s="166">
        <f t="shared" si="12"/>
        <v>120.54288292781465</v>
      </c>
      <c r="F191" s="188" t="str">
        <f t="shared" si="11"/>
        <v/>
      </c>
      <c r="H191" t="str">
        <f t="shared" si="14"/>
        <v/>
      </c>
      <c r="I191" s="188" t="str">
        <f t="shared" si="13"/>
        <v/>
      </c>
    </row>
    <row r="192" spans="1:9">
      <c r="A192">
        <v>189</v>
      </c>
      <c r="B192" s="46">
        <v>45389</v>
      </c>
      <c r="C192" s="166">
        <v>267.06073969766044</v>
      </c>
      <c r="D192" s="166">
        <v>120.54288292781465</v>
      </c>
      <c r="E192" s="166">
        <f t="shared" si="12"/>
        <v>120.54288292781465</v>
      </c>
      <c r="F192" s="188" t="str">
        <f t="shared" si="11"/>
        <v/>
      </c>
      <c r="H192" t="str">
        <f t="shared" si="14"/>
        <v/>
      </c>
      <c r="I192" s="188" t="str">
        <f t="shared" si="13"/>
        <v/>
      </c>
    </row>
    <row r="193" spans="1:9">
      <c r="A193">
        <v>190</v>
      </c>
      <c r="B193" s="46">
        <v>45390</v>
      </c>
      <c r="C193" s="166">
        <v>270.21304680165861</v>
      </c>
      <c r="D193" s="166">
        <v>120.54288292781465</v>
      </c>
      <c r="E193" s="166">
        <f t="shared" si="12"/>
        <v>120.54288292781465</v>
      </c>
      <c r="F193" s="188" t="str">
        <f t="shared" si="11"/>
        <v/>
      </c>
      <c r="H193" t="str">
        <f t="shared" si="14"/>
        <v/>
      </c>
      <c r="I193" s="188" t="str">
        <f t="shared" si="13"/>
        <v/>
      </c>
    </row>
    <row r="194" spans="1:9">
      <c r="A194">
        <v>191</v>
      </c>
      <c r="B194" s="46">
        <v>45391</v>
      </c>
      <c r="C194" s="166">
        <v>262.92823013066044</v>
      </c>
      <c r="D194" s="166">
        <v>120.54288292781465</v>
      </c>
      <c r="E194" s="166">
        <f t="shared" si="12"/>
        <v>120.54288292781465</v>
      </c>
      <c r="F194" s="188" t="str">
        <f t="shared" si="11"/>
        <v/>
      </c>
      <c r="H194" t="str">
        <f t="shared" si="14"/>
        <v/>
      </c>
      <c r="I194" s="188" t="str">
        <f t="shared" si="13"/>
        <v/>
      </c>
    </row>
    <row r="195" spans="1:9">
      <c r="A195">
        <v>192</v>
      </c>
      <c r="B195" s="46">
        <v>45392</v>
      </c>
      <c r="C195" s="166">
        <v>193.9214722451166</v>
      </c>
      <c r="D195" s="166">
        <v>120.54288292781465</v>
      </c>
      <c r="E195" s="166">
        <f t="shared" si="12"/>
        <v>120.54288292781465</v>
      </c>
      <c r="F195" s="188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8" t="str">
        <f t="shared" si="13"/>
        <v/>
      </c>
    </row>
    <row r="196" spans="1:9">
      <c r="A196">
        <v>193</v>
      </c>
      <c r="B196" s="46">
        <v>45393</v>
      </c>
      <c r="C196" s="166">
        <v>173.92818561711846</v>
      </c>
      <c r="D196" s="166">
        <v>120.54288292781465</v>
      </c>
      <c r="E196" s="166">
        <f t="shared" ref="E196:E259" si="16">IF(C196&lt;D196,C196,D196)</f>
        <v>120.54288292781465</v>
      </c>
      <c r="F196" s="188" t="str">
        <f t="shared" si="15"/>
        <v/>
      </c>
      <c r="H196" t="str">
        <f t="shared" si="14"/>
        <v/>
      </c>
      <c r="I196" s="188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45394</v>
      </c>
      <c r="C197" s="166">
        <v>194.95258946511288</v>
      </c>
      <c r="D197" s="166">
        <v>120.54288292781465</v>
      </c>
      <c r="E197" s="166">
        <f t="shared" si="16"/>
        <v>120.54288292781465</v>
      </c>
      <c r="F197" s="188" t="str">
        <f t="shared" si="15"/>
        <v/>
      </c>
      <c r="H197" t="str">
        <f t="shared" ref="H197:H260" si="18">IF(MONTH(B197)=1,IF(DAY(B197)=1,YEAR(B197),""),"")</f>
        <v/>
      </c>
      <c r="I197" s="188" t="str">
        <f t="shared" si="17"/>
        <v/>
      </c>
    </row>
    <row r="198" spans="1:9">
      <c r="A198">
        <v>195</v>
      </c>
      <c r="B198" s="46">
        <v>45395</v>
      </c>
      <c r="C198" s="166">
        <v>178.18745186911846</v>
      </c>
      <c r="D198" s="166">
        <v>120.54288292781465</v>
      </c>
      <c r="E198" s="166">
        <f t="shared" si="16"/>
        <v>120.54288292781465</v>
      </c>
      <c r="F198" s="188" t="str">
        <f t="shared" si="15"/>
        <v/>
      </c>
      <c r="H198" t="str">
        <f t="shared" si="18"/>
        <v/>
      </c>
      <c r="I198" s="188" t="str">
        <f t="shared" si="17"/>
        <v/>
      </c>
    </row>
    <row r="199" spans="1:9">
      <c r="A199">
        <v>196</v>
      </c>
      <c r="B199" s="46">
        <v>45396</v>
      </c>
      <c r="C199" s="166">
        <v>165.4526508811166</v>
      </c>
      <c r="D199" s="166">
        <v>120.54288292781465</v>
      </c>
      <c r="E199" s="166">
        <f t="shared" si="16"/>
        <v>120.54288292781465</v>
      </c>
      <c r="F199" s="188" t="str">
        <f t="shared" si="15"/>
        <v/>
      </c>
      <c r="H199" t="str">
        <f t="shared" si="18"/>
        <v/>
      </c>
      <c r="I199" s="188" t="str">
        <f t="shared" si="17"/>
        <v/>
      </c>
    </row>
    <row r="200" spans="1:9">
      <c r="A200">
        <v>197</v>
      </c>
      <c r="B200" s="46">
        <v>45397</v>
      </c>
      <c r="C200" s="166">
        <v>160.50314996911476</v>
      </c>
      <c r="D200" s="166">
        <v>120.54288292781465</v>
      </c>
      <c r="E200" s="166">
        <f t="shared" si="16"/>
        <v>120.54288292781465</v>
      </c>
      <c r="F200" s="188" t="str">
        <f t="shared" si="15"/>
        <v>A</v>
      </c>
      <c r="H200" t="str">
        <f t="shared" si="18"/>
        <v/>
      </c>
      <c r="I200" s="188" t="str">
        <f t="shared" si="17"/>
        <v>A</v>
      </c>
    </row>
    <row r="201" spans="1:9">
      <c r="A201">
        <v>198</v>
      </c>
      <c r="B201" s="46">
        <v>45398</v>
      </c>
      <c r="C201" s="166">
        <v>146.16653191711848</v>
      </c>
      <c r="D201" s="166">
        <v>120.54288292781465</v>
      </c>
      <c r="E201" s="166">
        <f t="shared" si="16"/>
        <v>120.54288292781465</v>
      </c>
      <c r="F201" s="188" t="str">
        <f t="shared" si="15"/>
        <v/>
      </c>
      <c r="G201" s="189" t="str">
        <f>IF(DAY(B201)=15,D201,"")</f>
        <v/>
      </c>
      <c r="H201" t="str">
        <f t="shared" si="18"/>
        <v/>
      </c>
      <c r="I201" s="188" t="str">
        <f t="shared" si="17"/>
        <v/>
      </c>
    </row>
    <row r="202" spans="1:9">
      <c r="A202">
        <v>199</v>
      </c>
      <c r="B202" s="46">
        <v>45399</v>
      </c>
      <c r="C202" s="166">
        <v>123.48102182233816</v>
      </c>
      <c r="D202" s="166">
        <v>120.54288292781465</v>
      </c>
      <c r="E202" s="166">
        <f t="shared" si="16"/>
        <v>120.54288292781465</v>
      </c>
      <c r="F202" s="188" t="str">
        <f t="shared" si="15"/>
        <v/>
      </c>
      <c r="H202" t="str">
        <f t="shared" si="18"/>
        <v/>
      </c>
      <c r="I202" s="188" t="str">
        <f t="shared" si="17"/>
        <v/>
      </c>
    </row>
    <row r="203" spans="1:9">
      <c r="A203">
        <v>200</v>
      </c>
      <c r="B203" s="46">
        <v>45400</v>
      </c>
      <c r="C203" s="166">
        <v>121.8189959663419</v>
      </c>
      <c r="D203" s="166">
        <v>120.54288292781465</v>
      </c>
      <c r="E203" s="166">
        <f t="shared" si="16"/>
        <v>120.54288292781465</v>
      </c>
      <c r="F203" s="188" t="str">
        <f t="shared" si="15"/>
        <v/>
      </c>
      <c r="H203" t="str">
        <f t="shared" si="18"/>
        <v/>
      </c>
      <c r="I203" s="188" t="str">
        <f t="shared" si="17"/>
        <v/>
      </c>
    </row>
    <row r="204" spans="1:9">
      <c r="A204">
        <v>201</v>
      </c>
      <c r="B204" s="46">
        <v>45401</v>
      </c>
      <c r="C204" s="166">
        <v>136.99538842733818</v>
      </c>
      <c r="D204" s="166">
        <v>120.54288292781465</v>
      </c>
      <c r="E204" s="166">
        <f t="shared" si="16"/>
        <v>120.54288292781465</v>
      </c>
      <c r="F204" s="188" t="str">
        <f t="shared" si="15"/>
        <v/>
      </c>
      <c r="H204" t="str">
        <f t="shared" si="18"/>
        <v/>
      </c>
      <c r="I204" s="188" t="str">
        <f t="shared" si="17"/>
        <v/>
      </c>
    </row>
    <row r="205" spans="1:9">
      <c r="A205">
        <v>202</v>
      </c>
      <c r="B205" s="46">
        <v>45402</v>
      </c>
      <c r="C205" s="166">
        <v>111.19103276633818</v>
      </c>
      <c r="D205" s="166">
        <v>120.54288292781465</v>
      </c>
      <c r="E205" s="166">
        <f t="shared" si="16"/>
        <v>111.19103276633818</v>
      </c>
      <c r="F205" s="188" t="str">
        <f t="shared" si="15"/>
        <v/>
      </c>
      <c r="H205" t="str">
        <f t="shared" si="18"/>
        <v/>
      </c>
      <c r="I205" s="188" t="str">
        <f t="shared" si="17"/>
        <v/>
      </c>
    </row>
    <row r="206" spans="1:9">
      <c r="A206">
        <v>203</v>
      </c>
      <c r="B206" s="46">
        <v>45403</v>
      </c>
      <c r="C206" s="166">
        <v>88.599454134340036</v>
      </c>
      <c r="D206" s="166">
        <v>120.54288292781465</v>
      </c>
      <c r="E206" s="166">
        <f t="shared" si="16"/>
        <v>88.599454134340036</v>
      </c>
      <c r="F206" s="188" t="str">
        <f t="shared" si="15"/>
        <v/>
      </c>
      <c r="H206" t="str">
        <f t="shared" si="18"/>
        <v/>
      </c>
      <c r="I206" s="188" t="str">
        <f t="shared" si="17"/>
        <v/>
      </c>
    </row>
    <row r="207" spans="1:9">
      <c r="A207">
        <v>204</v>
      </c>
      <c r="B207" s="46">
        <v>45404</v>
      </c>
      <c r="C207" s="166">
        <v>93.381547750340033</v>
      </c>
      <c r="D207" s="166">
        <v>120.54288292781465</v>
      </c>
      <c r="E207" s="166">
        <f t="shared" si="16"/>
        <v>93.381547750340033</v>
      </c>
      <c r="F207" s="188" t="str">
        <f t="shared" si="15"/>
        <v/>
      </c>
      <c r="H207" t="str">
        <f t="shared" si="18"/>
        <v/>
      </c>
      <c r="I207" s="188" t="str">
        <f t="shared" si="17"/>
        <v/>
      </c>
    </row>
    <row r="208" spans="1:9">
      <c r="A208">
        <v>205</v>
      </c>
      <c r="B208" s="46">
        <v>45405</v>
      </c>
      <c r="C208" s="166">
        <v>96.421928146338175</v>
      </c>
      <c r="D208" s="166">
        <v>120.54288292781465</v>
      </c>
      <c r="E208" s="166">
        <f t="shared" si="16"/>
        <v>96.421928146338175</v>
      </c>
      <c r="F208" s="188" t="str">
        <f t="shared" si="15"/>
        <v/>
      </c>
      <c r="H208" t="str">
        <f t="shared" si="18"/>
        <v/>
      </c>
      <c r="I208" s="188" t="str">
        <f t="shared" si="17"/>
        <v/>
      </c>
    </row>
    <row r="209" spans="1:9">
      <c r="A209">
        <v>206</v>
      </c>
      <c r="B209" s="46">
        <v>45406</v>
      </c>
      <c r="C209" s="166">
        <v>73.047796928215917</v>
      </c>
      <c r="D209" s="166">
        <v>120.54288292781465</v>
      </c>
      <c r="E209" s="166">
        <f t="shared" si="16"/>
        <v>73.047796928215917</v>
      </c>
      <c r="F209" s="188" t="str">
        <f t="shared" si="15"/>
        <v/>
      </c>
      <c r="H209" t="str">
        <f t="shared" si="18"/>
        <v/>
      </c>
      <c r="I209" s="188" t="str">
        <f t="shared" si="17"/>
        <v/>
      </c>
    </row>
    <row r="210" spans="1:9">
      <c r="A210">
        <v>207</v>
      </c>
      <c r="B210" s="46">
        <v>45407</v>
      </c>
      <c r="C210" s="166">
        <v>124.15125314421218</v>
      </c>
      <c r="D210" s="166">
        <v>120.54288292781465</v>
      </c>
      <c r="E210" s="166">
        <f t="shared" si="16"/>
        <v>120.54288292781465</v>
      </c>
      <c r="F210" s="188" t="str">
        <f t="shared" si="15"/>
        <v/>
      </c>
      <c r="H210" t="str">
        <f t="shared" si="18"/>
        <v/>
      </c>
      <c r="I210" s="188" t="str">
        <f t="shared" si="17"/>
        <v/>
      </c>
    </row>
    <row r="211" spans="1:9">
      <c r="A211">
        <v>208</v>
      </c>
      <c r="B211" s="46">
        <v>45408</v>
      </c>
      <c r="C211" s="166">
        <v>131.74439060321961</v>
      </c>
      <c r="D211" s="166">
        <v>120.54288292781465</v>
      </c>
      <c r="E211" s="166">
        <f t="shared" si="16"/>
        <v>120.54288292781465</v>
      </c>
      <c r="F211" s="188" t="str">
        <f t="shared" si="15"/>
        <v/>
      </c>
      <c r="H211" t="str">
        <f t="shared" si="18"/>
        <v/>
      </c>
      <c r="I211" s="188" t="str">
        <f t="shared" si="17"/>
        <v/>
      </c>
    </row>
    <row r="212" spans="1:9">
      <c r="A212">
        <v>209</v>
      </c>
      <c r="B212" s="46">
        <v>45409</v>
      </c>
      <c r="C212" s="166">
        <v>71.896353268219642</v>
      </c>
      <c r="D212" s="166">
        <v>120.54288292781465</v>
      </c>
      <c r="E212" s="166">
        <f t="shared" si="16"/>
        <v>71.896353268219642</v>
      </c>
      <c r="F212" s="188" t="str">
        <f t="shared" si="15"/>
        <v/>
      </c>
      <c r="H212" t="str">
        <f t="shared" si="18"/>
        <v/>
      </c>
      <c r="I212" s="188" t="str">
        <f t="shared" si="17"/>
        <v/>
      </c>
    </row>
    <row r="213" spans="1:9">
      <c r="A213">
        <v>210</v>
      </c>
      <c r="B213" s="46">
        <v>45410</v>
      </c>
      <c r="C213" s="166">
        <v>74.042449444215919</v>
      </c>
      <c r="D213" s="166">
        <v>120.54288292781465</v>
      </c>
      <c r="E213" s="166">
        <f t="shared" si="16"/>
        <v>74.042449444215919</v>
      </c>
      <c r="F213" s="188" t="str">
        <f t="shared" si="15"/>
        <v/>
      </c>
      <c r="H213" t="str">
        <f t="shared" si="18"/>
        <v/>
      </c>
      <c r="I213" s="188" t="str">
        <f t="shared" si="17"/>
        <v/>
      </c>
    </row>
    <row r="214" spans="1:9">
      <c r="A214">
        <v>211</v>
      </c>
      <c r="B214" s="46">
        <v>45411</v>
      </c>
      <c r="C214" s="166">
        <v>109.42936759621591</v>
      </c>
      <c r="D214" s="166">
        <v>120.54288292781465</v>
      </c>
      <c r="E214" s="166">
        <f t="shared" si="16"/>
        <v>109.42936759621591</v>
      </c>
      <c r="F214" s="188" t="str">
        <f t="shared" si="15"/>
        <v/>
      </c>
      <c r="H214" t="str">
        <f t="shared" si="18"/>
        <v/>
      </c>
      <c r="I214" s="188" t="str">
        <f t="shared" si="17"/>
        <v/>
      </c>
    </row>
    <row r="215" spans="1:9">
      <c r="A215">
        <v>212</v>
      </c>
      <c r="B215" s="46">
        <v>45412</v>
      </c>
      <c r="C215" s="166">
        <v>64.354226576215908</v>
      </c>
      <c r="D215" s="166">
        <v>120.54288292781465</v>
      </c>
      <c r="E215" s="166">
        <f t="shared" si="16"/>
        <v>64.354226576215908</v>
      </c>
      <c r="F215" s="188" t="str">
        <f t="shared" si="15"/>
        <v/>
      </c>
      <c r="H215" t="str">
        <f t="shared" si="18"/>
        <v/>
      </c>
      <c r="I215" s="188" t="str">
        <f t="shared" si="17"/>
        <v/>
      </c>
    </row>
    <row r="216" spans="1:9">
      <c r="A216">
        <v>213</v>
      </c>
      <c r="B216" s="46">
        <v>45413</v>
      </c>
      <c r="C216" s="166">
        <v>79.571888342601397</v>
      </c>
      <c r="D216" s="166">
        <v>94.661389583977851</v>
      </c>
      <c r="E216" s="166">
        <f t="shared" si="16"/>
        <v>79.571888342601397</v>
      </c>
      <c r="F216" s="188" t="str">
        <f t="shared" si="15"/>
        <v/>
      </c>
      <c r="H216" t="str">
        <f t="shared" si="18"/>
        <v/>
      </c>
      <c r="I216" s="188" t="str">
        <f t="shared" si="17"/>
        <v/>
      </c>
    </row>
    <row r="217" spans="1:9">
      <c r="A217">
        <v>214</v>
      </c>
      <c r="B217" s="46">
        <v>45414</v>
      </c>
      <c r="C217" s="166">
        <v>89.119704002601381</v>
      </c>
      <c r="D217" s="166">
        <v>94.661389583977851</v>
      </c>
      <c r="E217" s="166">
        <f t="shared" si="16"/>
        <v>89.119704002601381</v>
      </c>
      <c r="F217" s="188" t="str">
        <f t="shared" si="15"/>
        <v/>
      </c>
      <c r="H217" t="str">
        <f t="shared" si="18"/>
        <v/>
      </c>
      <c r="I217" s="188" t="str">
        <f t="shared" si="17"/>
        <v/>
      </c>
    </row>
    <row r="218" spans="1:9">
      <c r="A218">
        <v>215</v>
      </c>
      <c r="B218" s="46">
        <v>45415</v>
      </c>
      <c r="C218" s="166">
        <v>103.91496643460138</v>
      </c>
      <c r="D218" s="166">
        <v>94.661389583977851</v>
      </c>
      <c r="E218" s="166">
        <f t="shared" si="16"/>
        <v>94.661389583977851</v>
      </c>
      <c r="F218" s="188" t="str">
        <f t="shared" si="15"/>
        <v/>
      </c>
      <c r="H218" t="str">
        <f t="shared" si="18"/>
        <v/>
      </c>
      <c r="I218" s="188" t="str">
        <f t="shared" si="17"/>
        <v/>
      </c>
    </row>
    <row r="219" spans="1:9">
      <c r="A219">
        <v>216</v>
      </c>
      <c r="B219" s="46">
        <v>45416</v>
      </c>
      <c r="C219" s="166">
        <v>105.90095924659767</v>
      </c>
      <c r="D219" s="166">
        <v>94.661389583977851</v>
      </c>
      <c r="E219" s="166">
        <f t="shared" si="16"/>
        <v>94.661389583977851</v>
      </c>
      <c r="F219" s="188" t="str">
        <f t="shared" si="15"/>
        <v/>
      </c>
      <c r="H219" t="str">
        <f t="shared" si="18"/>
        <v/>
      </c>
      <c r="I219" s="188" t="str">
        <f t="shared" si="17"/>
        <v/>
      </c>
    </row>
    <row r="220" spans="1:9">
      <c r="A220">
        <v>217</v>
      </c>
      <c r="B220" s="46">
        <v>45417</v>
      </c>
      <c r="C220" s="166">
        <v>104.83254937960325</v>
      </c>
      <c r="D220" s="166">
        <v>94.661389583977851</v>
      </c>
      <c r="E220" s="166">
        <f t="shared" si="16"/>
        <v>94.661389583977851</v>
      </c>
      <c r="F220" s="188" t="str">
        <f t="shared" si="15"/>
        <v/>
      </c>
      <c r="H220" t="str">
        <f t="shared" si="18"/>
        <v/>
      </c>
      <c r="I220" s="188" t="str">
        <f t="shared" si="17"/>
        <v/>
      </c>
    </row>
    <row r="221" spans="1:9">
      <c r="A221">
        <v>218</v>
      </c>
      <c r="B221" s="46">
        <v>45418</v>
      </c>
      <c r="C221" s="166">
        <v>137.12204992159764</v>
      </c>
      <c r="D221" s="166">
        <v>94.661389583977851</v>
      </c>
      <c r="E221" s="166">
        <f t="shared" si="16"/>
        <v>94.661389583977851</v>
      </c>
      <c r="F221" s="188" t="str">
        <f t="shared" si="15"/>
        <v/>
      </c>
      <c r="H221" t="str">
        <f t="shared" si="18"/>
        <v/>
      </c>
      <c r="I221" s="188" t="str">
        <f t="shared" si="17"/>
        <v/>
      </c>
    </row>
    <row r="222" spans="1:9">
      <c r="A222">
        <v>219</v>
      </c>
      <c r="B222" s="46">
        <v>45419</v>
      </c>
      <c r="C222" s="166">
        <v>114.43662242259953</v>
      </c>
      <c r="D222" s="166">
        <v>94.661389583977851</v>
      </c>
      <c r="E222" s="166">
        <f t="shared" si="16"/>
        <v>94.661389583977851</v>
      </c>
      <c r="F222" s="188" t="str">
        <f t="shared" si="15"/>
        <v/>
      </c>
      <c r="H222" t="str">
        <f t="shared" si="18"/>
        <v/>
      </c>
      <c r="I222" s="188" t="str">
        <f t="shared" si="17"/>
        <v/>
      </c>
    </row>
    <row r="223" spans="1:9">
      <c r="A223">
        <v>220</v>
      </c>
      <c r="B223" s="46">
        <v>45420</v>
      </c>
      <c r="C223" s="166">
        <v>95.868914238072179</v>
      </c>
      <c r="D223" s="166">
        <v>94.661389583977851</v>
      </c>
      <c r="E223" s="166">
        <f t="shared" si="16"/>
        <v>94.661389583977851</v>
      </c>
      <c r="F223" s="188" t="str">
        <f t="shared" si="15"/>
        <v/>
      </c>
      <c r="H223" t="str">
        <f t="shared" si="18"/>
        <v/>
      </c>
      <c r="I223" s="188" t="str">
        <f t="shared" si="17"/>
        <v/>
      </c>
    </row>
    <row r="224" spans="1:9">
      <c r="A224">
        <v>221</v>
      </c>
      <c r="B224" s="46">
        <v>45421</v>
      </c>
      <c r="C224" s="166">
        <v>109.52223605407217</v>
      </c>
      <c r="D224" s="166">
        <v>94.661389583977851</v>
      </c>
      <c r="E224" s="166">
        <f t="shared" si="16"/>
        <v>94.661389583977851</v>
      </c>
      <c r="F224" s="188" t="str">
        <f t="shared" si="15"/>
        <v/>
      </c>
      <c r="H224" t="str">
        <f t="shared" si="18"/>
        <v/>
      </c>
      <c r="I224" s="188" t="str">
        <f t="shared" si="17"/>
        <v/>
      </c>
    </row>
    <row r="225" spans="1:9">
      <c r="A225">
        <v>222</v>
      </c>
      <c r="B225" s="46">
        <v>45422</v>
      </c>
      <c r="C225" s="166">
        <v>109.76794713007031</v>
      </c>
      <c r="D225" s="166">
        <v>94.661389583977851</v>
      </c>
      <c r="E225" s="166">
        <f t="shared" si="16"/>
        <v>94.661389583977851</v>
      </c>
      <c r="F225" s="188" t="str">
        <f t="shared" si="15"/>
        <v/>
      </c>
      <c r="H225" t="str">
        <f t="shared" si="18"/>
        <v/>
      </c>
      <c r="I225" s="188" t="str">
        <f t="shared" si="17"/>
        <v/>
      </c>
    </row>
    <row r="226" spans="1:9">
      <c r="A226">
        <v>223</v>
      </c>
      <c r="B226" s="46">
        <v>45423</v>
      </c>
      <c r="C226" s="166">
        <v>87.082563798072187</v>
      </c>
      <c r="D226" s="166">
        <v>94.661389583977851</v>
      </c>
      <c r="E226" s="166">
        <f t="shared" si="16"/>
        <v>87.082563798072187</v>
      </c>
      <c r="F226" s="188" t="str">
        <f t="shared" si="15"/>
        <v/>
      </c>
      <c r="H226" t="str">
        <f t="shared" si="18"/>
        <v/>
      </c>
      <c r="I226" s="188" t="str">
        <f t="shared" si="17"/>
        <v/>
      </c>
    </row>
    <row r="227" spans="1:9">
      <c r="A227">
        <v>224</v>
      </c>
      <c r="B227" s="46">
        <v>45424</v>
      </c>
      <c r="C227" s="166">
        <v>92.097228806070319</v>
      </c>
      <c r="D227" s="166">
        <v>94.661389583977851</v>
      </c>
      <c r="E227" s="166">
        <f t="shared" si="16"/>
        <v>92.097228806070319</v>
      </c>
      <c r="F227" s="188" t="str">
        <f t="shared" si="15"/>
        <v/>
      </c>
      <c r="H227" t="str">
        <f t="shared" si="18"/>
        <v/>
      </c>
      <c r="I227" s="188" t="str">
        <f t="shared" si="17"/>
        <v/>
      </c>
    </row>
    <row r="228" spans="1:9">
      <c r="A228">
        <v>225</v>
      </c>
      <c r="B228" s="46">
        <v>45425</v>
      </c>
      <c r="C228" s="166">
        <v>98.382952402070316</v>
      </c>
      <c r="D228" s="166">
        <v>94.661389583977851</v>
      </c>
      <c r="E228" s="166">
        <f t="shared" si="16"/>
        <v>94.661389583977851</v>
      </c>
      <c r="F228" s="188" t="str">
        <f t="shared" si="15"/>
        <v/>
      </c>
      <c r="H228" t="str">
        <f t="shared" si="18"/>
        <v/>
      </c>
      <c r="I228" s="188" t="str">
        <f t="shared" si="17"/>
        <v/>
      </c>
    </row>
    <row r="229" spans="1:9">
      <c r="A229">
        <v>226</v>
      </c>
      <c r="B229" s="46">
        <v>45426</v>
      </c>
      <c r="C229" s="166">
        <v>86.890977494070313</v>
      </c>
      <c r="D229" s="166">
        <v>94.661389583977851</v>
      </c>
      <c r="E229" s="166">
        <f t="shared" si="16"/>
        <v>86.890977494070313</v>
      </c>
      <c r="F229" s="188" t="str">
        <f t="shared" si="15"/>
        <v/>
      </c>
      <c r="H229" t="str">
        <f t="shared" si="18"/>
        <v/>
      </c>
      <c r="I229" s="188" t="str">
        <f t="shared" si="17"/>
        <v/>
      </c>
    </row>
    <row r="230" spans="1:9">
      <c r="A230">
        <v>227</v>
      </c>
      <c r="B230" s="46">
        <v>45427</v>
      </c>
      <c r="C230" s="166">
        <v>104.96816724701439</v>
      </c>
      <c r="D230" s="166">
        <v>94.661389583977851</v>
      </c>
      <c r="E230" s="166">
        <f t="shared" si="16"/>
        <v>94.661389583977851</v>
      </c>
      <c r="F230" s="188" t="str">
        <f t="shared" si="15"/>
        <v>M</v>
      </c>
      <c r="G230" s="189">
        <f>IF(DAY(B230)=15,D230,"")</f>
        <v>94.661389583977851</v>
      </c>
      <c r="H230" t="str">
        <f t="shared" si="18"/>
        <v/>
      </c>
      <c r="I230" s="188" t="str">
        <f t="shared" si="17"/>
        <v>M</v>
      </c>
    </row>
    <row r="231" spans="1:9">
      <c r="A231">
        <v>228</v>
      </c>
      <c r="B231" s="46">
        <v>45428</v>
      </c>
      <c r="C231" s="166">
        <v>120.74001667101626</v>
      </c>
      <c r="D231" s="166">
        <v>94.661389583977851</v>
      </c>
      <c r="E231" s="166">
        <f t="shared" si="16"/>
        <v>94.661389583977851</v>
      </c>
      <c r="F231" s="188" t="str">
        <f t="shared" si="15"/>
        <v/>
      </c>
      <c r="H231" t="str">
        <f t="shared" si="18"/>
        <v/>
      </c>
      <c r="I231" s="188" t="str">
        <f t="shared" si="17"/>
        <v/>
      </c>
    </row>
    <row r="232" spans="1:9">
      <c r="A232">
        <v>229</v>
      </c>
      <c r="B232" s="46">
        <v>45429</v>
      </c>
      <c r="C232" s="166">
        <v>147.09440886701253</v>
      </c>
      <c r="D232" s="166">
        <v>94.661389583977851</v>
      </c>
      <c r="E232" s="166">
        <f t="shared" si="16"/>
        <v>94.661389583977851</v>
      </c>
      <c r="F232" s="188" t="str">
        <f t="shared" si="15"/>
        <v/>
      </c>
      <c r="H232" t="str">
        <f t="shared" si="18"/>
        <v/>
      </c>
      <c r="I232" s="188" t="str">
        <f t="shared" si="17"/>
        <v/>
      </c>
    </row>
    <row r="233" spans="1:9">
      <c r="A233">
        <v>230</v>
      </c>
      <c r="B233" s="46">
        <v>45430</v>
      </c>
      <c r="C233" s="166">
        <v>102.0620866310144</v>
      </c>
      <c r="D233" s="166">
        <v>94.661389583977851</v>
      </c>
      <c r="E233" s="166">
        <f t="shared" si="16"/>
        <v>94.661389583977851</v>
      </c>
      <c r="F233" s="188" t="str">
        <f t="shared" si="15"/>
        <v/>
      </c>
      <c r="H233" t="str">
        <f t="shared" si="18"/>
        <v/>
      </c>
      <c r="I233" s="188" t="str">
        <f t="shared" si="17"/>
        <v/>
      </c>
    </row>
    <row r="234" spans="1:9">
      <c r="A234">
        <v>231</v>
      </c>
      <c r="B234" s="46">
        <v>45431</v>
      </c>
      <c r="C234" s="166">
        <v>91.921238147018116</v>
      </c>
      <c r="D234" s="166">
        <v>94.661389583977851</v>
      </c>
      <c r="E234" s="166">
        <f t="shared" si="16"/>
        <v>91.921238147018116</v>
      </c>
      <c r="F234" s="188" t="str">
        <f t="shared" si="15"/>
        <v/>
      </c>
      <c r="H234" t="str">
        <f t="shared" si="18"/>
        <v/>
      </c>
      <c r="I234" s="188" t="str">
        <f t="shared" si="17"/>
        <v/>
      </c>
    </row>
    <row r="235" spans="1:9">
      <c r="A235">
        <v>232</v>
      </c>
      <c r="B235" s="46">
        <v>45432</v>
      </c>
      <c r="C235" s="166">
        <v>105.46814395901252</v>
      </c>
      <c r="D235" s="166">
        <v>94.661389583977851</v>
      </c>
      <c r="E235" s="166">
        <f t="shared" si="16"/>
        <v>94.661389583977851</v>
      </c>
      <c r="F235" s="188" t="str">
        <f t="shared" si="15"/>
        <v/>
      </c>
      <c r="H235" t="str">
        <f t="shared" si="18"/>
        <v/>
      </c>
      <c r="I235" s="188" t="str">
        <f t="shared" si="17"/>
        <v/>
      </c>
    </row>
    <row r="236" spans="1:9">
      <c r="A236">
        <v>233</v>
      </c>
      <c r="B236" s="46">
        <v>45433</v>
      </c>
      <c r="C236" s="166">
        <v>118.7190386380144</v>
      </c>
      <c r="D236" s="166">
        <v>94.661389583977851</v>
      </c>
      <c r="E236" s="166">
        <f t="shared" si="16"/>
        <v>94.661389583977851</v>
      </c>
      <c r="F236" s="188" t="str">
        <f t="shared" si="15"/>
        <v/>
      </c>
      <c r="H236" t="str">
        <f t="shared" si="18"/>
        <v/>
      </c>
      <c r="I236" s="188" t="str">
        <f t="shared" si="17"/>
        <v/>
      </c>
    </row>
    <row r="237" spans="1:9">
      <c r="A237">
        <v>234</v>
      </c>
      <c r="B237" s="46">
        <v>45434</v>
      </c>
      <c r="C237" s="166">
        <v>113.49101006372031</v>
      </c>
      <c r="D237" s="166">
        <v>94.661389583977851</v>
      </c>
      <c r="E237" s="166">
        <f t="shared" si="16"/>
        <v>94.661389583977851</v>
      </c>
      <c r="F237" s="188" t="str">
        <f t="shared" si="15"/>
        <v/>
      </c>
      <c r="H237" t="str">
        <f t="shared" si="18"/>
        <v/>
      </c>
      <c r="I237" s="188" t="str">
        <f t="shared" si="17"/>
        <v/>
      </c>
    </row>
    <row r="238" spans="1:9">
      <c r="A238">
        <v>235</v>
      </c>
      <c r="B238" s="46">
        <v>45435</v>
      </c>
      <c r="C238" s="166">
        <v>118.66739578072031</v>
      </c>
      <c r="D238" s="166">
        <v>94.661389583977851</v>
      </c>
      <c r="E238" s="166">
        <f t="shared" si="16"/>
        <v>94.661389583977851</v>
      </c>
      <c r="F238" s="188" t="str">
        <f t="shared" si="15"/>
        <v/>
      </c>
      <c r="H238" t="str">
        <f t="shared" si="18"/>
        <v/>
      </c>
      <c r="I238" s="188" t="str">
        <f t="shared" si="17"/>
        <v/>
      </c>
    </row>
    <row r="239" spans="1:9">
      <c r="A239">
        <v>236</v>
      </c>
      <c r="B239" s="46">
        <v>45436</v>
      </c>
      <c r="C239" s="166">
        <v>113.69286175571845</v>
      </c>
      <c r="D239" s="166">
        <v>94.661389583977851</v>
      </c>
      <c r="E239" s="166">
        <f t="shared" si="16"/>
        <v>94.661389583977851</v>
      </c>
      <c r="F239" s="188" t="str">
        <f t="shared" si="15"/>
        <v/>
      </c>
      <c r="H239" t="str">
        <f t="shared" si="18"/>
        <v/>
      </c>
      <c r="I239" s="188" t="str">
        <f t="shared" si="17"/>
        <v/>
      </c>
    </row>
    <row r="240" spans="1:9">
      <c r="A240">
        <v>237</v>
      </c>
      <c r="B240" s="46">
        <v>45437</v>
      </c>
      <c r="C240" s="166">
        <v>98.955515526716582</v>
      </c>
      <c r="D240" s="166">
        <v>94.661389583977851</v>
      </c>
      <c r="E240" s="166">
        <f t="shared" si="16"/>
        <v>94.661389583977851</v>
      </c>
      <c r="F240" s="188" t="str">
        <f t="shared" si="15"/>
        <v/>
      </c>
      <c r="H240" t="str">
        <f t="shared" si="18"/>
        <v/>
      </c>
      <c r="I240" s="188" t="str">
        <f t="shared" si="17"/>
        <v/>
      </c>
    </row>
    <row r="241" spans="1:9">
      <c r="A241">
        <v>238</v>
      </c>
      <c r="B241" s="46">
        <v>45438</v>
      </c>
      <c r="C241" s="166">
        <v>91.834740247716596</v>
      </c>
      <c r="D241" s="166">
        <v>94.661389583977851</v>
      </c>
      <c r="E241" s="166">
        <f t="shared" si="16"/>
        <v>91.834740247716596</v>
      </c>
      <c r="F241" s="188" t="str">
        <f t="shared" si="15"/>
        <v/>
      </c>
      <c r="H241" t="str">
        <f t="shared" si="18"/>
        <v/>
      </c>
      <c r="I241" s="188" t="str">
        <f t="shared" si="17"/>
        <v/>
      </c>
    </row>
    <row r="242" spans="1:9">
      <c r="A242">
        <v>239</v>
      </c>
      <c r="B242" s="46">
        <v>45439</v>
      </c>
      <c r="C242" s="166">
        <v>100.30185118772404</v>
      </c>
      <c r="D242" s="166">
        <v>94.661389583977851</v>
      </c>
      <c r="E242" s="166">
        <f t="shared" si="16"/>
        <v>94.661389583977851</v>
      </c>
      <c r="F242" s="188" t="str">
        <f t="shared" si="15"/>
        <v/>
      </c>
      <c r="H242" t="str">
        <f t="shared" si="18"/>
        <v/>
      </c>
      <c r="I242" s="188" t="str">
        <f t="shared" si="17"/>
        <v/>
      </c>
    </row>
    <row r="243" spans="1:9">
      <c r="A243">
        <v>240</v>
      </c>
      <c r="B243" s="46">
        <v>45440</v>
      </c>
      <c r="C243" s="166">
        <v>110.34457240771658</v>
      </c>
      <c r="D243" s="166">
        <v>94.661389583977851</v>
      </c>
      <c r="E243" s="166">
        <f t="shared" si="16"/>
        <v>94.661389583977851</v>
      </c>
      <c r="F243" s="188" t="str">
        <f t="shared" si="15"/>
        <v/>
      </c>
      <c r="H243" t="str">
        <f t="shared" si="18"/>
        <v/>
      </c>
      <c r="I243" s="188" t="str">
        <f t="shared" si="17"/>
        <v/>
      </c>
    </row>
    <row r="244" spans="1:9">
      <c r="A244">
        <v>241</v>
      </c>
      <c r="B244" s="46">
        <v>45441</v>
      </c>
      <c r="C244" s="166">
        <v>92.284333513554529</v>
      </c>
      <c r="D244" s="166">
        <v>94.661389583977851</v>
      </c>
      <c r="E244" s="166">
        <f t="shared" si="16"/>
        <v>92.284333513554529</v>
      </c>
      <c r="F244" s="188" t="str">
        <f t="shared" si="15"/>
        <v/>
      </c>
      <c r="H244" t="str">
        <f t="shared" si="18"/>
        <v/>
      </c>
      <c r="I244" s="188" t="str">
        <f t="shared" si="17"/>
        <v/>
      </c>
    </row>
    <row r="245" spans="1:9">
      <c r="A245">
        <v>242</v>
      </c>
      <c r="B245" s="46">
        <v>45442</v>
      </c>
      <c r="C245" s="166">
        <v>78.878956994548943</v>
      </c>
      <c r="D245" s="166">
        <v>94.661389583977851</v>
      </c>
      <c r="E245" s="166">
        <f t="shared" si="16"/>
        <v>78.878956994548943</v>
      </c>
      <c r="F245" s="188" t="str">
        <f t="shared" si="15"/>
        <v/>
      </c>
      <c r="H245" t="str">
        <f t="shared" si="18"/>
        <v/>
      </c>
      <c r="I245" s="188" t="str">
        <f t="shared" si="17"/>
        <v/>
      </c>
    </row>
    <row r="246" spans="1:9">
      <c r="A246">
        <v>243</v>
      </c>
      <c r="B246" s="46">
        <v>45443</v>
      </c>
      <c r="C246" s="166">
        <v>65.694582402552669</v>
      </c>
      <c r="D246" s="166">
        <v>94.661389583977851</v>
      </c>
      <c r="E246" s="166">
        <f t="shared" si="16"/>
        <v>65.694582402552669</v>
      </c>
      <c r="F246" s="188" t="str">
        <f t="shared" si="15"/>
        <v/>
      </c>
      <c r="H246" t="str">
        <f t="shared" si="18"/>
        <v/>
      </c>
      <c r="I246" s="188" t="str">
        <f t="shared" si="17"/>
        <v/>
      </c>
    </row>
    <row r="247" spans="1:9">
      <c r="A247">
        <v>244</v>
      </c>
      <c r="B247" s="46">
        <v>45444</v>
      </c>
      <c r="C247" s="166">
        <v>40.377900895550802</v>
      </c>
      <c r="D247" s="166">
        <v>62.145020957620687</v>
      </c>
      <c r="E247" s="166">
        <f t="shared" si="16"/>
        <v>40.377900895550802</v>
      </c>
      <c r="F247" s="188" t="str">
        <f t="shared" si="15"/>
        <v/>
      </c>
      <c r="H247" t="str">
        <f t="shared" si="18"/>
        <v/>
      </c>
      <c r="I247" s="188" t="str">
        <f t="shared" si="17"/>
        <v/>
      </c>
    </row>
    <row r="248" spans="1:9">
      <c r="A248">
        <v>245</v>
      </c>
      <c r="B248" s="46">
        <v>45445</v>
      </c>
      <c r="C248" s="166">
        <v>37.02979080555081</v>
      </c>
      <c r="D248" s="166">
        <v>62.145020957620687</v>
      </c>
      <c r="E248" s="166">
        <f t="shared" si="16"/>
        <v>37.02979080555081</v>
      </c>
      <c r="F248" s="188" t="str">
        <f t="shared" si="15"/>
        <v/>
      </c>
      <c r="H248" t="str">
        <f t="shared" si="18"/>
        <v/>
      </c>
      <c r="I248" s="188" t="str">
        <f t="shared" si="17"/>
        <v/>
      </c>
    </row>
    <row r="249" spans="1:9">
      <c r="A249">
        <v>246</v>
      </c>
      <c r="B249" s="46">
        <v>45446</v>
      </c>
      <c r="C249" s="166">
        <v>67.751569642548944</v>
      </c>
      <c r="D249" s="166">
        <v>62.145020957620687</v>
      </c>
      <c r="E249" s="166">
        <f t="shared" si="16"/>
        <v>62.145020957620687</v>
      </c>
      <c r="F249" s="188" t="str">
        <f t="shared" si="15"/>
        <v/>
      </c>
      <c r="H249" t="str">
        <f t="shared" si="18"/>
        <v/>
      </c>
      <c r="I249" s="188" t="str">
        <f t="shared" si="17"/>
        <v/>
      </c>
    </row>
    <row r="250" spans="1:9">
      <c r="A250">
        <v>247</v>
      </c>
      <c r="B250" s="46">
        <v>45447</v>
      </c>
      <c r="C250" s="166">
        <v>98.805928746552667</v>
      </c>
      <c r="D250" s="166">
        <v>62.145020957620687</v>
      </c>
      <c r="E250" s="166">
        <f t="shared" si="16"/>
        <v>62.145020957620687</v>
      </c>
      <c r="F250" s="188" t="str">
        <f t="shared" si="15"/>
        <v/>
      </c>
      <c r="H250" t="str">
        <f t="shared" si="18"/>
        <v/>
      </c>
      <c r="I250" s="188" t="str">
        <f t="shared" si="17"/>
        <v/>
      </c>
    </row>
    <row r="251" spans="1:9">
      <c r="A251">
        <v>248</v>
      </c>
      <c r="B251" s="46">
        <v>45448</v>
      </c>
      <c r="C251" s="166">
        <v>79.432074932758439</v>
      </c>
      <c r="D251" s="166">
        <v>62.145020957620687</v>
      </c>
      <c r="E251" s="166">
        <f t="shared" si="16"/>
        <v>62.145020957620687</v>
      </c>
      <c r="F251" s="188" t="str">
        <f t="shared" si="15"/>
        <v/>
      </c>
      <c r="H251" t="str">
        <f t="shared" si="18"/>
        <v/>
      </c>
      <c r="I251" s="188" t="str">
        <f t="shared" si="17"/>
        <v/>
      </c>
    </row>
    <row r="252" spans="1:9">
      <c r="A252">
        <v>249</v>
      </c>
      <c r="B252" s="46">
        <v>45449</v>
      </c>
      <c r="C252" s="166">
        <v>69.188575634758436</v>
      </c>
      <c r="D252" s="166">
        <v>62.145020957620687</v>
      </c>
      <c r="E252" s="166">
        <f t="shared" si="16"/>
        <v>62.145020957620687</v>
      </c>
      <c r="F252" s="188" t="str">
        <f t="shared" si="15"/>
        <v/>
      </c>
      <c r="H252" t="str">
        <f t="shared" si="18"/>
        <v/>
      </c>
      <c r="I252" s="188" t="str">
        <f t="shared" si="17"/>
        <v/>
      </c>
    </row>
    <row r="253" spans="1:9">
      <c r="A253">
        <v>250</v>
      </c>
      <c r="B253" s="46">
        <v>45450</v>
      </c>
      <c r="C253" s="166">
        <v>70.878695622756581</v>
      </c>
      <c r="D253" s="166">
        <v>62.145020957620687</v>
      </c>
      <c r="E253" s="166">
        <f t="shared" si="16"/>
        <v>62.145020957620687</v>
      </c>
      <c r="F253" s="188" t="str">
        <f t="shared" si="15"/>
        <v/>
      </c>
      <c r="H253" t="str">
        <f t="shared" si="18"/>
        <v/>
      </c>
      <c r="I253" s="188" t="str">
        <f t="shared" si="17"/>
        <v/>
      </c>
    </row>
    <row r="254" spans="1:9">
      <c r="A254">
        <v>251</v>
      </c>
      <c r="B254" s="46">
        <v>45451</v>
      </c>
      <c r="C254" s="166">
        <v>50.981575186758434</v>
      </c>
      <c r="D254" s="166">
        <v>62.145020957620687</v>
      </c>
      <c r="E254" s="166">
        <f t="shared" si="16"/>
        <v>50.981575186758434</v>
      </c>
      <c r="F254" s="188" t="str">
        <f t="shared" si="15"/>
        <v/>
      </c>
      <c r="H254" t="str">
        <f t="shared" si="18"/>
        <v/>
      </c>
      <c r="I254" s="188" t="str">
        <f t="shared" si="17"/>
        <v/>
      </c>
    </row>
    <row r="255" spans="1:9">
      <c r="A255">
        <v>252</v>
      </c>
      <c r="B255" s="46">
        <v>45452</v>
      </c>
      <c r="C255" s="166">
        <v>20.362609987756571</v>
      </c>
      <c r="D255" s="166">
        <v>62.145020957620687</v>
      </c>
      <c r="E255" s="166">
        <f t="shared" si="16"/>
        <v>20.362609987756571</v>
      </c>
      <c r="F255" s="188" t="str">
        <f t="shared" si="15"/>
        <v/>
      </c>
      <c r="H255" t="str">
        <f t="shared" si="18"/>
        <v/>
      </c>
      <c r="I255" s="188" t="str">
        <f t="shared" si="17"/>
        <v/>
      </c>
    </row>
    <row r="256" spans="1:9">
      <c r="A256">
        <v>253</v>
      </c>
      <c r="B256" s="46">
        <v>45453</v>
      </c>
      <c r="C256" s="166">
        <v>36.739903890758434</v>
      </c>
      <c r="D256" s="166">
        <v>62.145020957620687</v>
      </c>
      <c r="E256" s="166">
        <f t="shared" si="16"/>
        <v>36.739903890758434</v>
      </c>
      <c r="F256" s="188" t="str">
        <f t="shared" si="15"/>
        <v/>
      </c>
      <c r="H256" t="str">
        <f t="shared" si="18"/>
        <v/>
      </c>
      <c r="I256" s="188" t="str">
        <f t="shared" si="17"/>
        <v/>
      </c>
    </row>
    <row r="257" spans="1:9">
      <c r="A257">
        <v>254</v>
      </c>
      <c r="B257" s="46">
        <v>45454</v>
      </c>
      <c r="C257" s="166">
        <v>39.157048026758439</v>
      </c>
      <c r="D257" s="166">
        <v>62.145020957620687</v>
      </c>
      <c r="E257" s="166">
        <f t="shared" si="16"/>
        <v>39.157048026758439</v>
      </c>
      <c r="F257" s="188" t="str">
        <f t="shared" si="15"/>
        <v/>
      </c>
      <c r="H257" t="str">
        <f t="shared" si="18"/>
        <v/>
      </c>
      <c r="I257" s="188" t="str">
        <f t="shared" si="17"/>
        <v/>
      </c>
    </row>
    <row r="258" spans="1:9">
      <c r="A258">
        <v>255</v>
      </c>
      <c r="B258" s="46">
        <v>45455</v>
      </c>
      <c r="C258" s="166">
        <v>60.845410224167765</v>
      </c>
      <c r="D258" s="166">
        <v>62.145020957620687</v>
      </c>
      <c r="E258" s="166">
        <f t="shared" si="16"/>
        <v>60.845410224167765</v>
      </c>
      <c r="F258" s="188" t="str">
        <f t="shared" si="15"/>
        <v/>
      </c>
      <c r="H258" t="str">
        <f t="shared" si="18"/>
        <v/>
      </c>
      <c r="I258" s="188" t="str">
        <f t="shared" si="17"/>
        <v/>
      </c>
    </row>
    <row r="259" spans="1:9">
      <c r="A259">
        <v>256</v>
      </c>
      <c r="B259" s="46">
        <v>45456</v>
      </c>
      <c r="C259" s="166">
        <v>66.206468161169624</v>
      </c>
      <c r="D259" s="166">
        <v>62.145020957620687</v>
      </c>
      <c r="E259" s="166">
        <f t="shared" si="16"/>
        <v>62.145020957620687</v>
      </c>
      <c r="F259" s="188" t="str">
        <f t="shared" ref="F259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8" t="str">
        <f t="shared" si="17"/>
        <v/>
      </c>
    </row>
    <row r="260" spans="1:9">
      <c r="A260">
        <v>257</v>
      </c>
      <c r="B260" s="46">
        <v>45457</v>
      </c>
      <c r="C260" s="166">
        <v>57.264168413165898</v>
      </c>
      <c r="D260" s="166">
        <v>62.145020957620687</v>
      </c>
      <c r="E260" s="166">
        <f t="shared" ref="E260:E323" si="20">IF(C260&lt;D260,C260,D260)</f>
        <v>57.264168413165898</v>
      </c>
      <c r="F260" s="188" t="str">
        <f t="shared" ref="F260:F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t="str">
        <f t="shared" si="18"/>
        <v/>
      </c>
      <c r="I260" s="188" t="str">
        <f t="shared" ref="I260:I323" si="22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9">
      <c r="A261">
        <v>258</v>
      </c>
      <c r="B261" s="46">
        <v>45458</v>
      </c>
      <c r="C261" s="166">
        <v>31.127024317171482</v>
      </c>
      <c r="D261" s="166">
        <v>62.145020957620687</v>
      </c>
      <c r="E261" s="166">
        <f t="shared" si="20"/>
        <v>31.127024317171482</v>
      </c>
      <c r="F261" s="188" t="str">
        <f t="shared" si="21"/>
        <v>J</v>
      </c>
      <c r="G261" s="189">
        <f>IF(DAY(B261)=15,D261,"")</f>
        <v>62.145020957620687</v>
      </c>
      <c r="H261" t="str">
        <f t="shared" ref="H261:H324" si="23">IF(MONTH(B261)=1,IF(DAY(B261)=1,YEAR(B261),""),"")</f>
        <v/>
      </c>
      <c r="I261" s="188" t="str">
        <f t="shared" si="22"/>
        <v>J</v>
      </c>
    </row>
    <row r="262" spans="1:9">
      <c r="A262">
        <v>259</v>
      </c>
      <c r="B262" s="46">
        <v>45459</v>
      </c>
      <c r="C262" s="166">
        <v>37.974406523165896</v>
      </c>
      <c r="D262" s="166">
        <v>62.145020957620687</v>
      </c>
      <c r="E262" s="166">
        <f t="shared" si="20"/>
        <v>37.974406523165896</v>
      </c>
      <c r="F262" s="188" t="str">
        <f t="shared" si="21"/>
        <v/>
      </c>
      <c r="H262" t="str">
        <f t="shared" si="23"/>
        <v/>
      </c>
      <c r="I262" s="188" t="str">
        <f t="shared" si="22"/>
        <v/>
      </c>
    </row>
    <row r="263" spans="1:9">
      <c r="A263">
        <v>260</v>
      </c>
      <c r="B263" s="46">
        <v>45460</v>
      </c>
      <c r="C263" s="166">
        <v>59.228509084169623</v>
      </c>
      <c r="D263" s="166">
        <v>62.145020957620687</v>
      </c>
      <c r="E263" s="166">
        <f t="shared" si="20"/>
        <v>59.228509084169623</v>
      </c>
      <c r="F263" s="188" t="str">
        <f t="shared" si="21"/>
        <v/>
      </c>
      <c r="H263" t="str">
        <f t="shared" si="23"/>
        <v/>
      </c>
      <c r="I263" s="188" t="str">
        <f t="shared" si="22"/>
        <v/>
      </c>
    </row>
    <row r="264" spans="1:9">
      <c r="A264">
        <v>261</v>
      </c>
      <c r="B264" s="46">
        <v>45461</v>
      </c>
      <c r="C264" s="166">
        <v>81.494912965169632</v>
      </c>
      <c r="D264" s="166">
        <v>62.145020957620687</v>
      </c>
      <c r="E264" s="166">
        <f t="shared" si="20"/>
        <v>62.145020957620687</v>
      </c>
      <c r="F264" s="188" t="str">
        <f t="shared" si="21"/>
        <v/>
      </c>
      <c r="H264" t="str">
        <f t="shared" si="23"/>
        <v/>
      </c>
      <c r="I264" s="188" t="str">
        <f t="shared" si="22"/>
        <v/>
      </c>
    </row>
    <row r="265" spans="1:9">
      <c r="A265">
        <v>262</v>
      </c>
      <c r="B265" s="46">
        <v>45462</v>
      </c>
      <c r="C265" s="166">
        <v>86.923513643855273</v>
      </c>
      <c r="D265" s="166">
        <v>62.145020957620687</v>
      </c>
      <c r="E265" s="166">
        <f t="shared" si="20"/>
        <v>62.145020957620687</v>
      </c>
      <c r="F265" s="188" t="str">
        <f t="shared" si="21"/>
        <v/>
      </c>
      <c r="H265" t="str">
        <f t="shared" si="23"/>
        <v/>
      </c>
      <c r="I265" s="188" t="str">
        <f t="shared" si="22"/>
        <v/>
      </c>
    </row>
    <row r="266" spans="1:9">
      <c r="A266">
        <v>263</v>
      </c>
      <c r="B266" s="46">
        <v>45463</v>
      </c>
      <c r="C266" s="166">
        <v>75.492146505858997</v>
      </c>
      <c r="D266" s="166">
        <v>62.145020957620687</v>
      </c>
      <c r="E266" s="166">
        <f t="shared" si="20"/>
        <v>62.145020957620687</v>
      </c>
      <c r="F266" s="188" t="str">
        <f t="shared" si="21"/>
        <v/>
      </c>
      <c r="H266" t="str">
        <f t="shared" si="23"/>
        <v/>
      </c>
      <c r="I266" s="188" t="str">
        <f t="shared" si="22"/>
        <v/>
      </c>
    </row>
    <row r="267" spans="1:9">
      <c r="A267">
        <v>264</v>
      </c>
      <c r="B267" s="46">
        <v>45464</v>
      </c>
      <c r="C267" s="166">
        <v>73.267400409853408</v>
      </c>
      <c r="D267" s="166">
        <v>62.145020957620687</v>
      </c>
      <c r="E267" s="166">
        <f t="shared" si="20"/>
        <v>62.145020957620687</v>
      </c>
      <c r="F267" s="188" t="str">
        <f t="shared" si="21"/>
        <v/>
      </c>
      <c r="H267" t="str">
        <f t="shared" si="23"/>
        <v/>
      </c>
      <c r="I267" s="188" t="str">
        <f t="shared" si="22"/>
        <v/>
      </c>
    </row>
    <row r="268" spans="1:9">
      <c r="A268">
        <v>265</v>
      </c>
      <c r="B268" s="46">
        <v>45465</v>
      </c>
      <c r="C268" s="166">
        <v>49.069099326860858</v>
      </c>
      <c r="D268" s="166">
        <v>62.145020957620687</v>
      </c>
      <c r="E268" s="166">
        <f t="shared" si="20"/>
        <v>49.069099326860858</v>
      </c>
      <c r="F268" s="188" t="str">
        <f t="shared" si="21"/>
        <v/>
      </c>
      <c r="H268" t="str">
        <f t="shared" si="23"/>
        <v/>
      </c>
      <c r="I268" s="188" t="str">
        <f t="shared" si="22"/>
        <v/>
      </c>
    </row>
    <row r="269" spans="1:9">
      <c r="A269">
        <v>266</v>
      </c>
      <c r="B269" s="46">
        <v>45466</v>
      </c>
      <c r="C269" s="166">
        <v>35.045765844855275</v>
      </c>
      <c r="D269" s="166">
        <v>62.145020957620687</v>
      </c>
      <c r="E269" s="166">
        <f t="shared" si="20"/>
        <v>35.045765844855275</v>
      </c>
      <c r="F269" s="188" t="str">
        <f t="shared" si="21"/>
        <v/>
      </c>
      <c r="H269" t="str">
        <f t="shared" si="23"/>
        <v/>
      </c>
      <c r="I269" s="188" t="str">
        <f t="shared" si="22"/>
        <v/>
      </c>
    </row>
    <row r="270" spans="1:9">
      <c r="A270">
        <v>267</v>
      </c>
      <c r="B270" s="46">
        <v>45467</v>
      </c>
      <c r="C270" s="166">
        <v>54.089537297859003</v>
      </c>
      <c r="D270" s="166">
        <v>62.145020957620687</v>
      </c>
      <c r="E270" s="166">
        <f t="shared" si="20"/>
        <v>54.089537297859003</v>
      </c>
      <c r="F270" s="188" t="str">
        <f t="shared" si="21"/>
        <v/>
      </c>
      <c r="H270" t="str">
        <f t="shared" si="23"/>
        <v/>
      </c>
      <c r="I270" s="188" t="str">
        <f t="shared" si="22"/>
        <v/>
      </c>
    </row>
    <row r="271" spans="1:9">
      <c r="A271">
        <v>268</v>
      </c>
      <c r="B271" s="46">
        <v>45468</v>
      </c>
      <c r="C271" s="166">
        <v>69.452281835855274</v>
      </c>
      <c r="D271" s="166">
        <v>62.145020957620687</v>
      </c>
      <c r="E271" s="166">
        <f t="shared" si="20"/>
        <v>62.145020957620687</v>
      </c>
      <c r="F271" s="188" t="str">
        <f t="shared" si="21"/>
        <v/>
      </c>
      <c r="H271" t="str">
        <f t="shared" si="23"/>
        <v/>
      </c>
      <c r="I271" s="188" t="str">
        <f t="shared" si="22"/>
        <v/>
      </c>
    </row>
    <row r="272" spans="1:9">
      <c r="A272">
        <v>269</v>
      </c>
      <c r="B272" s="46">
        <v>45469</v>
      </c>
      <c r="C272" s="166">
        <v>62.754375802933225</v>
      </c>
      <c r="D272" s="166">
        <v>62.145020957620687</v>
      </c>
      <c r="E272" s="166">
        <f t="shared" si="20"/>
        <v>62.145020957620687</v>
      </c>
      <c r="F272" s="188" t="str">
        <f t="shared" si="21"/>
        <v/>
      </c>
      <c r="H272" t="str">
        <f t="shared" si="23"/>
        <v/>
      </c>
      <c r="I272" s="188" t="str">
        <f t="shared" si="22"/>
        <v/>
      </c>
    </row>
    <row r="273" spans="1:9">
      <c r="A273">
        <v>270</v>
      </c>
      <c r="B273" s="46">
        <v>45470</v>
      </c>
      <c r="C273" s="166">
        <v>58.297634420935076</v>
      </c>
      <c r="D273" s="166">
        <v>62.145020957620687</v>
      </c>
      <c r="E273" s="166">
        <f t="shared" si="20"/>
        <v>58.297634420935076</v>
      </c>
      <c r="F273" s="188" t="str">
        <f t="shared" si="21"/>
        <v/>
      </c>
      <c r="H273" t="str">
        <f t="shared" si="23"/>
        <v/>
      </c>
      <c r="I273" s="188" t="str">
        <f t="shared" si="22"/>
        <v/>
      </c>
    </row>
    <row r="274" spans="1:9">
      <c r="A274">
        <v>271</v>
      </c>
      <c r="B274" s="46">
        <v>45471</v>
      </c>
      <c r="C274" s="166">
        <v>52.009208182935076</v>
      </c>
      <c r="D274" s="166">
        <v>62.145020957620687</v>
      </c>
      <c r="E274" s="166">
        <f t="shared" si="20"/>
        <v>52.009208182935076</v>
      </c>
      <c r="F274" s="188" t="str">
        <f t="shared" si="21"/>
        <v/>
      </c>
      <c r="H274" t="str">
        <f t="shared" si="23"/>
        <v/>
      </c>
      <c r="I274" s="188" t="str">
        <f t="shared" si="22"/>
        <v/>
      </c>
    </row>
    <row r="275" spans="1:9">
      <c r="A275">
        <v>272</v>
      </c>
      <c r="B275" s="46">
        <v>45472</v>
      </c>
      <c r="C275" s="166">
        <v>34.695431029936955</v>
      </c>
      <c r="D275" s="166">
        <v>62.145020957620687</v>
      </c>
      <c r="E275" s="166">
        <f t="shared" si="20"/>
        <v>34.695431029936955</v>
      </c>
      <c r="F275" s="188" t="str">
        <f t="shared" si="21"/>
        <v/>
      </c>
      <c r="H275" t="str">
        <f t="shared" si="23"/>
        <v/>
      </c>
      <c r="I275" s="188" t="str">
        <f t="shared" si="22"/>
        <v/>
      </c>
    </row>
    <row r="276" spans="1:9">
      <c r="A276">
        <v>273</v>
      </c>
      <c r="B276" s="46">
        <v>45473</v>
      </c>
      <c r="C276" s="166">
        <v>31.637069029933219</v>
      </c>
      <c r="D276" s="166">
        <v>62.145020957620687</v>
      </c>
      <c r="E276" s="166">
        <f t="shared" si="20"/>
        <v>31.637069029933219</v>
      </c>
      <c r="F276" s="188" t="str">
        <f t="shared" si="21"/>
        <v/>
      </c>
      <c r="H276" t="str">
        <f t="shared" si="23"/>
        <v/>
      </c>
      <c r="I276" s="188" t="str">
        <f t="shared" si="22"/>
        <v/>
      </c>
    </row>
    <row r="277" spans="1:9">
      <c r="A277">
        <v>274</v>
      </c>
      <c r="B277" s="46">
        <v>45474</v>
      </c>
      <c r="C277" s="166">
        <v>21.495916996933222</v>
      </c>
      <c r="D277" s="166">
        <v>25.910326049029329</v>
      </c>
      <c r="E277" s="166">
        <f t="shared" si="20"/>
        <v>21.495916996933222</v>
      </c>
      <c r="F277" s="188" t="str">
        <f t="shared" si="21"/>
        <v/>
      </c>
      <c r="H277" t="str">
        <f t="shared" si="23"/>
        <v/>
      </c>
      <c r="I277" s="188" t="str">
        <f t="shared" si="22"/>
        <v/>
      </c>
    </row>
    <row r="278" spans="1:9">
      <c r="A278">
        <v>275</v>
      </c>
      <c r="B278" s="46">
        <v>45475</v>
      </c>
      <c r="C278" s="166">
        <v>34.492029538935078</v>
      </c>
      <c r="D278" s="166">
        <v>25.910326049029329</v>
      </c>
      <c r="E278" s="166">
        <f t="shared" si="20"/>
        <v>25.910326049029329</v>
      </c>
      <c r="F278" s="188" t="str">
        <f t="shared" si="21"/>
        <v/>
      </c>
      <c r="H278" t="str">
        <f t="shared" si="23"/>
        <v/>
      </c>
      <c r="I278" s="188" t="str">
        <f t="shared" si="22"/>
        <v/>
      </c>
    </row>
    <row r="279" spans="1:9">
      <c r="A279">
        <v>276</v>
      </c>
      <c r="B279" s="46">
        <v>45476</v>
      </c>
      <c r="C279" s="166">
        <v>52.16376323260716</v>
      </c>
      <c r="D279" s="166">
        <v>25.910326049029329</v>
      </c>
      <c r="E279" s="166">
        <f t="shared" si="20"/>
        <v>25.910326049029329</v>
      </c>
      <c r="F279" s="188" t="str">
        <f t="shared" si="21"/>
        <v/>
      </c>
      <c r="H279" t="str">
        <f t="shared" si="23"/>
        <v/>
      </c>
      <c r="I279" s="188" t="str">
        <f t="shared" si="22"/>
        <v/>
      </c>
    </row>
    <row r="280" spans="1:9">
      <c r="A280">
        <v>277</v>
      </c>
      <c r="B280" s="46">
        <v>45477</v>
      </c>
      <c r="C280" s="166">
        <v>44.163039307609026</v>
      </c>
      <c r="D280" s="166">
        <v>25.910326049029329</v>
      </c>
      <c r="E280" s="166">
        <f t="shared" si="20"/>
        <v>25.910326049029329</v>
      </c>
      <c r="F280" s="188" t="str">
        <f t="shared" si="21"/>
        <v/>
      </c>
      <c r="H280" t="str">
        <f t="shared" si="23"/>
        <v/>
      </c>
      <c r="I280" s="188" t="str">
        <f t="shared" si="22"/>
        <v/>
      </c>
    </row>
    <row r="281" spans="1:9">
      <c r="A281">
        <v>278</v>
      </c>
      <c r="B281" s="46">
        <v>45478</v>
      </c>
      <c r="C281" s="166">
        <v>45.345475433607163</v>
      </c>
      <c r="D281" s="166">
        <v>25.910326049029329</v>
      </c>
      <c r="E281" s="166">
        <f t="shared" si="20"/>
        <v>25.910326049029329</v>
      </c>
      <c r="F281" s="188" t="str">
        <f t="shared" si="21"/>
        <v/>
      </c>
      <c r="H281" t="str">
        <f t="shared" si="23"/>
        <v/>
      </c>
      <c r="I281" s="188" t="str">
        <f t="shared" si="22"/>
        <v/>
      </c>
    </row>
    <row r="282" spans="1:9">
      <c r="A282">
        <v>279</v>
      </c>
      <c r="B282" s="46">
        <v>45479</v>
      </c>
      <c r="C282" s="166">
        <v>15.12081097160717</v>
      </c>
      <c r="D282" s="166">
        <v>25.910326049029329</v>
      </c>
      <c r="E282" s="166">
        <f t="shared" si="20"/>
        <v>15.12081097160717</v>
      </c>
      <c r="F282" s="188" t="str">
        <f t="shared" si="21"/>
        <v/>
      </c>
      <c r="H282" t="str">
        <f t="shared" si="23"/>
        <v/>
      </c>
      <c r="I282" s="188" t="str">
        <f t="shared" si="22"/>
        <v/>
      </c>
    </row>
    <row r="283" spans="1:9">
      <c r="A283">
        <v>280</v>
      </c>
      <c r="B283" s="46">
        <v>45480</v>
      </c>
      <c r="C283" s="166">
        <v>19.39214861760717</v>
      </c>
      <c r="D283" s="166">
        <v>25.910326049029329</v>
      </c>
      <c r="E283" s="166">
        <f t="shared" si="20"/>
        <v>19.39214861760717</v>
      </c>
      <c r="F283" s="188" t="str">
        <f t="shared" si="21"/>
        <v/>
      </c>
      <c r="H283" t="str">
        <f t="shared" si="23"/>
        <v/>
      </c>
      <c r="I283" s="188" t="str">
        <f t="shared" si="22"/>
        <v/>
      </c>
    </row>
    <row r="284" spans="1:9">
      <c r="A284">
        <v>281</v>
      </c>
      <c r="B284" s="46">
        <v>45481</v>
      </c>
      <c r="C284" s="166">
        <v>35.733574139609033</v>
      </c>
      <c r="D284" s="166">
        <v>25.910326049029329</v>
      </c>
      <c r="E284" s="166">
        <f t="shared" si="20"/>
        <v>25.910326049029329</v>
      </c>
      <c r="F284" s="188" t="str">
        <f t="shared" si="21"/>
        <v/>
      </c>
      <c r="H284" t="str">
        <f t="shared" si="23"/>
        <v/>
      </c>
      <c r="I284" s="188" t="str">
        <f t="shared" si="22"/>
        <v/>
      </c>
    </row>
    <row r="285" spans="1:9">
      <c r="A285">
        <v>282</v>
      </c>
      <c r="B285" s="46">
        <v>45482</v>
      </c>
      <c r="C285" s="166">
        <v>42.921010012607162</v>
      </c>
      <c r="D285" s="166">
        <v>25.910326049029329</v>
      </c>
      <c r="E285" s="166">
        <f t="shared" si="20"/>
        <v>25.910326049029329</v>
      </c>
      <c r="F285" s="188" t="str">
        <f t="shared" si="21"/>
        <v/>
      </c>
      <c r="H285" t="str">
        <f t="shared" si="23"/>
        <v/>
      </c>
      <c r="I285" s="188" t="str">
        <f t="shared" si="22"/>
        <v/>
      </c>
    </row>
    <row r="286" spans="1:9">
      <c r="A286">
        <v>283</v>
      </c>
      <c r="B286" s="46">
        <v>45483</v>
      </c>
      <c r="C286" s="166">
        <v>42.444933230845052</v>
      </c>
      <c r="D286" s="166">
        <v>25.910326049029329</v>
      </c>
      <c r="E286" s="166">
        <f t="shared" si="20"/>
        <v>25.910326049029329</v>
      </c>
      <c r="F286" s="188" t="str">
        <f t="shared" si="21"/>
        <v/>
      </c>
      <c r="H286" t="str">
        <f t="shared" si="23"/>
        <v/>
      </c>
      <c r="I286" s="188" t="str">
        <f t="shared" si="22"/>
        <v/>
      </c>
    </row>
    <row r="287" spans="1:9">
      <c r="A287">
        <v>284</v>
      </c>
      <c r="B287" s="46">
        <v>45484</v>
      </c>
      <c r="C287" s="166">
        <v>42.768076100841327</v>
      </c>
      <c r="D287" s="166">
        <v>25.910326049029329</v>
      </c>
      <c r="E287" s="166">
        <f t="shared" si="20"/>
        <v>25.910326049029329</v>
      </c>
      <c r="F287" s="188" t="str">
        <f t="shared" si="21"/>
        <v/>
      </c>
      <c r="H287" t="str">
        <f t="shared" si="23"/>
        <v/>
      </c>
      <c r="I287" s="188" t="str">
        <f t="shared" si="22"/>
        <v/>
      </c>
    </row>
    <row r="288" spans="1:9">
      <c r="A288">
        <v>285</v>
      </c>
      <c r="B288" s="46">
        <v>45485</v>
      </c>
      <c r="C288" s="166">
        <v>27.577513094843191</v>
      </c>
      <c r="D288" s="166">
        <v>25.910326049029329</v>
      </c>
      <c r="E288" s="166">
        <f t="shared" si="20"/>
        <v>25.910326049029329</v>
      </c>
      <c r="F288" s="188" t="str">
        <f t="shared" si="21"/>
        <v/>
      </c>
      <c r="H288" t="str">
        <f t="shared" si="23"/>
        <v/>
      </c>
      <c r="I288" s="188" t="str">
        <f t="shared" si="22"/>
        <v/>
      </c>
    </row>
    <row r="289" spans="1:9">
      <c r="A289">
        <v>286</v>
      </c>
      <c r="B289" s="46">
        <v>45486</v>
      </c>
      <c r="C289" s="166">
        <v>13.606924256841332</v>
      </c>
      <c r="D289" s="166">
        <v>25.910326049029329</v>
      </c>
      <c r="E289" s="166">
        <f t="shared" si="20"/>
        <v>13.606924256841332</v>
      </c>
      <c r="F289" s="188" t="str">
        <f t="shared" si="21"/>
        <v/>
      </c>
      <c r="H289" t="str">
        <f t="shared" si="23"/>
        <v/>
      </c>
      <c r="I289" s="188" t="str">
        <f t="shared" si="22"/>
        <v/>
      </c>
    </row>
    <row r="290" spans="1:9">
      <c r="A290">
        <v>287</v>
      </c>
      <c r="B290" s="46">
        <v>45487</v>
      </c>
      <c r="C290" s="166">
        <v>5.4347649878450541</v>
      </c>
      <c r="D290" s="166">
        <v>25.910326049029329</v>
      </c>
      <c r="E290" s="166">
        <f t="shared" si="20"/>
        <v>5.4347649878450541</v>
      </c>
      <c r="F290" s="188" t="str">
        <f t="shared" si="21"/>
        <v/>
      </c>
      <c r="H290" t="str">
        <f t="shared" si="23"/>
        <v/>
      </c>
      <c r="I290" s="188" t="str">
        <f t="shared" si="22"/>
        <v/>
      </c>
    </row>
    <row r="291" spans="1:9">
      <c r="A291">
        <v>288</v>
      </c>
      <c r="B291" s="46">
        <v>45488</v>
      </c>
      <c r="C291" s="166">
        <v>11.368316333841328</v>
      </c>
      <c r="D291" s="166">
        <v>25.910326049029329</v>
      </c>
      <c r="E291" s="166">
        <f t="shared" si="20"/>
        <v>11.368316333841328</v>
      </c>
      <c r="F291" s="188" t="str">
        <f t="shared" si="21"/>
        <v>J</v>
      </c>
      <c r="G291" s="189">
        <f>IF(DAY(B291)=15,D291,"")</f>
        <v>25.910326049029329</v>
      </c>
      <c r="H291" t="str">
        <f t="shared" si="23"/>
        <v/>
      </c>
      <c r="I291" s="188" t="str">
        <f t="shared" si="22"/>
        <v>J</v>
      </c>
    </row>
    <row r="292" spans="1:9">
      <c r="A292">
        <v>289</v>
      </c>
      <c r="B292" s="46">
        <v>45489</v>
      </c>
      <c r="C292" s="166">
        <v>34.957289322846918</v>
      </c>
      <c r="D292" s="166">
        <v>25.910326049029329</v>
      </c>
      <c r="E292" s="166">
        <f t="shared" si="20"/>
        <v>25.910326049029329</v>
      </c>
      <c r="F292" s="188" t="str">
        <f t="shared" si="21"/>
        <v/>
      </c>
      <c r="H292" t="str">
        <f t="shared" si="23"/>
        <v/>
      </c>
      <c r="I292" s="188" t="str">
        <f t="shared" si="22"/>
        <v/>
      </c>
    </row>
    <row r="293" spans="1:9">
      <c r="A293">
        <v>290</v>
      </c>
      <c r="B293" s="46">
        <v>45490</v>
      </c>
      <c r="C293" s="166">
        <v>27.107350574998883</v>
      </c>
      <c r="D293" s="166">
        <v>25.910326049029329</v>
      </c>
      <c r="E293" s="166">
        <f t="shared" si="20"/>
        <v>25.910326049029329</v>
      </c>
      <c r="F293" s="188" t="str">
        <f t="shared" si="21"/>
        <v/>
      </c>
      <c r="H293" t="str">
        <f t="shared" si="23"/>
        <v/>
      </c>
      <c r="I293" s="188" t="str">
        <f t="shared" si="22"/>
        <v/>
      </c>
    </row>
    <row r="294" spans="1:9">
      <c r="A294">
        <v>291</v>
      </c>
      <c r="B294" s="46">
        <v>45491</v>
      </c>
      <c r="C294" s="166">
        <v>47.384967555000735</v>
      </c>
      <c r="D294" s="166">
        <v>25.910326049029329</v>
      </c>
      <c r="E294" s="166">
        <f t="shared" si="20"/>
        <v>25.910326049029329</v>
      </c>
      <c r="F294" s="188" t="str">
        <f t="shared" si="21"/>
        <v/>
      </c>
      <c r="H294" t="str">
        <f t="shared" si="23"/>
        <v/>
      </c>
      <c r="I294" s="188" t="str">
        <f t="shared" si="22"/>
        <v/>
      </c>
    </row>
    <row r="295" spans="1:9">
      <c r="A295">
        <v>292</v>
      </c>
      <c r="B295" s="46">
        <v>45492</v>
      </c>
      <c r="C295" s="166">
        <v>32.610105791002596</v>
      </c>
      <c r="D295" s="166">
        <v>25.910326049029329</v>
      </c>
      <c r="E295" s="166">
        <f t="shared" si="20"/>
        <v>25.910326049029329</v>
      </c>
      <c r="F295" s="188" t="str">
        <f t="shared" si="21"/>
        <v/>
      </c>
      <c r="H295" t="str">
        <f t="shared" si="23"/>
        <v/>
      </c>
      <c r="I295" s="188" t="str">
        <f t="shared" si="22"/>
        <v/>
      </c>
    </row>
    <row r="296" spans="1:9">
      <c r="A296">
        <v>293</v>
      </c>
      <c r="B296" s="46">
        <v>45493</v>
      </c>
      <c r="C296" s="166">
        <v>2.8838368070007419</v>
      </c>
      <c r="D296" s="166">
        <v>25.910326049029329</v>
      </c>
      <c r="E296" s="166">
        <f t="shared" si="20"/>
        <v>2.8838368070007419</v>
      </c>
      <c r="F296" s="188" t="str">
        <f t="shared" si="21"/>
        <v/>
      </c>
      <c r="H296" t="str">
        <f t="shared" si="23"/>
        <v/>
      </c>
      <c r="I296" s="188" t="str">
        <f t="shared" si="22"/>
        <v/>
      </c>
    </row>
    <row r="297" spans="1:9">
      <c r="A297">
        <v>294</v>
      </c>
      <c r="B297" s="46">
        <v>45494</v>
      </c>
      <c r="C297" s="166">
        <v>2.773625599002604</v>
      </c>
      <c r="D297" s="166">
        <v>25.910326049029329</v>
      </c>
      <c r="E297" s="166">
        <f t="shared" si="20"/>
        <v>2.773625599002604</v>
      </c>
      <c r="F297" s="188" t="str">
        <f t="shared" si="21"/>
        <v/>
      </c>
      <c r="H297" t="str">
        <f t="shared" si="23"/>
        <v/>
      </c>
      <c r="I297" s="188" t="str">
        <f t="shared" si="22"/>
        <v/>
      </c>
    </row>
    <row r="298" spans="1:9">
      <c r="A298">
        <v>295</v>
      </c>
      <c r="B298" s="46">
        <v>45495</v>
      </c>
      <c r="C298" s="166">
        <v>2.6918520630007405</v>
      </c>
      <c r="D298" s="166">
        <v>25.910326049029329</v>
      </c>
      <c r="E298" s="166">
        <f t="shared" si="20"/>
        <v>2.6918520630007405</v>
      </c>
      <c r="F298" s="188" t="str">
        <f t="shared" si="21"/>
        <v/>
      </c>
      <c r="H298" t="str">
        <f t="shared" si="23"/>
        <v/>
      </c>
      <c r="I298" s="188" t="str">
        <f t="shared" si="22"/>
        <v/>
      </c>
    </row>
    <row r="299" spans="1:9">
      <c r="A299">
        <v>296</v>
      </c>
      <c r="B299" s="46">
        <v>45496</v>
      </c>
      <c r="C299" s="166">
        <v>4.8173808750007447</v>
      </c>
      <c r="D299" s="166">
        <v>25.910326049029329</v>
      </c>
      <c r="E299" s="166">
        <f t="shared" si="20"/>
        <v>4.8173808750007447</v>
      </c>
      <c r="F299" s="188" t="str">
        <f t="shared" si="21"/>
        <v/>
      </c>
      <c r="H299" t="str">
        <f t="shared" si="23"/>
        <v/>
      </c>
      <c r="I299" s="188" t="str">
        <f t="shared" si="22"/>
        <v/>
      </c>
    </row>
    <row r="300" spans="1:9">
      <c r="A300">
        <v>297</v>
      </c>
      <c r="B300" s="46">
        <v>45497</v>
      </c>
      <c r="C300" s="166">
        <v>28.556996525535084</v>
      </c>
      <c r="D300" s="166">
        <v>25.910326049029329</v>
      </c>
      <c r="E300" s="166">
        <f t="shared" si="20"/>
        <v>25.910326049029329</v>
      </c>
      <c r="F300" s="188" t="str">
        <f t="shared" si="21"/>
        <v/>
      </c>
      <c r="H300" t="str">
        <f t="shared" si="23"/>
        <v/>
      </c>
      <c r="I300" s="188" t="str">
        <f t="shared" si="22"/>
        <v/>
      </c>
    </row>
    <row r="301" spans="1:9">
      <c r="A301">
        <v>298</v>
      </c>
      <c r="B301" s="46">
        <v>45498</v>
      </c>
      <c r="C301" s="166">
        <v>14.895582087538802</v>
      </c>
      <c r="D301" s="166">
        <v>25.910326049029329</v>
      </c>
      <c r="E301" s="166">
        <f t="shared" si="20"/>
        <v>14.895582087538802</v>
      </c>
      <c r="F301" s="188" t="str">
        <f t="shared" si="21"/>
        <v/>
      </c>
      <c r="H301" t="str">
        <f t="shared" si="23"/>
        <v/>
      </c>
      <c r="I301" s="188" t="str">
        <f t="shared" si="22"/>
        <v/>
      </c>
    </row>
    <row r="302" spans="1:9">
      <c r="A302">
        <v>299</v>
      </c>
      <c r="B302" s="46">
        <v>45499</v>
      </c>
      <c r="C302" s="166">
        <v>13.942140612535077</v>
      </c>
      <c r="D302" s="166">
        <v>25.910326049029329</v>
      </c>
      <c r="E302" s="166">
        <f t="shared" si="20"/>
        <v>13.942140612535077</v>
      </c>
      <c r="F302" s="188" t="str">
        <f t="shared" si="21"/>
        <v/>
      </c>
      <c r="H302" t="str">
        <f t="shared" si="23"/>
        <v/>
      </c>
      <c r="I302" s="188" t="str">
        <f t="shared" si="22"/>
        <v/>
      </c>
    </row>
    <row r="303" spans="1:9">
      <c r="A303">
        <v>300</v>
      </c>
      <c r="B303" s="46">
        <v>45500</v>
      </c>
      <c r="C303" s="166">
        <v>8.5909319685369407</v>
      </c>
      <c r="D303" s="166">
        <v>25.910326049029329</v>
      </c>
      <c r="E303" s="166">
        <f t="shared" si="20"/>
        <v>8.5909319685369407</v>
      </c>
      <c r="F303" s="188" t="str">
        <f t="shared" si="21"/>
        <v/>
      </c>
      <c r="H303" t="str">
        <f t="shared" si="23"/>
        <v/>
      </c>
      <c r="I303" s="188" t="str">
        <f t="shared" si="22"/>
        <v/>
      </c>
    </row>
    <row r="304" spans="1:9">
      <c r="A304">
        <v>301</v>
      </c>
      <c r="B304" s="46">
        <v>45501</v>
      </c>
      <c r="C304" s="166">
        <v>2.8758978345369397</v>
      </c>
      <c r="D304" s="166">
        <v>25.910326049029329</v>
      </c>
      <c r="E304" s="166">
        <f t="shared" si="20"/>
        <v>2.8758978345369397</v>
      </c>
      <c r="F304" s="188" t="str">
        <f t="shared" si="21"/>
        <v/>
      </c>
      <c r="H304" t="str">
        <f t="shared" si="23"/>
        <v/>
      </c>
      <c r="I304" s="188" t="str">
        <f t="shared" si="22"/>
        <v/>
      </c>
    </row>
    <row r="305" spans="1:9">
      <c r="A305">
        <v>302</v>
      </c>
      <c r="B305" s="46">
        <v>45502</v>
      </c>
      <c r="C305" s="166">
        <v>19.15130785353508</v>
      </c>
      <c r="D305" s="166">
        <v>25.910326049029329</v>
      </c>
      <c r="E305" s="166">
        <f t="shared" si="20"/>
        <v>19.15130785353508</v>
      </c>
      <c r="F305" s="188" t="str">
        <f t="shared" si="21"/>
        <v/>
      </c>
      <c r="H305" t="str">
        <f t="shared" si="23"/>
        <v/>
      </c>
      <c r="I305" s="188" t="str">
        <f t="shared" si="22"/>
        <v/>
      </c>
    </row>
    <row r="306" spans="1:9">
      <c r="A306">
        <v>303</v>
      </c>
      <c r="B306" s="46">
        <v>45503</v>
      </c>
      <c r="C306" s="166">
        <v>16.346622300538801</v>
      </c>
      <c r="D306" s="166">
        <v>25.910326049029329</v>
      </c>
      <c r="E306" s="166">
        <f t="shared" si="20"/>
        <v>16.346622300538801</v>
      </c>
      <c r="F306" s="188" t="str">
        <f t="shared" si="21"/>
        <v/>
      </c>
      <c r="H306" t="str">
        <f t="shared" si="23"/>
        <v/>
      </c>
      <c r="I306" s="188" t="str">
        <f t="shared" si="22"/>
        <v/>
      </c>
    </row>
    <row r="307" spans="1:9">
      <c r="A307">
        <v>304</v>
      </c>
      <c r="B307" s="46">
        <v>45504</v>
      </c>
      <c r="C307" s="166">
        <v>24.35939520223344</v>
      </c>
      <c r="D307" s="166">
        <v>25.910326049029329</v>
      </c>
      <c r="E307" s="166">
        <f t="shared" si="20"/>
        <v>24.35939520223344</v>
      </c>
      <c r="F307" s="188" t="str">
        <f t="shared" si="21"/>
        <v/>
      </c>
      <c r="H307" t="str">
        <f t="shared" si="23"/>
        <v/>
      </c>
      <c r="I307" s="188" t="str">
        <f t="shared" si="22"/>
        <v/>
      </c>
    </row>
    <row r="308" spans="1:9">
      <c r="A308">
        <v>305</v>
      </c>
      <c r="B308" s="46">
        <v>45505</v>
      </c>
      <c r="C308" s="166">
        <v>3.2914033582334379</v>
      </c>
      <c r="D308" s="166">
        <v>15.363630405709555</v>
      </c>
      <c r="E308" s="166">
        <f t="shared" si="20"/>
        <v>3.2914033582334379</v>
      </c>
      <c r="F308" s="188" t="str">
        <f t="shared" si="21"/>
        <v/>
      </c>
      <c r="H308" t="str">
        <f t="shared" si="23"/>
        <v/>
      </c>
      <c r="I308" s="188" t="str">
        <f t="shared" si="22"/>
        <v/>
      </c>
    </row>
    <row r="309" spans="1:9">
      <c r="A309">
        <v>306</v>
      </c>
      <c r="B309" s="46">
        <v>45506</v>
      </c>
      <c r="C309" s="166">
        <v>1.8560847702352985</v>
      </c>
      <c r="D309" s="166">
        <v>15.363630405709555</v>
      </c>
      <c r="E309" s="166">
        <f t="shared" si="20"/>
        <v>1.8560847702352985</v>
      </c>
      <c r="F309" s="188" t="str">
        <f t="shared" si="21"/>
        <v/>
      </c>
      <c r="H309" t="str">
        <f t="shared" si="23"/>
        <v/>
      </c>
      <c r="I309" s="188" t="str">
        <f t="shared" si="22"/>
        <v/>
      </c>
    </row>
    <row r="310" spans="1:9">
      <c r="A310">
        <v>307</v>
      </c>
      <c r="B310" s="46">
        <v>45507</v>
      </c>
      <c r="C310" s="166">
        <v>3.1090699312334329</v>
      </c>
      <c r="D310" s="166">
        <v>15.363630405709555</v>
      </c>
      <c r="E310" s="166">
        <f t="shared" si="20"/>
        <v>3.1090699312334329</v>
      </c>
      <c r="F310" s="188" t="str">
        <f t="shared" si="21"/>
        <v/>
      </c>
      <c r="H310" t="str">
        <f t="shared" si="23"/>
        <v/>
      </c>
      <c r="I310" s="188" t="str">
        <f t="shared" si="22"/>
        <v/>
      </c>
    </row>
    <row r="311" spans="1:9">
      <c r="A311">
        <v>308</v>
      </c>
      <c r="B311" s="46">
        <v>45508</v>
      </c>
      <c r="C311" s="166">
        <v>2.4807760832334314</v>
      </c>
      <c r="D311" s="166">
        <v>15.363630405709555</v>
      </c>
      <c r="E311" s="166">
        <f t="shared" si="20"/>
        <v>2.4807760832334314</v>
      </c>
      <c r="F311" s="188" t="str">
        <f t="shared" si="21"/>
        <v/>
      </c>
      <c r="H311" t="str">
        <f t="shared" si="23"/>
        <v/>
      </c>
      <c r="I311" s="188" t="str">
        <f t="shared" si="22"/>
        <v/>
      </c>
    </row>
    <row r="312" spans="1:9">
      <c r="A312">
        <v>309</v>
      </c>
      <c r="B312" s="46">
        <v>45509</v>
      </c>
      <c r="C312" s="166">
        <v>3.27927523323716</v>
      </c>
      <c r="D312" s="166">
        <v>15.363630405709555</v>
      </c>
      <c r="E312" s="166">
        <f t="shared" si="20"/>
        <v>3.27927523323716</v>
      </c>
      <c r="F312" s="188" t="str">
        <f t="shared" si="21"/>
        <v/>
      </c>
      <c r="H312" t="str">
        <f t="shared" si="23"/>
        <v/>
      </c>
      <c r="I312" s="188" t="str">
        <f t="shared" si="22"/>
        <v/>
      </c>
    </row>
    <row r="313" spans="1:9">
      <c r="A313">
        <v>310</v>
      </c>
      <c r="B313" s="46">
        <v>45510</v>
      </c>
      <c r="C313" s="166">
        <v>3.0810359062334318</v>
      </c>
      <c r="D313" s="166">
        <v>15.363630405709555</v>
      </c>
      <c r="E313" s="166">
        <f t="shared" si="20"/>
        <v>3.0810359062334318</v>
      </c>
      <c r="F313" s="188" t="str">
        <f t="shared" si="21"/>
        <v/>
      </c>
      <c r="H313" t="str">
        <f t="shared" si="23"/>
        <v/>
      </c>
      <c r="I313" s="188" t="str">
        <f t="shared" si="22"/>
        <v/>
      </c>
    </row>
    <row r="314" spans="1:9">
      <c r="A314">
        <v>311</v>
      </c>
      <c r="B314" s="46">
        <v>45511</v>
      </c>
      <c r="C314" s="166">
        <v>3.19426276293696</v>
      </c>
      <c r="D314" s="166">
        <v>15.363630405709555</v>
      </c>
      <c r="E314" s="166">
        <f t="shared" si="20"/>
        <v>3.19426276293696</v>
      </c>
      <c r="F314" s="188" t="str">
        <f t="shared" si="21"/>
        <v/>
      </c>
      <c r="H314" t="str">
        <f t="shared" si="23"/>
        <v/>
      </c>
      <c r="I314" s="188" t="str">
        <f t="shared" si="22"/>
        <v/>
      </c>
    </row>
    <row r="315" spans="1:9">
      <c r="A315">
        <v>312</v>
      </c>
      <c r="B315" s="46">
        <v>45512</v>
      </c>
      <c r="C315" s="166">
        <v>3.3697791099406897</v>
      </c>
      <c r="D315" s="166">
        <v>15.363630405709555</v>
      </c>
      <c r="E315" s="166">
        <f t="shared" si="20"/>
        <v>3.3697791099406897</v>
      </c>
      <c r="F315" s="188" t="str">
        <f t="shared" si="21"/>
        <v/>
      </c>
      <c r="H315" t="str">
        <f t="shared" si="23"/>
        <v/>
      </c>
      <c r="I315" s="188" t="str">
        <f t="shared" si="22"/>
        <v/>
      </c>
    </row>
    <row r="316" spans="1:9">
      <c r="A316">
        <v>313</v>
      </c>
      <c r="B316" s="46">
        <v>45513</v>
      </c>
      <c r="C316" s="166">
        <v>3.9030743759388278</v>
      </c>
      <c r="D316" s="166">
        <v>15.363630405709555</v>
      </c>
      <c r="E316" s="166">
        <f t="shared" si="20"/>
        <v>3.9030743759388278</v>
      </c>
      <c r="F316" s="188" t="str">
        <f t="shared" si="21"/>
        <v/>
      </c>
      <c r="H316" t="str">
        <f t="shared" si="23"/>
        <v/>
      </c>
      <c r="I316" s="188" t="str">
        <f t="shared" si="22"/>
        <v/>
      </c>
    </row>
    <row r="317" spans="1:9">
      <c r="A317">
        <v>314</v>
      </c>
      <c r="B317" s="46">
        <v>45514</v>
      </c>
      <c r="C317" s="166">
        <v>2.8245451479388213</v>
      </c>
      <c r="D317" s="166">
        <v>15.363630405709555</v>
      </c>
      <c r="E317" s="166">
        <f t="shared" si="20"/>
        <v>2.8245451479388213</v>
      </c>
      <c r="F317" s="188" t="str">
        <f t="shared" si="21"/>
        <v/>
      </c>
      <c r="H317" t="str">
        <f t="shared" si="23"/>
        <v/>
      </c>
      <c r="I317" s="188" t="str">
        <f t="shared" si="22"/>
        <v/>
      </c>
    </row>
    <row r="318" spans="1:9">
      <c r="A318">
        <v>315</v>
      </c>
      <c r="B318" s="46">
        <v>45515</v>
      </c>
      <c r="C318" s="166">
        <v>3.2445350539369611</v>
      </c>
      <c r="D318" s="166">
        <v>15.363630405709555</v>
      </c>
      <c r="E318" s="166">
        <f t="shared" si="20"/>
        <v>3.2445350539369611</v>
      </c>
      <c r="F318" s="188" t="str">
        <f t="shared" si="21"/>
        <v/>
      </c>
      <c r="H318" t="str">
        <f t="shared" si="23"/>
        <v/>
      </c>
      <c r="I318" s="188" t="str">
        <f t="shared" si="22"/>
        <v/>
      </c>
    </row>
    <row r="319" spans="1:9">
      <c r="A319">
        <v>316</v>
      </c>
      <c r="B319" s="46">
        <v>45516</v>
      </c>
      <c r="C319" s="166">
        <v>2.3591191749406861</v>
      </c>
      <c r="D319" s="166">
        <v>15.363630405709555</v>
      </c>
      <c r="E319" s="166">
        <f t="shared" si="20"/>
        <v>2.3591191749406861</v>
      </c>
      <c r="F319" s="188" t="str">
        <f t="shared" si="21"/>
        <v/>
      </c>
      <c r="H319" t="str">
        <f t="shared" si="23"/>
        <v/>
      </c>
      <c r="I319" s="188" t="str">
        <f t="shared" si="22"/>
        <v/>
      </c>
    </row>
    <row r="320" spans="1:9">
      <c r="A320">
        <v>317</v>
      </c>
      <c r="B320" s="46">
        <v>45517</v>
      </c>
      <c r="C320" s="166">
        <v>6.1163461269388204</v>
      </c>
      <c r="D320" s="166">
        <v>15.363630405709555</v>
      </c>
      <c r="E320" s="166">
        <f t="shared" si="20"/>
        <v>6.1163461269388204</v>
      </c>
      <c r="F320" s="188" t="str">
        <f t="shared" si="21"/>
        <v/>
      </c>
      <c r="H320" t="str">
        <f t="shared" si="23"/>
        <v/>
      </c>
      <c r="I320" s="188" t="str">
        <f t="shared" si="22"/>
        <v/>
      </c>
    </row>
    <row r="321" spans="1:9">
      <c r="A321">
        <v>318</v>
      </c>
      <c r="B321" s="46">
        <v>45518</v>
      </c>
      <c r="C321" s="166">
        <v>11.974662251003625</v>
      </c>
      <c r="D321" s="166">
        <v>15.363630405709555</v>
      </c>
      <c r="E321" s="166">
        <f t="shared" si="20"/>
        <v>11.974662251003625</v>
      </c>
      <c r="F321" s="188" t="str">
        <f t="shared" si="21"/>
        <v/>
      </c>
      <c r="H321" t="str">
        <f t="shared" si="23"/>
        <v/>
      </c>
      <c r="I321" s="188" t="str">
        <f t="shared" si="22"/>
        <v/>
      </c>
    </row>
    <row r="322" spans="1:9">
      <c r="A322">
        <v>319</v>
      </c>
      <c r="B322" s="46">
        <v>45519</v>
      </c>
      <c r="C322" s="166">
        <v>2.313891444005487</v>
      </c>
      <c r="D322" s="166">
        <v>15.363630405709555</v>
      </c>
      <c r="E322" s="166">
        <f t="shared" si="20"/>
        <v>2.313891444005487</v>
      </c>
      <c r="F322" s="188" t="str">
        <f t="shared" si="21"/>
        <v>A</v>
      </c>
      <c r="G322" s="189">
        <f>IF(DAY(B322)=15,D322,"")</f>
        <v>15.363630405709555</v>
      </c>
      <c r="H322" t="str">
        <f t="shared" si="23"/>
        <v/>
      </c>
      <c r="I322" s="188" t="str">
        <f t="shared" si="22"/>
        <v>A</v>
      </c>
    </row>
    <row r="323" spans="1:9">
      <c r="A323">
        <v>320</v>
      </c>
      <c r="B323" s="46">
        <v>45520</v>
      </c>
      <c r="C323" s="166">
        <v>2.7889215240073537</v>
      </c>
      <c r="D323" s="166">
        <v>15.363630405709555</v>
      </c>
      <c r="E323" s="166">
        <f t="shared" si="20"/>
        <v>2.7889215240073537</v>
      </c>
      <c r="F323" s="188" t="str">
        <f t="shared" si="21"/>
        <v/>
      </c>
      <c r="H323" t="str">
        <f t="shared" si="23"/>
        <v/>
      </c>
      <c r="I323" s="188" t="str">
        <f t="shared" si="22"/>
        <v/>
      </c>
    </row>
    <row r="324" spans="1:9">
      <c r="A324">
        <v>321</v>
      </c>
      <c r="B324" s="46">
        <v>45521</v>
      </c>
      <c r="C324" s="166">
        <v>3.6637183840073484</v>
      </c>
      <c r="D324" s="166">
        <v>15.363630405709555</v>
      </c>
      <c r="E324" s="166">
        <f t="shared" ref="E324:E387" si="24">IF(C324&lt;D324,C324,D324)</f>
        <v>3.6637183840073484</v>
      </c>
      <c r="F324" s="188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8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45522</v>
      </c>
      <c r="C325" s="166">
        <v>3.1426225090036239</v>
      </c>
      <c r="D325" s="166">
        <v>15.363630405709555</v>
      </c>
      <c r="E325" s="166">
        <f t="shared" si="24"/>
        <v>3.1426225090036239</v>
      </c>
      <c r="F325" s="188" t="str">
        <f t="shared" si="25"/>
        <v/>
      </c>
      <c r="H325" t="str">
        <f t="shared" ref="H325:H388" si="27">IF(MONTH(B325)=1,IF(DAY(B325)=1,YEAR(B325),""),"")</f>
        <v/>
      </c>
      <c r="I325" s="188" t="str">
        <f t="shared" si="26"/>
        <v/>
      </c>
    </row>
    <row r="326" spans="1:9">
      <c r="A326">
        <v>323</v>
      </c>
      <c r="B326" s="46">
        <v>45523</v>
      </c>
      <c r="C326" s="166">
        <v>2.7647522880036268</v>
      </c>
      <c r="D326" s="166">
        <v>15.363630405709555</v>
      </c>
      <c r="E326" s="166">
        <f t="shared" si="24"/>
        <v>2.7647522880036268</v>
      </c>
      <c r="F326" s="188" t="str">
        <f t="shared" si="25"/>
        <v/>
      </c>
      <c r="H326" t="str">
        <f t="shared" si="27"/>
        <v/>
      </c>
      <c r="I326" s="188" t="str">
        <f t="shared" si="26"/>
        <v/>
      </c>
    </row>
    <row r="327" spans="1:9">
      <c r="A327">
        <v>324</v>
      </c>
      <c r="B327" s="46">
        <v>45524</v>
      </c>
      <c r="C327" s="166">
        <v>8.3475346870073484</v>
      </c>
      <c r="D327" s="166">
        <v>15.363630405709555</v>
      </c>
      <c r="E327" s="166">
        <f t="shared" si="24"/>
        <v>8.3475346870073484</v>
      </c>
      <c r="F327" s="188" t="str">
        <f t="shared" si="25"/>
        <v/>
      </c>
      <c r="H327" t="str">
        <f t="shared" si="27"/>
        <v/>
      </c>
      <c r="I327" s="188" t="str">
        <f t="shared" si="26"/>
        <v/>
      </c>
    </row>
    <row r="328" spans="1:9">
      <c r="A328">
        <v>325</v>
      </c>
      <c r="B328" s="46">
        <v>45525</v>
      </c>
      <c r="C328" s="166">
        <v>13.457443864621782</v>
      </c>
      <c r="D328" s="166">
        <v>15.363630405709555</v>
      </c>
      <c r="E328" s="166">
        <f t="shared" si="24"/>
        <v>13.457443864621782</v>
      </c>
      <c r="F328" s="188" t="str">
        <f t="shared" si="25"/>
        <v/>
      </c>
      <c r="H328" t="str">
        <f t="shared" si="27"/>
        <v/>
      </c>
      <c r="I328" s="188" t="str">
        <f t="shared" si="26"/>
        <v/>
      </c>
    </row>
    <row r="329" spans="1:9">
      <c r="A329">
        <v>326</v>
      </c>
      <c r="B329" s="46">
        <v>45526</v>
      </c>
      <c r="C329" s="166">
        <v>17.84504337562737</v>
      </c>
      <c r="D329" s="166">
        <v>15.363630405709555</v>
      </c>
      <c r="E329" s="166">
        <f t="shared" si="24"/>
        <v>15.363630405709555</v>
      </c>
      <c r="F329" s="188" t="str">
        <f t="shared" si="25"/>
        <v/>
      </c>
      <c r="H329" t="str">
        <f t="shared" si="27"/>
        <v/>
      </c>
      <c r="I329" s="188" t="str">
        <f t="shared" si="26"/>
        <v/>
      </c>
    </row>
    <row r="330" spans="1:9">
      <c r="A330">
        <v>327</v>
      </c>
      <c r="B330" s="46">
        <v>45527</v>
      </c>
      <c r="C330" s="166">
        <v>13.587899395625515</v>
      </c>
      <c r="D330" s="166">
        <v>15.363630405709555</v>
      </c>
      <c r="E330" s="166">
        <f t="shared" si="24"/>
        <v>13.587899395625515</v>
      </c>
      <c r="F330" s="188" t="str">
        <f t="shared" si="25"/>
        <v/>
      </c>
      <c r="H330" t="str">
        <f t="shared" si="27"/>
        <v/>
      </c>
      <c r="I330" s="188" t="str">
        <f t="shared" si="26"/>
        <v/>
      </c>
    </row>
    <row r="331" spans="1:9">
      <c r="A331">
        <v>328</v>
      </c>
      <c r="B331" s="46">
        <v>45528</v>
      </c>
      <c r="C331" s="166">
        <v>3.139176939625504</v>
      </c>
      <c r="D331" s="166">
        <v>15.363630405709555</v>
      </c>
      <c r="E331" s="166">
        <f t="shared" si="24"/>
        <v>3.139176939625504</v>
      </c>
      <c r="F331" s="188" t="str">
        <f t="shared" si="25"/>
        <v/>
      </c>
      <c r="H331" t="str">
        <f t="shared" si="27"/>
        <v/>
      </c>
      <c r="I331" s="188" t="str">
        <f t="shared" si="26"/>
        <v/>
      </c>
    </row>
    <row r="332" spans="1:9">
      <c r="A332">
        <v>329</v>
      </c>
      <c r="B332" s="46">
        <v>45529</v>
      </c>
      <c r="C332" s="166">
        <v>3.6239849436255063</v>
      </c>
      <c r="D332" s="166">
        <v>15.363630405709555</v>
      </c>
      <c r="E332" s="166">
        <f t="shared" si="24"/>
        <v>3.6239849436255063</v>
      </c>
      <c r="F332" s="188" t="str">
        <f t="shared" si="25"/>
        <v/>
      </c>
      <c r="H332" t="str">
        <f t="shared" si="27"/>
        <v/>
      </c>
      <c r="I332" s="188" t="str">
        <f t="shared" si="26"/>
        <v/>
      </c>
    </row>
    <row r="333" spans="1:9">
      <c r="A333">
        <v>330</v>
      </c>
      <c r="B333" s="46">
        <v>45530</v>
      </c>
      <c r="C333" s="166">
        <v>18.695398971623646</v>
      </c>
      <c r="D333" s="166">
        <v>15.363630405709555</v>
      </c>
      <c r="E333" s="166">
        <f t="shared" si="24"/>
        <v>15.363630405709555</v>
      </c>
      <c r="F333" s="188" t="str">
        <f t="shared" si="25"/>
        <v/>
      </c>
      <c r="H333" t="str">
        <f t="shared" si="27"/>
        <v/>
      </c>
      <c r="I333" s="188" t="str">
        <f t="shared" si="26"/>
        <v/>
      </c>
    </row>
    <row r="334" spans="1:9">
      <c r="A334">
        <v>331</v>
      </c>
      <c r="B334" s="46">
        <v>45531</v>
      </c>
      <c r="C334" s="166">
        <v>19.764271587625508</v>
      </c>
      <c r="D334" s="166">
        <v>15.363630405709555</v>
      </c>
      <c r="E334" s="166">
        <f t="shared" si="24"/>
        <v>15.363630405709555</v>
      </c>
      <c r="F334" s="188" t="str">
        <f t="shared" si="25"/>
        <v/>
      </c>
      <c r="H334" t="str">
        <f t="shared" si="27"/>
        <v/>
      </c>
      <c r="I334" s="188" t="str">
        <f t="shared" si="26"/>
        <v/>
      </c>
    </row>
    <row r="335" spans="1:9">
      <c r="A335">
        <v>332</v>
      </c>
      <c r="B335" s="46">
        <v>45532</v>
      </c>
      <c r="C335" s="166">
        <v>25.071713284847881</v>
      </c>
      <c r="D335" s="166">
        <v>15.363630405709555</v>
      </c>
      <c r="E335" s="166">
        <f t="shared" si="24"/>
        <v>15.363630405709555</v>
      </c>
      <c r="F335" s="188" t="str">
        <f t="shared" si="25"/>
        <v/>
      </c>
      <c r="H335" t="str">
        <f t="shared" si="27"/>
        <v/>
      </c>
      <c r="I335" s="188" t="str">
        <f t="shared" si="26"/>
        <v/>
      </c>
    </row>
    <row r="336" spans="1:9">
      <c r="A336">
        <v>333</v>
      </c>
      <c r="B336" s="46">
        <v>45533</v>
      </c>
      <c r="C336" s="166">
        <v>17.686682008849747</v>
      </c>
      <c r="D336" s="166">
        <v>15.363630405709555</v>
      </c>
      <c r="E336" s="166">
        <f t="shared" si="24"/>
        <v>15.363630405709555</v>
      </c>
      <c r="F336" s="188" t="str">
        <f t="shared" si="25"/>
        <v/>
      </c>
      <c r="H336" t="str">
        <f t="shared" si="27"/>
        <v/>
      </c>
      <c r="I336" s="188" t="str">
        <f t="shared" si="26"/>
        <v/>
      </c>
    </row>
    <row r="337" spans="1:9">
      <c r="A337">
        <v>334</v>
      </c>
      <c r="B337" s="46">
        <v>45534</v>
      </c>
      <c r="C337" s="166">
        <v>20.918469743849744</v>
      </c>
      <c r="D337" s="166">
        <v>15.363630405709555</v>
      </c>
      <c r="E337" s="166">
        <f t="shared" si="24"/>
        <v>15.363630405709555</v>
      </c>
      <c r="F337" s="188" t="str">
        <f t="shared" si="25"/>
        <v/>
      </c>
      <c r="H337" t="str">
        <f t="shared" si="27"/>
        <v/>
      </c>
      <c r="I337" s="188" t="str">
        <f t="shared" si="26"/>
        <v/>
      </c>
    </row>
    <row r="338" spans="1:9">
      <c r="A338">
        <v>335</v>
      </c>
      <c r="B338" s="46">
        <v>45535</v>
      </c>
      <c r="C338" s="166">
        <v>2.742251960849746</v>
      </c>
      <c r="D338" s="166">
        <v>15.363630405709555</v>
      </c>
      <c r="E338" s="166">
        <f t="shared" si="24"/>
        <v>2.742251960849746</v>
      </c>
      <c r="F338" s="188" t="str">
        <f t="shared" si="25"/>
        <v/>
      </c>
      <c r="H338" t="str">
        <f t="shared" si="27"/>
        <v/>
      </c>
      <c r="I338" s="188" t="str">
        <f t="shared" si="26"/>
        <v/>
      </c>
    </row>
    <row r="339" spans="1:9">
      <c r="A339">
        <v>336</v>
      </c>
      <c r="B339" s="46">
        <v>45536</v>
      </c>
      <c r="C339" s="166">
        <v>3.3861522168516096</v>
      </c>
      <c r="D339" s="166">
        <v>19.885734840413747</v>
      </c>
      <c r="E339" s="166">
        <f t="shared" si="24"/>
        <v>3.3861522168516096</v>
      </c>
      <c r="F339" s="188" t="str">
        <f t="shared" si="25"/>
        <v/>
      </c>
      <c r="H339" t="str">
        <f t="shared" si="27"/>
        <v/>
      </c>
      <c r="I339" s="188" t="str">
        <f t="shared" si="26"/>
        <v/>
      </c>
    </row>
    <row r="340" spans="1:9">
      <c r="A340">
        <v>337</v>
      </c>
      <c r="B340" s="46">
        <v>45537</v>
      </c>
      <c r="C340" s="166">
        <v>3.4677666688497486</v>
      </c>
      <c r="D340" s="166">
        <v>19.885734840413747</v>
      </c>
      <c r="E340" s="166">
        <f t="shared" si="24"/>
        <v>3.4677666688497486</v>
      </c>
      <c r="F340" s="188" t="str">
        <f t="shared" si="25"/>
        <v/>
      </c>
      <c r="H340" t="str">
        <f t="shared" si="27"/>
        <v/>
      </c>
      <c r="I340" s="188" t="str">
        <f t="shared" si="26"/>
        <v/>
      </c>
    </row>
    <row r="341" spans="1:9">
      <c r="A341">
        <v>338</v>
      </c>
      <c r="B341" s="46">
        <v>45538</v>
      </c>
      <c r="C341" s="166">
        <v>2.9788258928478828</v>
      </c>
      <c r="D341" s="166">
        <v>19.885734840413747</v>
      </c>
      <c r="E341" s="166">
        <f t="shared" si="24"/>
        <v>2.9788258928478828</v>
      </c>
      <c r="F341" s="188" t="str">
        <f t="shared" si="25"/>
        <v/>
      </c>
      <c r="H341" t="str">
        <f t="shared" si="27"/>
        <v/>
      </c>
      <c r="I341" s="188" t="str">
        <f t="shared" si="26"/>
        <v/>
      </c>
    </row>
    <row r="342" spans="1:9">
      <c r="A342">
        <v>339</v>
      </c>
      <c r="B342" s="46">
        <v>45539</v>
      </c>
      <c r="C342" s="166">
        <v>13.350197940835489</v>
      </c>
      <c r="D342" s="166">
        <v>19.885734840413747</v>
      </c>
      <c r="E342" s="166">
        <f t="shared" si="24"/>
        <v>13.350197940835489</v>
      </c>
      <c r="F342" s="188" t="str">
        <f t="shared" si="25"/>
        <v/>
      </c>
      <c r="H342" t="str">
        <f t="shared" si="27"/>
        <v/>
      </c>
      <c r="I342" s="188" t="str">
        <f t="shared" si="26"/>
        <v/>
      </c>
    </row>
    <row r="343" spans="1:9">
      <c r="A343">
        <v>340</v>
      </c>
      <c r="B343" s="46">
        <v>45540</v>
      </c>
      <c r="C343" s="166">
        <v>44.858035183837345</v>
      </c>
      <c r="D343" s="166">
        <v>19.885734840413747</v>
      </c>
      <c r="E343" s="166">
        <f t="shared" si="24"/>
        <v>19.885734840413747</v>
      </c>
      <c r="F343" s="188" t="str">
        <f t="shared" si="25"/>
        <v/>
      </c>
      <c r="H343" t="str">
        <f t="shared" si="27"/>
        <v/>
      </c>
      <c r="I343" s="188" t="str">
        <f t="shared" si="26"/>
        <v/>
      </c>
    </row>
    <row r="344" spans="1:9">
      <c r="A344">
        <v>341</v>
      </c>
      <c r="B344" s="46">
        <v>45541</v>
      </c>
      <c r="C344" s="166">
        <v>39.888847947835487</v>
      </c>
      <c r="D344" s="166">
        <v>19.885734840413747</v>
      </c>
      <c r="E344" s="166">
        <f t="shared" si="24"/>
        <v>19.885734840413747</v>
      </c>
      <c r="F344" s="188" t="str">
        <f t="shared" si="25"/>
        <v/>
      </c>
      <c r="H344" t="str">
        <f t="shared" si="27"/>
        <v/>
      </c>
      <c r="I344" s="188" t="str">
        <f t="shared" si="26"/>
        <v/>
      </c>
    </row>
    <row r="345" spans="1:9">
      <c r="A345">
        <v>342</v>
      </c>
      <c r="B345" s="46">
        <v>45542</v>
      </c>
      <c r="C345" s="166">
        <v>44.693236418833621</v>
      </c>
      <c r="D345" s="166">
        <v>19.885734840413747</v>
      </c>
      <c r="E345" s="166">
        <f t="shared" si="24"/>
        <v>19.885734840413747</v>
      </c>
      <c r="F345" s="188" t="str">
        <f t="shared" si="25"/>
        <v/>
      </c>
      <c r="H345" t="str">
        <f t="shared" si="27"/>
        <v/>
      </c>
      <c r="I345" s="188" t="str">
        <f t="shared" si="26"/>
        <v/>
      </c>
    </row>
    <row r="346" spans="1:9">
      <c r="A346">
        <v>343</v>
      </c>
      <c r="B346" s="46">
        <v>45543</v>
      </c>
      <c r="C346" s="166">
        <v>24.864796343835486</v>
      </c>
      <c r="D346" s="166">
        <v>19.885734840413747</v>
      </c>
      <c r="E346" s="166">
        <f t="shared" si="24"/>
        <v>19.885734840413747</v>
      </c>
      <c r="F346" s="188" t="str">
        <f t="shared" si="25"/>
        <v/>
      </c>
      <c r="H346" t="str">
        <f t="shared" si="27"/>
        <v/>
      </c>
      <c r="I346" s="188" t="str">
        <f t="shared" si="26"/>
        <v/>
      </c>
    </row>
    <row r="347" spans="1:9">
      <c r="A347">
        <v>344</v>
      </c>
      <c r="B347" s="46">
        <v>45544</v>
      </c>
      <c r="C347" s="166">
        <v>34.384552203833621</v>
      </c>
      <c r="D347" s="166">
        <v>19.885734840413747</v>
      </c>
      <c r="E347" s="166">
        <f t="shared" si="24"/>
        <v>19.885734840413747</v>
      </c>
      <c r="F347" s="188" t="str">
        <f t="shared" si="25"/>
        <v/>
      </c>
      <c r="H347" t="str">
        <f t="shared" si="27"/>
        <v/>
      </c>
      <c r="I347" s="188" t="str">
        <f t="shared" si="26"/>
        <v/>
      </c>
    </row>
    <row r="348" spans="1:9">
      <c r="A348">
        <v>345</v>
      </c>
      <c r="B348" s="46">
        <v>45545</v>
      </c>
      <c r="C348" s="166">
        <v>31.774274239835488</v>
      </c>
      <c r="D348" s="166">
        <v>19.885734840413747</v>
      </c>
      <c r="E348" s="166">
        <f t="shared" si="24"/>
        <v>19.885734840413747</v>
      </c>
      <c r="F348" s="188" t="str">
        <f t="shared" si="25"/>
        <v/>
      </c>
      <c r="H348" t="str">
        <f t="shared" si="27"/>
        <v/>
      </c>
      <c r="I348" s="188" t="str">
        <f t="shared" si="26"/>
        <v/>
      </c>
    </row>
    <row r="349" spans="1:9">
      <c r="A349">
        <v>346</v>
      </c>
      <c r="B349" s="46">
        <v>45546</v>
      </c>
      <c r="C349" s="166">
        <v>28.271422682858041</v>
      </c>
      <c r="D349" s="166">
        <v>19.885734840413747</v>
      </c>
      <c r="E349" s="166">
        <f t="shared" si="24"/>
        <v>19.885734840413747</v>
      </c>
      <c r="F349" s="188" t="str">
        <f t="shared" si="25"/>
        <v/>
      </c>
      <c r="H349" t="str">
        <f t="shared" si="27"/>
        <v/>
      </c>
      <c r="I349" s="188" t="str">
        <f t="shared" si="26"/>
        <v/>
      </c>
    </row>
    <row r="350" spans="1:9">
      <c r="A350">
        <v>347</v>
      </c>
      <c r="B350" s="46">
        <v>45547</v>
      </c>
      <c r="C350" s="166">
        <v>31.615490350856177</v>
      </c>
      <c r="D350" s="166">
        <v>19.885734840413747</v>
      </c>
      <c r="E350" s="166">
        <f t="shared" si="24"/>
        <v>19.885734840413747</v>
      </c>
      <c r="F350" s="188" t="str">
        <f t="shared" si="25"/>
        <v/>
      </c>
      <c r="H350" t="str">
        <f t="shared" si="27"/>
        <v/>
      </c>
      <c r="I350" s="188" t="str">
        <f t="shared" si="26"/>
        <v/>
      </c>
    </row>
    <row r="351" spans="1:9">
      <c r="A351">
        <v>348</v>
      </c>
      <c r="B351" s="46">
        <v>45548</v>
      </c>
      <c r="C351" s="166">
        <v>19.226709610854318</v>
      </c>
      <c r="D351" s="166">
        <v>19.885734840413747</v>
      </c>
      <c r="E351" s="166">
        <f t="shared" si="24"/>
        <v>19.226709610854318</v>
      </c>
      <c r="F351" s="188" t="str">
        <f t="shared" si="25"/>
        <v/>
      </c>
      <c r="H351" t="str">
        <f t="shared" si="27"/>
        <v/>
      </c>
      <c r="I351" s="188" t="str">
        <f t="shared" si="26"/>
        <v/>
      </c>
    </row>
    <row r="352" spans="1:9">
      <c r="A352">
        <v>349</v>
      </c>
      <c r="B352" s="46">
        <v>45549</v>
      </c>
      <c r="C352" s="166">
        <v>10.20638647585618</v>
      </c>
      <c r="D352" s="166">
        <v>19.885734840413747</v>
      </c>
      <c r="E352" s="166">
        <f t="shared" si="24"/>
        <v>10.20638647585618</v>
      </c>
      <c r="F352" s="188" t="str">
        <f t="shared" si="25"/>
        <v/>
      </c>
      <c r="G352" s="189" t="str">
        <f>IF(DAY(B352)=15,D352,"")</f>
        <v/>
      </c>
      <c r="H352" t="str">
        <f t="shared" si="27"/>
        <v/>
      </c>
      <c r="I352" s="188" t="str">
        <f t="shared" si="26"/>
        <v/>
      </c>
    </row>
    <row r="353" spans="1:9">
      <c r="A353">
        <v>350</v>
      </c>
      <c r="B353" s="46">
        <v>45550</v>
      </c>
      <c r="C353" s="166">
        <v>4.7013636978543181</v>
      </c>
      <c r="D353" s="166">
        <v>19.885734840413747</v>
      </c>
      <c r="E353" s="166">
        <f t="shared" si="24"/>
        <v>4.7013636978543181</v>
      </c>
      <c r="F353" s="188" t="str">
        <f t="shared" si="25"/>
        <v>S</v>
      </c>
      <c r="H353" t="str">
        <f t="shared" si="27"/>
        <v/>
      </c>
      <c r="I353" s="188" t="str">
        <f t="shared" si="26"/>
        <v>S</v>
      </c>
    </row>
    <row r="354" spans="1:9">
      <c r="A354">
        <v>351</v>
      </c>
      <c r="B354" s="46">
        <v>45551</v>
      </c>
      <c r="C354" s="166">
        <v>8.5534986828543182</v>
      </c>
      <c r="D354" s="166">
        <v>19.885734840413747</v>
      </c>
      <c r="E354" s="166">
        <f t="shared" si="24"/>
        <v>8.5534986828543182</v>
      </c>
      <c r="F354" s="188" t="str">
        <f t="shared" si="25"/>
        <v/>
      </c>
      <c r="H354" t="str">
        <f t="shared" si="27"/>
        <v/>
      </c>
      <c r="I354" s="188" t="str">
        <f t="shared" si="26"/>
        <v/>
      </c>
    </row>
    <row r="355" spans="1:9">
      <c r="A355">
        <v>352</v>
      </c>
      <c r="B355" s="46">
        <v>45552</v>
      </c>
      <c r="C355" s="166">
        <v>9.7971874988580421</v>
      </c>
      <c r="D355" s="166">
        <v>19.885734840413747</v>
      </c>
      <c r="E355" s="166">
        <f t="shared" si="24"/>
        <v>9.7971874988580421</v>
      </c>
      <c r="F355" s="188" t="str">
        <f t="shared" si="25"/>
        <v/>
      </c>
      <c r="H355" t="str">
        <f t="shared" si="27"/>
        <v/>
      </c>
      <c r="I355" s="188" t="str">
        <f t="shared" si="26"/>
        <v/>
      </c>
    </row>
    <row r="356" spans="1:9">
      <c r="A356">
        <v>353</v>
      </c>
      <c r="B356" s="46">
        <v>45553</v>
      </c>
      <c r="C356" s="166">
        <v>29.041916538356869</v>
      </c>
      <c r="D356" s="166">
        <v>19.885734840413747</v>
      </c>
      <c r="E356" s="166">
        <f t="shared" si="24"/>
        <v>19.885734840413747</v>
      </c>
      <c r="F356" s="188" t="str">
        <f t="shared" si="25"/>
        <v/>
      </c>
      <c r="H356" t="str">
        <f t="shared" si="27"/>
        <v/>
      </c>
      <c r="I356" s="188" t="str">
        <f t="shared" si="26"/>
        <v/>
      </c>
    </row>
    <row r="357" spans="1:9">
      <c r="A357">
        <v>354</v>
      </c>
      <c r="B357" s="46">
        <v>45554</v>
      </c>
      <c r="C357" s="166">
        <v>60.274292950355012</v>
      </c>
      <c r="D357" s="166">
        <v>19.885734840413747</v>
      </c>
      <c r="E357" s="166">
        <f t="shared" si="24"/>
        <v>19.885734840413747</v>
      </c>
      <c r="F357" s="188" t="str">
        <f t="shared" si="25"/>
        <v/>
      </c>
      <c r="H357" t="str">
        <f t="shared" si="27"/>
        <v/>
      </c>
      <c r="I357" s="188" t="str">
        <f t="shared" si="26"/>
        <v/>
      </c>
    </row>
    <row r="358" spans="1:9">
      <c r="A358">
        <v>355</v>
      </c>
      <c r="B358" s="46">
        <v>45555</v>
      </c>
      <c r="C358" s="166">
        <v>63.832625350356871</v>
      </c>
      <c r="D358" s="166">
        <v>19.885734840413747</v>
      </c>
      <c r="E358" s="166">
        <f t="shared" si="24"/>
        <v>19.885734840413747</v>
      </c>
      <c r="F358" s="188" t="str">
        <f t="shared" si="25"/>
        <v/>
      </c>
      <c r="H358" t="str">
        <f t="shared" si="27"/>
        <v/>
      </c>
      <c r="I358" s="188" t="str">
        <f t="shared" si="26"/>
        <v/>
      </c>
    </row>
    <row r="359" spans="1:9">
      <c r="A359">
        <v>356</v>
      </c>
      <c r="B359" s="46">
        <v>45556</v>
      </c>
      <c r="C359" s="166">
        <v>50.197664322356871</v>
      </c>
      <c r="D359" s="166">
        <v>19.885734840413747</v>
      </c>
      <c r="E359" s="166">
        <f t="shared" si="24"/>
        <v>19.885734840413747</v>
      </c>
      <c r="F359" s="188" t="str">
        <f t="shared" si="25"/>
        <v/>
      </c>
      <c r="H359" t="str">
        <f t="shared" si="27"/>
        <v/>
      </c>
      <c r="I359" s="188" t="str">
        <f t="shared" si="26"/>
        <v/>
      </c>
    </row>
    <row r="360" spans="1:9">
      <c r="A360">
        <v>357</v>
      </c>
      <c r="B360" s="46">
        <v>45557</v>
      </c>
      <c r="C360" s="166">
        <v>43.917412422356882</v>
      </c>
      <c r="D360" s="166">
        <v>19.885734840413747</v>
      </c>
      <c r="E360" s="166">
        <f t="shared" si="24"/>
        <v>19.885734840413747</v>
      </c>
      <c r="F360" s="188" t="str">
        <f t="shared" si="25"/>
        <v/>
      </c>
      <c r="H360" t="str">
        <f t="shared" si="27"/>
        <v/>
      </c>
      <c r="I360" s="188" t="str">
        <f t="shared" si="26"/>
        <v/>
      </c>
    </row>
    <row r="361" spans="1:9">
      <c r="A361">
        <v>358</v>
      </c>
      <c r="B361" s="46">
        <v>45558</v>
      </c>
      <c r="C361" s="166">
        <v>42.279065178355012</v>
      </c>
      <c r="D361" s="166">
        <v>19.885734840413747</v>
      </c>
      <c r="E361" s="166">
        <f t="shared" si="24"/>
        <v>19.885734840413747</v>
      </c>
      <c r="F361" s="188" t="str">
        <f t="shared" si="25"/>
        <v/>
      </c>
      <c r="H361" t="str">
        <f t="shared" si="27"/>
        <v/>
      </c>
      <c r="I361" s="188" t="str">
        <f t="shared" si="26"/>
        <v/>
      </c>
    </row>
    <row r="362" spans="1:9">
      <c r="A362">
        <v>359</v>
      </c>
      <c r="B362" s="46">
        <v>45559</v>
      </c>
      <c r="C362" s="166">
        <v>43.818669830356868</v>
      </c>
      <c r="D362" s="166">
        <v>19.885734840413747</v>
      </c>
      <c r="E362" s="166">
        <f t="shared" si="24"/>
        <v>19.885734840413747</v>
      </c>
      <c r="F362" s="188" t="str">
        <f t="shared" si="25"/>
        <v/>
      </c>
      <c r="H362" t="str">
        <f t="shared" si="27"/>
        <v/>
      </c>
      <c r="I362" s="188" t="str">
        <f t="shared" si="26"/>
        <v/>
      </c>
    </row>
    <row r="363" spans="1:9">
      <c r="A363">
        <v>360</v>
      </c>
      <c r="B363" s="46">
        <v>45560</v>
      </c>
      <c r="C363" s="166">
        <v>49.660390897962571</v>
      </c>
      <c r="D363" s="166">
        <v>19.885734840413747</v>
      </c>
      <c r="E363" s="166">
        <f t="shared" si="24"/>
        <v>19.885734840413747</v>
      </c>
      <c r="F363" s="188" t="str">
        <f t="shared" si="25"/>
        <v/>
      </c>
      <c r="H363" t="str">
        <f t="shared" si="27"/>
        <v/>
      </c>
      <c r="I363" s="188" t="str">
        <f t="shared" si="26"/>
        <v/>
      </c>
    </row>
    <row r="364" spans="1:9">
      <c r="A364">
        <v>361</v>
      </c>
      <c r="B364" s="46">
        <v>45561</v>
      </c>
      <c r="C364" s="166">
        <v>36.476566837960704</v>
      </c>
      <c r="D364" s="166">
        <v>19.885734840413747</v>
      </c>
      <c r="E364" s="166">
        <f t="shared" si="24"/>
        <v>19.885734840413747</v>
      </c>
      <c r="F364" s="188" t="str">
        <f t="shared" si="25"/>
        <v/>
      </c>
      <c r="H364" t="str">
        <f t="shared" si="27"/>
        <v/>
      </c>
      <c r="I364" s="188" t="str">
        <f t="shared" si="26"/>
        <v/>
      </c>
    </row>
    <row r="365" spans="1:9">
      <c r="A365">
        <v>362</v>
      </c>
      <c r="B365" s="46">
        <v>45562</v>
      </c>
      <c r="C365" s="166">
        <v>37.369163633964433</v>
      </c>
      <c r="D365" s="166">
        <v>19.885734840413747</v>
      </c>
      <c r="E365" s="166">
        <f t="shared" si="24"/>
        <v>19.885734840413747</v>
      </c>
      <c r="F365" s="188" t="str">
        <f t="shared" si="25"/>
        <v/>
      </c>
      <c r="H365" t="str">
        <f t="shared" si="27"/>
        <v/>
      </c>
      <c r="I365" s="188" t="str">
        <f t="shared" si="26"/>
        <v/>
      </c>
    </row>
    <row r="366" spans="1:9">
      <c r="A366">
        <v>363</v>
      </c>
      <c r="B366" s="46">
        <v>45563</v>
      </c>
      <c r="C366" s="166">
        <v>45.754677949964432</v>
      </c>
      <c r="D366" s="166">
        <v>19.885734840413747</v>
      </c>
      <c r="E366" s="166">
        <f t="shared" si="24"/>
        <v>19.885734840413747</v>
      </c>
      <c r="F366" s="188" t="str">
        <f t="shared" si="25"/>
        <v/>
      </c>
      <c r="H366" t="str">
        <f t="shared" si="27"/>
        <v/>
      </c>
      <c r="I366" s="188" t="str">
        <f t="shared" si="26"/>
        <v/>
      </c>
    </row>
    <row r="367" spans="1:9">
      <c r="A367">
        <v>364</v>
      </c>
      <c r="B367" s="46">
        <v>45564</v>
      </c>
      <c r="C367" s="166">
        <v>37.675193005962569</v>
      </c>
      <c r="D367" s="166">
        <v>19.885734840413747</v>
      </c>
      <c r="E367" s="166">
        <f t="shared" si="24"/>
        <v>19.885734840413747</v>
      </c>
      <c r="F367" s="188" t="str">
        <f t="shared" si="25"/>
        <v/>
      </c>
      <c r="H367" t="str">
        <f t="shared" si="27"/>
        <v/>
      </c>
      <c r="I367" s="188" t="str">
        <f t="shared" si="26"/>
        <v/>
      </c>
    </row>
    <row r="368" spans="1:9">
      <c r="A368">
        <v>365</v>
      </c>
      <c r="B368" s="46">
        <v>45565</v>
      </c>
      <c r="C368" s="166">
        <v>63.93063872696257</v>
      </c>
      <c r="D368" s="166">
        <v>19.885734840413747</v>
      </c>
      <c r="E368" s="166">
        <f t="shared" si="24"/>
        <v>19.885734840413747</v>
      </c>
      <c r="F368" s="188" t="str">
        <f t="shared" si="25"/>
        <v/>
      </c>
      <c r="H368" t="str">
        <f t="shared" si="27"/>
        <v/>
      </c>
      <c r="I368" s="188" t="str">
        <f t="shared" si="26"/>
        <v/>
      </c>
    </row>
    <row r="369" spans="1:9">
      <c r="A369">
        <v>366</v>
      </c>
      <c r="B369" s="46">
        <v>45566</v>
      </c>
      <c r="C369" s="166">
        <v>70.068381224962565</v>
      </c>
      <c r="D369" s="166">
        <v>40.505689176644211</v>
      </c>
      <c r="E369" s="166">
        <f t="shared" si="24"/>
        <v>40.505689176644211</v>
      </c>
      <c r="F369" s="188" t="str">
        <f t="shared" si="25"/>
        <v/>
      </c>
      <c r="H369" t="str">
        <f t="shared" si="27"/>
        <v/>
      </c>
      <c r="I369" s="188" t="str">
        <f t="shared" si="26"/>
        <v/>
      </c>
    </row>
    <row r="370" spans="1:9">
      <c r="A370">
        <v>367</v>
      </c>
      <c r="B370" s="46">
        <v>45567</v>
      </c>
      <c r="C370" s="166">
        <v>58.052029492615212</v>
      </c>
      <c r="D370" s="166">
        <v>40.505689176644211</v>
      </c>
      <c r="E370" s="166">
        <f t="shared" si="24"/>
        <v>40.505689176644211</v>
      </c>
      <c r="F370" s="188" t="str">
        <f t="shared" si="25"/>
        <v/>
      </c>
      <c r="H370" t="str">
        <f t="shared" si="27"/>
        <v/>
      </c>
      <c r="I370" s="188" t="str">
        <f t="shared" si="26"/>
        <v/>
      </c>
    </row>
    <row r="371" spans="1:9">
      <c r="A371">
        <v>368</v>
      </c>
      <c r="B371" s="46">
        <v>45568</v>
      </c>
      <c r="C371" s="166">
        <v>63.437394593613355</v>
      </c>
      <c r="D371" s="166">
        <v>40.505689176644211</v>
      </c>
      <c r="E371" s="166">
        <f t="shared" si="24"/>
        <v>40.505689176644211</v>
      </c>
      <c r="F371" s="188" t="str">
        <f t="shared" si="25"/>
        <v/>
      </c>
      <c r="H371" t="str">
        <f t="shared" si="27"/>
        <v/>
      </c>
      <c r="I371" s="188" t="str">
        <f t="shared" si="26"/>
        <v/>
      </c>
    </row>
    <row r="372" spans="1:9">
      <c r="A372">
        <v>369</v>
      </c>
      <c r="B372" s="46">
        <v>45569</v>
      </c>
      <c r="C372" s="166">
        <v>75.007707163617084</v>
      </c>
      <c r="D372" s="166">
        <v>40.505689176644211</v>
      </c>
      <c r="E372" s="166">
        <f t="shared" si="24"/>
        <v>40.505689176644211</v>
      </c>
      <c r="F372" s="188" t="str">
        <f t="shared" si="25"/>
        <v/>
      </c>
      <c r="H372" t="str">
        <f t="shared" si="27"/>
        <v/>
      </c>
      <c r="I372" s="188" t="str">
        <f t="shared" si="26"/>
        <v/>
      </c>
    </row>
    <row r="373" spans="1:9">
      <c r="A373">
        <v>370</v>
      </c>
      <c r="B373" s="46">
        <v>45570</v>
      </c>
      <c r="C373" s="166">
        <v>63.616250232613353</v>
      </c>
      <c r="D373" s="166">
        <v>40.505689176644211</v>
      </c>
      <c r="E373" s="166">
        <f t="shared" si="24"/>
        <v>40.505689176644211</v>
      </c>
      <c r="F373" s="188" t="str">
        <f t="shared" si="25"/>
        <v/>
      </c>
      <c r="H373" t="str">
        <f t="shared" si="27"/>
        <v/>
      </c>
      <c r="I373" s="188" t="str">
        <f t="shared" si="26"/>
        <v/>
      </c>
    </row>
    <row r="374" spans="1:9">
      <c r="A374">
        <v>371</v>
      </c>
      <c r="B374" s="46">
        <v>45571</v>
      </c>
      <c r="C374" s="166">
        <v>32.810350096617086</v>
      </c>
      <c r="D374" s="166">
        <v>40.505689176644211</v>
      </c>
      <c r="E374" s="166">
        <f t="shared" si="24"/>
        <v>32.810350096617086</v>
      </c>
      <c r="F374" s="188" t="str">
        <f t="shared" si="25"/>
        <v/>
      </c>
      <c r="H374" t="str">
        <f t="shared" si="27"/>
        <v/>
      </c>
      <c r="I374" s="188" t="str">
        <f t="shared" si="26"/>
        <v/>
      </c>
    </row>
    <row r="375" spans="1:9">
      <c r="A375">
        <v>372</v>
      </c>
      <c r="B375" s="46">
        <v>45572</v>
      </c>
      <c r="C375" s="166">
        <v>54.122171761615213</v>
      </c>
      <c r="D375" s="166">
        <v>40.505689176644211</v>
      </c>
      <c r="E375" s="166">
        <f t="shared" si="24"/>
        <v>40.505689176644211</v>
      </c>
      <c r="F375" s="188" t="str">
        <f t="shared" si="25"/>
        <v/>
      </c>
      <c r="H375" t="str">
        <f t="shared" si="27"/>
        <v/>
      </c>
      <c r="I375" s="188" t="str">
        <f t="shared" si="26"/>
        <v/>
      </c>
    </row>
    <row r="376" spans="1:9">
      <c r="A376">
        <v>373</v>
      </c>
      <c r="B376" s="46">
        <v>45573</v>
      </c>
      <c r="C376" s="166">
        <v>44.16330611961336</v>
      </c>
      <c r="D376" s="166">
        <v>40.505689176644211</v>
      </c>
      <c r="E376" s="166">
        <f t="shared" si="24"/>
        <v>40.505689176644211</v>
      </c>
      <c r="F376" s="188" t="str">
        <f t="shared" si="25"/>
        <v/>
      </c>
      <c r="H376" t="str">
        <f t="shared" si="27"/>
        <v/>
      </c>
      <c r="I376" s="188" t="str">
        <f t="shared" si="26"/>
        <v/>
      </c>
    </row>
    <row r="377" spans="1:9">
      <c r="A377">
        <v>374</v>
      </c>
      <c r="B377" s="46">
        <v>45574</v>
      </c>
      <c r="C377" s="166">
        <v>108.57079895363435</v>
      </c>
      <c r="D377" s="166">
        <v>40.505689176644211</v>
      </c>
      <c r="E377" s="166">
        <f t="shared" si="24"/>
        <v>40.505689176644211</v>
      </c>
      <c r="F377" s="188" t="str">
        <f t="shared" si="25"/>
        <v/>
      </c>
      <c r="H377" t="str">
        <f t="shared" si="27"/>
        <v/>
      </c>
      <c r="I377" s="188" t="str">
        <f t="shared" si="26"/>
        <v/>
      </c>
    </row>
    <row r="378" spans="1:9">
      <c r="A378">
        <v>375</v>
      </c>
      <c r="B378" s="46">
        <v>45575</v>
      </c>
      <c r="C378" s="166">
        <v>142.66093879663435</v>
      </c>
      <c r="D378" s="166">
        <v>40.505689176644211</v>
      </c>
      <c r="E378" s="166">
        <f t="shared" si="24"/>
        <v>40.505689176644211</v>
      </c>
      <c r="F378" s="188" t="str">
        <f t="shared" si="25"/>
        <v/>
      </c>
      <c r="H378" t="str">
        <f t="shared" si="27"/>
        <v/>
      </c>
      <c r="I378" s="188" t="str">
        <f t="shared" si="26"/>
        <v/>
      </c>
    </row>
    <row r="379" spans="1:9">
      <c r="A379">
        <v>376</v>
      </c>
      <c r="B379" s="46">
        <v>45576</v>
      </c>
      <c r="C379" s="166">
        <v>165.5278694396325</v>
      </c>
      <c r="D379" s="166">
        <v>40.505689176644211</v>
      </c>
      <c r="E379" s="166">
        <f t="shared" si="24"/>
        <v>40.505689176644211</v>
      </c>
      <c r="F379" s="188" t="str">
        <f t="shared" si="25"/>
        <v/>
      </c>
      <c r="H379" t="str">
        <f t="shared" si="27"/>
        <v/>
      </c>
      <c r="I379" s="188" t="str">
        <f t="shared" si="26"/>
        <v/>
      </c>
    </row>
    <row r="380" spans="1:9">
      <c r="A380">
        <v>377</v>
      </c>
      <c r="B380" s="46">
        <v>45577</v>
      </c>
      <c r="C380" s="166">
        <v>154.03467495263436</v>
      </c>
      <c r="D380" s="166">
        <v>40.505689176644211</v>
      </c>
      <c r="E380" s="166">
        <f t="shared" si="24"/>
        <v>40.505689176644211</v>
      </c>
      <c r="F380" s="188" t="str">
        <f t="shared" si="25"/>
        <v/>
      </c>
      <c r="H380" t="str">
        <f t="shared" si="27"/>
        <v/>
      </c>
      <c r="I380" s="188" t="str">
        <f t="shared" si="26"/>
        <v/>
      </c>
    </row>
    <row r="381" spans="1:9">
      <c r="A381">
        <v>378</v>
      </c>
      <c r="B381" s="46">
        <v>45578</v>
      </c>
      <c r="C381" s="166">
        <v>138.60919570463437</v>
      </c>
      <c r="D381" s="166">
        <v>40.505689176644211</v>
      </c>
      <c r="E381" s="166">
        <f t="shared" si="24"/>
        <v>40.505689176644211</v>
      </c>
      <c r="F381" s="188" t="str">
        <f t="shared" si="25"/>
        <v/>
      </c>
      <c r="H381" t="str">
        <f t="shared" si="27"/>
        <v/>
      </c>
      <c r="I381" s="188" t="str">
        <f t="shared" si="26"/>
        <v/>
      </c>
    </row>
    <row r="382" spans="1:9">
      <c r="A382">
        <v>379</v>
      </c>
      <c r="B382" s="46">
        <v>45579</v>
      </c>
      <c r="C382" s="166">
        <v>174.22466010063437</v>
      </c>
      <c r="D382" s="166">
        <v>40.505689176644211</v>
      </c>
      <c r="E382" s="166">
        <f t="shared" si="24"/>
        <v>40.505689176644211</v>
      </c>
      <c r="F382" s="188" t="str">
        <f t="shared" si="25"/>
        <v/>
      </c>
      <c r="H382" t="str">
        <f t="shared" si="27"/>
        <v/>
      </c>
      <c r="I382" s="188" t="str">
        <f t="shared" si="26"/>
        <v/>
      </c>
    </row>
    <row r="383" spans="1:9">
      <c r="A383">
        <v>380</v>
      </c>
      <c r="B383" s="46">
        <v>45580</v>
      </c>
      <c r="C383" s="166">
        <v>159.80809982463248</v>
      </c>
      <c r="D383" s="166">
        <v>40.505689176644211</v>
      </c>
      <c r="E383" s="166">
        <f t="shared" si="24"/>
        <v>40.505689176644211</v>
      </c>
      <c r="F383" s="188" t="str">
        <f t="shared" si="25"/>
        <v>O</v>
      </c>
      <c r="G383" s="189">
        <f>IF(DAY(B383)=15,D383,"")</f>
        <v>40.505689176644211</v>
      </c>
      <c r="H383" t="str">
        <f t="shared" si="27"/>
        <v/>
      </c>
      <c r="I383" s="188" t="str">
        <f t="shared" si="26"/>
        <v>O</v>
      </c>
    </row>
    <row r="384" spans="1:9">
      <c r="A384">
        <v>381</v>
      </c>
      <c r="B384" s="46">
        <v>45581</v>
      </c>
      <c r="C384" s="166">
        <v>125.8817006946114</v>
      </c>
      <c r="D384" s="166">
        <v>40.505689176644211</v>
      </c>
      <c r="E384" s="166">
        <f t="shared" si="24"/>
        <v>40.505689176644211</v>
      </c>
      <c r="F384" s="188" t="str">
        <f t="shared" si="25"/>
        <v/>
      </c>
      <c r="H384" t="str">
        <f t="shared" si="27"/>
        <v/>
      </c>
      <c r="I384" s="188" t="str">
        <f t="shared" si="26"/>
        <v/>
      </c>
    </row>
    <row r="385" spans="1:9">
      <c r="A385">
        <v>382</v>
      </c>
      <c r="B385" s="46">
        <v>45582</v>
      </c>
      <c r="C385" s="166">
        <v>121.5447070726114</v>
      </c>
      <c r="D385" s="166">
        <v>40.505689176644211</v>
      </c>
      <c r="E385" s="166">
        <f t="shared" si="24"/>
        <v>40.505689176644211</v>
      </c>
      <c r="F385" s="188" t="str">
        <f t="shared" si="25"/>
        <v/>
      </c>
      <c r="H385" t="str">
        <f t="shared" si="27"/>
        <v/>
      </c>
      <c r="I385" s="188" t="str">
        <f t="shared" si="26"/>
        <v/>
      </c>
    </row>
    <row r="386" spans="1:9">
      <c r="A386">
        <v>383</v>
      </c>
      <c r="B386" s="46">
        <v>45583</v>
      </c>
      <c r="C386" s="166">
        <v>130.54230420161514</v>
      </c>
      <c r="D386" s="166">
        <v>40.505689176644211</v>
      </c>
      <c r="E386" s="166">
        <f t="shared" si="24"/>
        <v>40.505689176644211</v>
      </c>
      <c r="F386" s="188" t="str">
        <f t="shared" si="25"/>
        <v/>
      </c>
      <c r="H386" t="str">
        <f t="shared" si="27"/>
        <v/>
      </c>
      <c r="I386" s="188" t="str">
        <f t="shared" si="26"/>
        <v/>
      </c>
    </row>
    <row r="387" spans="1:9">
      <c r="A387">
        <v>384</v>
      </c>
      <c r="B387" s="46">
        <v>45584</v>
      </c>
      <c r="C387" s="166">
        <v>125.60238285760954</v>
      </c>
      <c r="D387" s="166">
        <v>40.505689176644211</v>
      </c>
      <c r="E387" s="166">
        <f t="shared" si="24"/>
        <v>40.505689176644211</v>
      </c>
      <c r="F387" s="188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8" t="str">
        <f t="shared" si="26"/>
        <v/>
      </c>
    </row>
    <row r="388" spans="1:9">
      <c r="A388">
        <v>385</v>
      </c>
      <c r="B388" s="46">
        <v>45585</v>
      </c>
      <c r="C388" s="166">
        <v>114.77731400161326</v>
      </c>
      <c r="D388" s="166">
        <v>40.505689176644211</v>
      </c>
      <c r="E388" s="166">
        <f t="shared" ref="E388:E395" si="29">IF(C388&lt;D388,C388,D388)</f>
        <v>40.505689176644211</v>
      </c>
      <c r="F388" s="188" t="str">
        <f t="shared" si="28"/>
        <v/>
      </c>
      <c r="H388" t="str">
        <f t="shared" si="27"/>
        <v/>
      </c>
      <c r="I388" s="188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45586</v>
      </c>
      <c r="C389" s="166">
        <v>146.65737781060952</v>
      </c>
      <c r="D389" s="166">
        <v>40.505689176644211</v>
      </c>
      <c r="E389" s="166">
        <f t="shared" si="29"/>
        <v>40.505689176644211</v>
      </c>
      <c r="F389" s="188" t="str">
        <f t="shared" si="28"/>
        <v/>
      </c>
      <c r="H389" t="str">
        <f t="shared" ref="H389:H452" si="31">IF(MONTH(B389)=1,IF(DAY(B389)=1,YEAR(B389),""),"")</f>
        <v/>
      </c>
      <c r="I389" s="188" t="str">
        <f t="shared" si="30"/>
        <v/>
      </c>
    </row>
    <row r="390" spans="1:9">
      <c r="A390">
        <v>387</v>
      </c>
      <c r="B390" s="46">
        <v>45587</v>
      </c>
      <c r="C390" s="166">
        <v>144.62549306961139</v>
      </c>
      <c r="D390" s="166">
        <v>40.505689176644211</v>
      </c>
      <c r="E390" s="166">
        <f t="shared" si="29"/>
        <v>40.505689176644211</v>
      </c>
      <c r="F390" s="188" t="str">
        <f t="shared" si="28"/>
        <v/>
      </c>
      <c r="H390" t="str">
        <f t="shared" si="31"/>
        <v/>
      </c>
      <c r="I390" s="188" t="str">
        <f t="shared" si="30"/>
        <v/>
      </c>
    </row>
    <row r="391" spans="1:9">
      <c r="A391">
        <v>388</v>
      </c>
      <c r="B391" s="46">
        <v>45588</v>
      </c>
      <c r="C391" s="166">
        <v>99.303005761531949</v>
      </c>
      <c r="D391" s="166">
        <v>40.505689176644211</v>
      </c>
      <c r="E391" s="166">
        <f t="shared" si="29"/>
        <v>40.505689176644211</v>
      </c>
      <c r="F391" s="188" t="str">
        <f t="shared" si="28"/>
        <v/>
      </c>
      <c r="H391" t="str">
        <f t="shared" si="31"/>
        <v/>
      </c>
      <c r="I391" s="188" t="str">
        <f t="shared" si="30"/>
        <v/>
      </c>
    </row>
    <row r="392" spans="1:9">
      <c r="A392">
        <v>389</v>
      </c>
      <c r="B392" s="46">
        <v>45589</v>
      </c>
      <c r="C392" s="166">
        <v>89.790892455530084</v>
      </c>
      <c r="D392" s="166">
        <v>40.505689176644211</v>
      </c>
      <c r="E392" s="166">
        <f t="shared" si="29"/>
        <v>40.505689176644211</v>
      </c>
      <c r="F392" s="188" t="str">
        <f t="shared" si="28"/>
        <v/>
      </c>
      <c r="H392" t="str">
        <f t="shared" si="31"/>
        <v/>
      </c>
      <c r="I392" s="188" t="str">
        <f t="shared" si="30"/>
        <v/>
      </c>
    </row>
    <row r="393" spans="1:9">
      <c r="A393">
        <v>390</v>
      </c>
      <c r="B393" s="46">
        <v>45590</v>
      </c>
      <c r="C393" s="166">
        <v>108.95479519853195</v>
      </c>
      <c r="D393" s="166">
        <v>40.505689176644211</v>
      </c>
      <c r="E393" s="166">
        <f t="shared" si="29"/>
        <v>40.505689176644211</v>
      </c>
      <c r="F393" s="188" t="str">
        <f t="shared" si="28"/>
        <v/>
      </c>
      <c r="H393" t="str">
        <f t="shared" si="31"/>
        <v/>
      </c>
      <c r="I393" s="188" t="str">
        <f t="shared" si="30"/>
        <v/>
      </c>
    </row>
    <row r="394" spans="1:9">
      <c r="A394">
        <v>391</v>
      </c>
      <c r="B394" s="46">
        <v>45591</v>
      </c>
      <c r="C394" s="166">
        <v>104.75625435853009</v>
      </c>
      <c r="D394" s="166">
        <v>40.505689176644211</v>
      </c>
      <c r="E394" s="166">
        <f t="shared" si="29"/>
        <v>40.505689176644211</v>
      </c>
      <c r="F394" s="188" t="str">
        <f t="shared" si="28"/>
        <v/>
      </c>
      <c r="H394" t="str">
        <f t="shared" si="31"/>
        <v/>
      </c>
      <c r="I394" s="188" t="str">
        <f t="shared" si="30"/>
        <v/>
      </c>
    </row>
    <row r="395" spans="1:9">
      <c r="A395">
        <v>392</v>
      </c>
      <c r="B395" s="46">
        <v>45592</v>
      </c>
      <c r="C395" s="166">
        <v>100.9805895135338</v>
      </c>
      <c r="D395" s="166">
        <v>40.505689176644211</v>
      </c>
      <c r="E395" s="166">
        <f t="shared" si="29"/>
        <v>40.505689176644211</v>
      </c>
      <c r="F395" s="188" t="str">
        <f t="shared" si="28"/>
        <v/>
      </c>
      <c r="H395" t="str">
        <f t="shared" si="31"/>
        <v/>
      </c>
      <c r="I395" s="188" t="str">
        <f t="shared" si="30"/>
        <v/>
      </c>
    </row>
    <row r="396" spans="1:9">
      <c r="A396">
        <v>393</v>
      </c>
      <c r="B396" s="46">
        <v>45593</v>
      </c>
      <c r="C396" s="166">
        <v>85.280425566530084</v>
      </c>
      <c r="D396" s="166">
        <v>40.505689176644211</v>
      </c>
      <c r="E396" s="166">
        <f t="shared" ref="E396:E398" si="32">IF(C396&lt;D396,C396,D396)</f>
        <v>40.505689176644211</v>
      </c>
      <c r="F396" s="188" t="str">
        <f t="shared" si="28"/>
        <v/>
      </c>
      <c r="H396" t="str">
        <f t="shared" si="31"/>
        <v/>
      </c>
      <c r="I396" s="188" t="str">
        <f t="shared" si="30"/>
        <v/>
      </c>
    </row>
    <row r="397" spans="1:9">
      <c r="A397">
        <v>394</v>
      </c>
      <c r="B397" s="46">
        <v>45594</v>
      </c>
      <c r="C397" s="166">
        <v>107.49838493853008</v>
      </c>
      <c r="D397" s="166">
        <v>40.505689176644211</v>
      </c>
      <c r="E397" s="166">
        <f t="shared" si="32"/>
        <v>40.505689176644211</v>
      </c>
      <c r="F397" s="188" t="str">
        <f t="shared" si="28"/>
        <v/>
      </c>
      <c r="H397" t="str">
        <f t="shared" si="31"/>
        <v/>
      </c>
      <c r="I397" s="188" t="str">
        <f t="shared" si="30"/>
        <v/>
      </c>
    </row>
    <row r="398" spans="1:9">
      <c r="A398">
        <v>395</v>
      </c>
      <c r="B398" s="46">
        <v>45595</v>
      </c>
      <c r="C398" s="166">
        <v>114.20029164982061</v>
      </c>
      <c r="D398" s="166">
        <v>40.505689176644211</v>
      </c>
      <c r="E398" s="166">
        <f t="shared" si="32"/>
        <v>40.505689176644211</v>
      </c>
      <c r="F398" s="188" t="str">
        <f t="shared" si="28"/>
        <v/>
      </c>
      <c r="H398" t="str">
        <f t="shared" si="31"/>
        <v/>
      </c>
      <c r="I398" s="188" t="str">
        <f t="shared" si="30"/>
        <v/>
      </c>
    </row>
    <row r="399" spans="1:9">
      <c r="A399">
        <v>396</v>
      </c>
      <c r="B399" s="46">
        <v>45596</v>
      </c>
      <c r="C399" s="166">
        <v>120.56744921381875</v>
      </c>
      <c r="D399" s="166">
        <v>40.505689176644211</v>
      </c>
      <c r="E399" s="166">
        <f t="shared" ref="E399:E462" si="33">IF(C399&lt;D399,C399,D399)</f>
        <v>40.505689176644211</v>
      </c>
      <c r="F399" s="188" t="str">
        <f t="shared" si="28"/>
        <v/>
      </c>
      <c r="H399" t="str">
        <f t="shared" si="31"/>
        <v/>
      </c>
      <c r="I399" s="188" t="str">
        <f t="shared" si="30"/>
        <v/>
      </c>
    </row>
    <row r="400" spans="1:9">
      <c r="A400">
        <v>397</v>
      </c>
      <c r="B400" s="46">
        <v>45597</v>
      </c>
      <c r="C400" s="166">
        <v>108.72068790582061</v>
      </c>
      <c r="D400" s="166">
        <v>82.040549235563063</v>
      </c>
      <c r="E400" s="166">
        <f t="shared" si="33"/>
        <v>82.040549235563063</v>
      </c>
      <c r="F400" s="188" t="str">
        <f t="shared" si="28"/>
        <v/>
      </c>
      <c r="H400" t="str">
        <f t="shared" si="31"/>
        <v/>
      </c>
      <c r="I400" s="188" t="str">
        <f t="shared" si="30"/>
        <v/>
      </c>
    </row>
    <row r="401" spans="1:9">
      <c r="A401">
        <v>398</v>
      </c>
      <c r="B401" s="46">
        <v>45598</v>
      </c>
      <c r="C401" s="166">
        <v>109.19724974981874</v>
      </c>
      <c r="D401" s="166">
        <v>82.040549235563063</v>
      </c>
      <c r="E401" s="166">
        <f t="shared" si="33"/>
        <v>82.040549235563063</v>
      </c>
      <c r="F401" s="188" t="str">
        <f t="shared" si="28"/>
        <v/>
      </c>
      <c r="H401" t="str">
        <f t="shared" si="31"/>
        <v/>
      </c>
      <c r="I401" s="188" t="str">
        <f t="shared" si="30"/>
        <v/>
      </c>
    </row>
    <row r="402" spans="1:9">
      <c r="A402">
        <v>399</v>
      </c>
      <c r="B402" s="46">
        <v>45599</v>
      </c>
      <c r="C402" s="166">
        <v>95.714585525818748</v>
      </c>
      <c r="D402" s="166">
        <v>82.040549235563063</v>
      </c>
      <c r="E402" s="166">
        <f t="shared" si="33"/>
        <v>82.040549235563063</v>
      </c>
      <c r="F402" s="188" t="str">
        <f t="shared" si="28"/>
        <v/>
      </c>
      <c r="H402" t="str">
        <f t="shared" si="31"/>
        <v/>
      </c>
      <c r="I402" s="188" t="str">
        <f t="shared" si="30"/>
        <v/>
      </c>
    </row>
    <row r="403" spans="1:9">
      <c r="A403">
        <v>400</v>
      </c>
      <c r="B403" s="46">
        <v>45600</v>
      </c>
      <c r="C403" s="166">
        <v>119.13054744981875</v>
      </c>
      <c r="D403" s="166">
        <v>82.040549235563063</v>
      </c>
      <c r="E403" s="166">
        <f t="shared" si="33"/>
        <v>82.040549235563063</v>
      </c>
      <c r="F403" s="188" t="str">
        <f t="shared" si="28"/>
        <v/>
      </c>
      <c r="H403" t="str">
        <f t="shared" si="31"/>
        <v/>
      </c>
      <c r="I403" s="188" t="str">
        <f t="shared" si="30"/>
        <v/>
      </c>
    </row>
    <row r="404" spans="1:9">
      <c r="A404">
        <v>401</v>
      </c>
      <c r="B404" s="46">
        <v>45601</v>
      </c>
      <c r="C404" s="166">
        <v>129.5196712458206</v>
      </c>
      <c r="D404" s="166">
        <v>82.040549235563063</v>
      </c>
      <c r="E404" s="166">
        <f t="shared" si="33"/>
        <v>82.040549235563063</v>
      </c>
      <c r="F404" s="188" t="str">
        <f t="shared" si="28"/>
        <v/>
      </c>
      <c r="H404" t="str">
        <f t="shared" si="31"/>
        <v/>
      </c>
      <c r="I404" s="188" t="str">
        <f t="shared" si="30"/>
        <v/>
      </c>
    </row>
    <row r="405" spans="1:9">
      <c r="A405">
        <v>402</v>
      </c>
      <c r="B405" s="46">
        <v>45602</v>
      </c>
      <c r="C405" s="166">
        <v>87.747738995033558</v>
      </c>
      <c r="D405" s="166">
        <v>82.040549235563063</v>
      </c>
      <c r="E405" s="166">
        <f t="shared" si="33"/>
        <v>82.040549235563063</v>
      </c>
      <c r="F405" s="188" t="str">
        <f t="shared" si="28"/>
        <v/>
      </c>
      <c r="H405" t="str">
        <f t="shared" si="31"/>
        <v/>
      </c>
      <c r="I405" s="188" t="str">
        <f t="shared" si="30"/>
        <v/>
      </c>
    </row>
    <row r="406" spans="1:9">
      <c r="A406">
        <v>403</v>
      </c>
      <c r="B406" s="46">
        <v>45603</v>
      </c>
      <c r="C406" s="166">
        <v>88.905466919029848</v>
      </c>
      <c r="D406" s="166">
        <v>82.040549235563063</v>
      </c>
      <c r="E406" s="166">
        <f t="shared" si="33"/>
        <v>82.040549235563063</v>
      </c>
      <c r="F406" s="188" t="str">
        <f t="shared" si="28"/>
        <v/>
      </c>
      <c r="H406" t="str">
        <f t="shared" si="31"/>
        <v/>
      </c>
      <c r="I406" s="188" t="str">
        <f t="shared" si="30"/>
        <v/>
      </c>
    </row>
    <row r="407" spans="1:9">
      <c r="A407">
        <v>404</v>
      </c>
      <c r="B407" s="46">
        <v>45604</v>
      </c>
      <c r="C407" s="166">
        <v>102.83224174303358</v>
      </c>
      <c r="D407" s="166">
        <v>82.040549235563063</v>
      </c>
      <c r="E407" s="166">
        <f t="shared" si="33"/>
        <v>82.040549235563063</v>
      </c>
      <c r="F407" s="188" t="str">
        <f t="shared" si="28"/>
        <v/>
      </c>
      <c r="H407" t="str">
        <f t="shared" si="31"/>
        <v/>
      </c>
      <c r="I407" s="188" t="str">
        <f t="shared" si="30"/>
        <v/>
      </c>
    </row>
    <row r="408" spans="1:9">
      <c r="A408">
        <v>405</v>
      </c>
      <c r="B408" s="46">
        <v>45605</v>
      </c>
      <c r="C408" s="166">
        <v>68.936405255031715</v>
      </c>
      <c r="D408" s="166">
        <v>82.040549235563063</v>
      </c>
      <c r="E408" s="166">
        <f t="shared" si="33"/>
        <v>68.936405255031715</v>
      </c>
      <c r="F408" s="188" t="str">
        <f t="shared" si="28"/>
        <v/>
      </c>
      <c r="H408" t="str">
        <f t="shared" si="31"/>
        <v/>
      </c>
      <c r="I408" s="188" t="str">
        <f t="shared" si="30"/>
        <v/>
      </c>
    </row>
    <row r="409" spans="1:9">
      <c r="A409">
        <v>406</v>
      </c>
      <c r="B409" s="46">
        <v>45606</v>
      </c>
      <c r="C409" s="166">
        <v>48.757162151029846</v>
      </c>
      <c r="D409" s="166">
        <v>82.040549235563063</v>
      </c>
      <c r="E409" s="166">
        <f t="shared" si="33"/>
        <v>48.757162151029846</v>
      </c>
      <c r="F409" s="188" t="str">
        <f t="shared" si="28"/>
        <v/>
      </c>
      <c r="H409" t="str">
        <f t="shared" si="31"/>
        <v/>
      </c>
      <c r="I409" s="188" t="str">
        <f t="shared" si="30"/>
        <v/>
      </c>
    </row>
    <row r="410" spans="1:9">
      <c r="A410">
        <v>407</v>
      </c>
      <c r="B410" s="46">
        <v>45607</v>
      </c>
      <c r="C410" s="166">
        <v>48.689695399035436</v>
      </c>
      <c r="D410" s="166">
        <v>82.040549235563063</v>
      </c>
      <c r="E410" s="166">
        <f t="shared" si="33"/>
        <v>48.689695399035436</v>
      </c>
      <c r="F410" s="188" t="str">
        <f t="shared" si="28"/>
        <v/>
      </c>
      <c r="H410" t="str">
        <f t="shared" si="31"/>
        <v/>
      </c>
      <c r="I410" s="188" t="str">
        <f t="shared" si="30"/>
        <v/>
      </c>
    </row>
    <row r="411" spans="1:9">
      <c r="A411">
        <v>408</v>
      </c>
      <c r="B411" s="46">
        <v>45608</v>
      </c>
      <c r="C411" s="166">
        <v>40.047803227031707</v>
      </c>
      <c r="D411" s="166">
        <v>82.040549235563063</v>
      </c>
      <c r="E411" s="166">
        <f t="shared" si="33"/>
        <v>40.047803227031707</v>
      </c>
      <c r="F411" s="188" t="str">
        <f t="shared" si="28"/>
        <v/>
      </c>
      <c r="H411" t="str">
        <f t="shared" si="31"/>
        <v/>
      </c>
      <c r="I411" s="188" t="str">
        <f t="shared" si="30"/>
        <v/>
      </c>
    </row>
    <row r="412" spans="1:9">
      <c r="A412">
        <v>409</v>
      </c>
      <c r="B412" s="46">
        <v>45609</v>
      </c>
      <c r="C412" s="166">
        <v>68.855309445166483</v>
      </c>
      <c r="D412" s="166">
        <v>82.040549235563063</v>
      </c>
      <c r="E412" s="166">
        <f t="shared" si="33"/>
        <v>68.855309445166483</v>
      </c>
      <c r="F412" s="188" t="str">
        <f t="shared" si="28"/>
        <v/>
      </c>
      <c r="H412" t="str">
        <f t="shared" si="31"/>
        <v/>
      </c>
      <c r="I412" s="188" t="str">
        <f t="shared" si="30"/>
        <v/>
      </c>
    </row>
    <row r="413" spans="1:9">
      <c r="A413">
        <v>410</v>
      </c>
      <c r="B413" s="46">
        <v>45610</v>
      </c>
      <c r="C413" s="166">
        <v>75.299004657168354</v>
      </c>
      <c r="D413" s="166">
        <v>82.040549235563063</v>
      </c>
      <c r="E413" s="166">
        <f t="shared" si="33"/>
        <v>75.299004657168354</v>
      </c>
      <c r="F413" s="188" t="str">
        <f t="shared" si="28"/>
        <v/>
      </c>
      <c r="H413" t="str">
        <f t="shared" si="31"/>
        <v/>
      </c>
      <c r="I413" s="188" t="str">
        <f t="shared" si="30"/>
        <v/>
      </c>
    </row>
    <row r="414" spans="1:9">
      <c r="A414">
        <v>411</v>
      </c>
      <c r="B414" s="46">
        <v>45611</v>
      </c>
      <c r="C414" s="166">
        <v>68.215954553168345</v>
      </c>
      <c r="D414" s="166">
        <v>82.040549235563063</v>
      </c>
      <c r="E414" s="166">
        <f t="shared" si="33"/>
        <v>68.215954553168345</v>
      </c>
      <c r="F414" s="188" t="str">
        <f t="shared" si="28"/>
        <v>N</v>
      </c>
      <c r="G414" s="189">
        <f>IF(DAY(B414)=15,D414,"")</f>
        <v>82.040549235563063</v>
      </c>
      <c r="H414" t="str">
        <f t="shared" si="31"/>
        <v/>
      </c>
      <c r="I414" s="188" t="str">
        <f t="shared" si="30"/>
        <v>N</v>
      </c>
    </row>
    <row r="415" spans="1:9">
      <c r="A415">
        <v>412</v>
      </c>
      <c r="B415" s="46">
        <v>45612</v>
      </c>
      <c r="C415" s="166">
        <v>58.871465425168338</v>
      </c>
      <c r="D415" s="166">
        <v>82.040549235563063</v>
      </c>
      <c r="E415" s="166">
        <f t="shared" si="33"/>
        <v>58.871465425168338</v>
      </c>
      <c r="F415" s="188" t="str">
        <f t="shared" si="28"/>
        <v/>
      </c>
      <c r="H415" t="str">
        <f t="shared" si="31"/>
        <v/>
      </c>
      <c r="I415" s="188" t="str">
        <f t="shared" si="30"/>
        <v/>
      </c>
    </row>
    <row r="416" spans="1:9">
      <c r="A416">
        <v>413</v>
      </c>
      <c r="B416" s="46">
        <v>45613</v>
      </c>
      <c r="C416" s="166">
        <v>58.597059901168336</v>
      </c>
      <c r="D416" s="166">
        <v>82.040549235563063</v>
      </c>
      <c r="E416" s="166">
        <f t="shared" si="33"/>
        <v>58.597059901168336</v>
      </c>
      <c r="F416" s="188" t="str">
        <f t="shared" si="28"/>
        <v/>
      </c>
      <c r="H416" t="str">
        <f t="shared" si="31"/>
        <v/>
      </c>
      <c r="I416" s="188" t="str">
        <f t="shared" si="30"/>
        <v/>
      </c>
    </row>
    <row r="417" spans="1:9">
      <c r="A417">
        <v>414</v>
      </c>
      <c r="B417" s="46">
        <v>45614</v>
      </c>
      <c r="C417" s="166">
        <v>72.038170989168336</v>
      </c>
      <c r="D417" s="166">
        <v>82.040549235563063</v>
      </c>
      <c r="E417" s="166">
        <f t="shared" si="33"/>
        <v>72.038170989168336</v>
      </c>
      <c r="F417" s="188" t="str">
        <f t="shared" si="28"/>
        <v/>
      </c>
      <c r="H417" t="str">
        <f t="shared" si="31"/>
        <v/>
      </c>
      <c r="I417" s="188" t="str">
        <f t="shared" si="30"/>
        <v/>
      </c>
    </row>
    <row r="418" spans="1:9">
      <c r="A418">
        <v>415</v>
      </c>
      <c r="B418" s="46">
        <v>45615</v>
      </c>
      <c r="C418" s="166">
        <v>61.939732837168343</v>
      </c>
      <c r="D418" s="166">
        <v>82.040549235563063</v>
      </c>
      <c r="E418" s="166">
        <f t="shared" si="33"/>
        <v>61.939732837168343</v>
      </c>
      <c r="F418" s="188" t="str">
        <f t="shared" si="28"/>
        <v/>
      </c>
      <c r="H418" t="str">
        <f t="shared" si="31"/>
        <v/>
      </c>
      <c r="I418" s="188" t="str">
        <f t="shared" si="30"/>
        <v/>
      </c>
    </row>
    <row r="419" spans="1:9">
      <c r="A419">
        <v>416</v>
      </c>
      <c r="B419" s="46">
        <v>45616</v>
      </c>
      <c r="C419" s="166">
        <v>57.604023443207126</v>
      </c>
      <c r="D419" s="166">
        <v>82.040549235563063</v>
      </c>
      <c r="E419" s="166">
        <f t="shared" si="33"/>
        <v>57.604023443207126</v>
      </c>
      <c r="F419" s="188" t="str">
        <f t="shared" si="28"/>
        <v/>
      </c>
      <c r="H419" t="str">
        <f t="shared" si="31"/>
        <v/>
      </c>
      <c r="I419" s="188" t="str">
        <f t="shared" si="30"/>
        <v/>
      </c>
    </row>
    <row r="420" spans="1:9">
      <c r="A420">
        <v>417</v>
      </c>
      <c r="B420" s="46">
        <v>45617</v>
      </c>
      <c r="C420" s="166">
        <v>54.52021600720898</v>
      </c>
      <c r="D420" s="166">
        <v>82.040549235563063</v>
      </c>
      <c r="E420" s="166">
        <f t="shared" si="33"/>
        <v>54.52021600720898</v>
      </c>
      <c r="F420" s="188" t="str">
        <f t="shared" si="28"/>
        <v/>
      </c>
      <c r="H420" t="str">
        <f t="shared" si="31"/>
        <v/>
      </c>
      <c r="I420" s="188" t="str">
        <f t="shared" si="30"/>
        <v/>
      </c>
    </row>
    <row r="421" spans="1:9">
      <c r="A421">
        <v>418</v>
      </c>
      <c r="B421" s="46">
        <v>45618</v>
      </c>
      <c r="C421" s="166">
        <v>77.539787579208976</v>
      </c>
      <c r="D421" s="166">
        <v>82.040549235563063</v>
      </c>
      <c r="E421" s="166">
        <f t="shared" si="33"/>
        <v>77.539787579208976</v>
      </c>
      <c r="F421" s="188" t="str">
        <f t="shared" si="28"/>
        <v/>
      </c>
      <c r="H421" t="str">
        <f t="shared" si="31"/>
        <v/>
      </c>
      <c r="I421" s="188" t="str">
        <f t="shared" si="30"/>
        <v/>
      </c>
    </row>
    <row r="422" spans="1:9">
      <c r="A422">
        <v>419</v>
      </c>
      <c r="B422" s="46">
        <v>45619</v>
      </c>
      <c r="C422" s="166">
        <v>43.110696247205254</v>
      </c>
      <c r="D422" s="166">
        <v>82.040549235563063</v>
      </c>
      <c r="E422" s="166">
        <f t="shared" si="33"/>
        <v>43.110696247205254</v>
      </c>
      <c r="F422" s="188" t="str">
        <f t="shared" si="28"/>
        <v/>
      </c>
      <c r="H422" t="str">
        <f t="shared" si="31"/>
        <v/>
      </c>
      <c r="I422" s="188" t="str">
        <f t="shared" si="30"/>
        <v/>
      </c>
    </row>
    <row r="423" spans="1:9">
      <c r="A423">
        <v>420</v>
      </c>
      <c r="B423" s="46">
        <v>45620</v>
      </c>
      <c r="C423" s="166">
        <v>43.692276563208978</v>
      </c>
      <c r="D423" s="166">
        <v>82.040549235563063</v>
      </c>
      <c r="E423" s="166">
        <f t="shared" si="33"/>
        <v>43.692276563208978</v>
      </c>
      <c r="F423" s="188" t="str">
        <f t="shared" si="28"/>
        <v/>
      </c>
      <c r="H423" t="str">
        <f t="shared" si="31"/>
        <v/>
      </c>
      <c r="I423" s="188" t="str">
        <f t="shared" si="30"/>
        <v/>
      </c>
    </row>
    <row r="424" spans="1:9">
      <c r="A424">
        <v>421</v>
      </c>
      <c r="B424" s="46">
        <v>45621</v>
      </c>
      <c r="C424" s="166">
        <v>66.915898435208973</v>
      </c>
      <c r="D424" s="166">
        <v>82.040549235563063</v>
      </c>
      <c r="E424" s="166">
        <f t="shared" si="33"/>
        <v>66.915898435208973</v>
      </c>
      <c r="F424" s="188" t="str">
        <f t="shared" si="28"/>
        <v/>
      </c>
      <c r="H424" t="str">
        <f t="shared" si="31"/>
        <v/>
      </c>
      <c r="I424" s="188" t="str">
        <f t="shared" si="30"/>
        <v/>
      </c>
    </row>
    <row r="425" spans="1:9">
      <c r="A425">
        <v>422</v>
      </c>
      <c r="B425" s="46">
        <v>45622</v>
      </c>
      <c r="C425" s="166">
        <v>92.756794711207121</v>
      </c>
      <c r="D425" s="166">
        <v>82.040549235563063</v>
      </c>
      <c r="E425" s="166">
        <f t="shared" si="33"/>
        <v>82.040549235563063</v>
      </c>
      <c r="F425" s="188" t="str">
        <f t="shared" si="28"/>
        <v/>
      </c>
      <c r="H425" t="str">
        <f t="shared" si="31"/>
        <v/>
      </c>
      <c r="I425" s="188" t="str">
        <f t="shared" si="30"/>
        <v/>
      </c>
    </row>
    <row r="426" spans="1:9">
      <c r="A426">
        <v>423</v>
      </c>
      <c r="B426" s="46">
        <v>45623</v>
      </c>
      <c r="C426" s="166">
        <v>88.907669110948547</v>
      </c>
      <c r="D426" s="166">
        <v>82.040549235563063</v>
      </c>
      <c r="E426" s="166">
        <f t="shared" si="33"/>
        <v>82.040549235563063</v>
      </c>
      <c r="F426" s="188" t="str">
        <f t="shared" si="28"/>
        <v/>
      </c>
      <c r="H426" t="str">
        <f t="shared" si="31"/>
        <v/>
      </c>
      <c r="I426" s="188" t="str">
        <f t="shared" si="30"/>
        <v/>
      </c>
    </row>
    <row r="427" spans="1:9">
      <c r="A427">
        <v>424</v>
      </c>
      <c r="B427" s="46">
        <v>45624</v>
      </c>
      <c r="C427" s="166">
        <v>87.877523222946678</v>
      </c>
      <c r="D427" s="166">
        <v>82.040549235563063</v>
      </c>
      <c r="E427" s="166">
        <f t="shared" si="33"/>
        <v>82.040549235563063</v>
      </c>
      <c r="F427" s="188" t="str">
        <f t="shared" si="28"/>
        <v/>
      </c>
      <c r="H427" t="str">
        <f t="shared" si="31"/>
        <v/>
      </c>
      <c r="I427" s="188" t="str">
        <f t="shared" si="30"/>
        <v/>
      </c>
    </row>
    <row r="428" spans="1:9">
      <c r="A428">
        <v>425</v>
      </c>
      <c r="B428" s="46">
        <v>45625</v>
      </c>
      <c r="C428" s="166">
        <v>83.668051382946686</v>
      </c>
      <c r="D428" s="166">
        <v>82.040549235563063</v>
      </c>
      <c r="E428" s="166">
        <f t="shared" si="33"/>
        <v>82.040549235563063</v>
      </c>
      <c r="F428" s="188" t="str">
        <f t="shared" si="28"/>
        <v/>
      </c>
      <c r="H428" t="str">
        <f t="shared" si="31"/>
        <v/>
      </c>
      <c r="I428" s="188" t="str">
        <f t="shared" si="30"/>
        <v/>
      </c>
    </row>
    <row r="429" spans="1:9">
      <c r="A429">
        <v>426</v>
      </c>
      <c r="B429" s="46">
        <v>45626</v>
      </c>
      <c r="C429" s="166">
        <v>75.554168506946681</v>
      </c>
      <c r="D429" s="166">
        <v>82.040549235563063</v>
      </c>
      <c r="E429" s="166">
        <f t="shared" si="33"/>
        <v>75.554168506946681</v>
      </c>
      <c r="F429" s="188" t="str">
        <f t="shared" si="28"/>
        <v/>
      </c>
      <c r="H429" t="str">
        <f t="shared" si="31"/>
        <v/>
      </c>
      <c r="I429" s="188" t="str">
        <f t="shared" si="30"/>
        <v/>
      </c>
    </row>
    <row r="430" spans="1:9">
      <c r="A430">
        <v>427</v>
      </c>
      <c r="B430" s="46">
        <v>45627</v>
      </c>
      <c r="C430" s="166">
        <v>83.351727374948538</v>
      </c>
      <c r="D430" s="166">
        <v>104.34579689704225</v>
      </c>
      <c r="E430" s="166">
        <f t="shared" si="33"/>
        <v>83.351727374948538</v>
      </c>
      <c r="F430" s="188" t="str">
        <f t="shared" si="28"/>
        <v/>
      </c>
      <c r="H430" t="str">
        <f t="shared" si="31"/>
        <v/>
      </c>
      <c r="I430" s="188" t="str">
        <f t="shared" si="30"/>
        <v/>
      </c>
    </row>
    <row r="431" spans="1:9">
      <c r="A431">
        <v>428</v>
      </c>
      <c r="B431" s="46">
        <v>45628</v>
      </c>
      <c r="C431" s="166">
        <v>89.505745218946672</v>
      </c>
      <c r="D431" s="166">
        <v>104.34579689704225</v>
      </c>
      <c r="E431" s="166">
        <f t="shared" si="33"/>
        <v>89.505745218946672</v>
      </c>
      <c r="F431" s="188" t="str">
        <f t="shared" si="28"/>
        <v/>
      </c>
      <c r="H431" t="str">
        <f t="shared" si="31"/>
        <v/>
      </c>
      <c r="I431" s="188" t="str">
        <f t="shared" si="30"/>
        <v/>
      </c>
    </row>
    <row r="432" spans="1:9">
      <c r="A432">
        <v>429</v>
      </c>
      <c r="B432" s="46">
        <v>45629</v>
      </c>
      <c r="C432" s="166">
        <v>85.303495534948539</v>
      </c>
      <c r="D432" s="166">
        <v>104.34579689704225</v>
      </c>
      <c r="E432" s="166">
        <f t="shared" si="33"/>
        <v>85.303495534948539</v>
      </c>
      <c r="F432" s="188" t="str">
        <f t="shared" si="28"/>
        <v/>
      </c>
      <c r="H432" t="str">
        <f t="shared" si="31"/>
        <v/>
      </c>
      <c r="I432" s="188" t="str">
        <f t="shared" si="30"/>
        <v/>
      </c>
    </row>
    <row r="433" spans="1:9">
      <c r="A433">
        <v>430</v>
      </c>
      <c r="B433" s="46">
        <v>45630</v>
      </c>
      <c r="C433" s="166">
        <v>79.086734727937156</v>
      </c>
      <c r="D433" s="166">
        <v>104.34579689704225</v>
      </c>
      <c r="E433" s="166">
        <f t="shared" si="33"/>
        <v>79.086734727937156</v>
      </c>
      <c r="F433" s="188" t="str">
        <f t="shared" si="28"/>
        <v/>
      </c>
      <c r="H433" t="str">
        <f t="shared" si="31"/>
        <v/>
      </c>
      <c r="I433" s="188" t="str">
        <f t="shared" si="30"/>
        <v/>
      </c>
    </row>
    <row r="434" spans="1:9">
      <c r="A434">
        <v>431</v>
      </c>
      <c r="B434" s="46">
        <v>45631</v>
      </c>
      <c r="C434" s="166">
        <v>78.93060100793528</v>
      </c>
      <c r="D434" s="166">
        <v>104.34579689704225</v>
      </c>
      <c r="E434" s="166">
        <f t="shared" si="33"/>
        <v>78.93060100793528</v>
      </c>
      <c r="F434" s="188" t="str">
        <f t="shared" si="28"/>
        <v/>
      </c>
      <c r="H434" t="str">
        <f t="shared" si="31"/>
        <v/>
      </c>
      <c r="I434" s="188" t="str">
        <f t="shared" si="30"/>
        <v/>
      </c>
    </row>
    <row r="435" spans="1:9">
      <c r="A435">
        <v>432</v>
      </c>
      <c r="B435" s="46">
        <v>45632</v>
      </c>
      <c r="C435" s="166">
        <v>64.088982263935293</v>
      </c>
      <c r="D435" s="166">
        <v>104.34579689704225</v>
      </c>
      <c r="E435" s="166">
        <f t="shared" si="33"/>
        <v>64.088982263935293</v>
      </c>
      <c r="F435" s="188" t="str">
        <f t="shared" si="28"/>
        <v/>
      </c>
      <c r="H435" t="str">
        <f t="shared" si="31"/>
        <v/>
      </c>
      <c r="I435" s="188" t="str">
        <f t="shared" si="30"/>
        <v/>
      </c>
    </row>
    <row r="436" spans="1:9">
      <c r="A436">
        <v>433</v>
      </c>
      <c r="B436" s="46">
        <v>45633</v>
      </c>
      <c r="C436" s="166">
        <v>40.162962339937152</v>
      </c>
      <c r="D436" s="166">
        <v>104.34579689704225</v>
      </c>
      <c r="E436" s="166">
        <f t="shared" si="33"/>
        <v>40.162962339937152</v>
      </c>
      <c r="F436" s="188" t="str">
        <f t="shared" si="28"/>
        <v/>
      </c>
      <c r="H436" t="str">
        <f t="shared" si="31"/>
        <v/>
      </c>
      <c r="I436" s="188" t="str">
        <f t="shared" si="30"/>
        <v/>
      </c>
    </row>
    <row r="437" spans="1:9">
      <c r="A437">
        <v>434</v>
      </c>
      <c r="B437" s="46">
        <v>45634</v>
      </c>
      <c r="C437" s="166">
        <v>38.804149971937157</v>
      </c>
      <c r="D437" s="166">
        <v>104.34579689704225</v>
      </c>
      <c r="E437" s="166">
        <f t="shared" si="33"/>
        <v>38.804149971937157</v>
      </c>
      <c r="F437" s="188" t="str">
        <f t="shared" si="28"/>
        <v/>
      </c>
      <c r="H437" t="str">
        <f t="shared" si="31"/>
        <v/>
      </c>
      <c r="I437" s="188" t="str">
        <f t="shared" si="30"/>
        <v/>
      </c>
    </row>
    <row r="438" spans="1:9">
      <c r="A438">
        <v>435</v>
      </c>
      <c r="B438" s="46">
        <v>45635</v>
      </c>
      <c r="C438" s="166">
        <v>63.322006991937151</v>
      </c>
      <c r="D438" s="166">
        <v>104.34579689704225</v>
      </c>
      <c r="E438" s="166">
        <f t="shared" si="33"/>
        <v>63.322006991937151</v>
      </c>
      <c r="F438" s="188" t="str">
        <f t="shared" si="28"/>
        <v/>
      </c>
      <c r="H438" t="str">
        <f t="shared" si="31"/>
        <v/>
      </c>
      <c r="I438" s="188" t="str">
        <f t="shared" si="30"/>
        <v/>
      </c>
    </row>
    <row r="439" spans="1:9">
      <c r="A439">
        <v>436</v>
      </c>
      <c r="B439" s="46">
        <v>45636</v>
      </c>
      <c r="C439" s="166">
        <v>102.49785781593529</v>
      </c>
      <c r="D439" s="166">
        <v>104.34579689704225</v>
      </c>
      <c r="E439" s="166">
        <f t="shared" si="33"/>
        <v>102.49785781593529</v>
      </c>
      <c r="F439" s="188" t="str">
        <f t="shared" si="28"/>
        <v/>
      </c>
      <c r="H439" t="str">
        <f t="shared" si="31"/>
        <v/>
      </c>
      <c r="I439" s="188" t="str">
        <f t="shared" si="30"/>
        <v/>
      </c>
    </row>
    <row r="440" spans="1:9">
      <c r="A440">
        <v>437</v>
      </c>
      <c r="B440" s="46">
        <v>45637</v>
      </c>
      <c r="C440" s="166">
        <v>108.2293404624332</v>
      </c>
      <c r="D440" s="166">
        <v>104.34579689704225</v>
      </c>
      <c r="E440" s="166">
        <f t="shared" si="33"/>
        <v>104.34579689704225</v>
      </c>
      <c r="F440" s="188" t="str">
        <f t="shared" si="28"/>
        <v/>
      </c>
      <c r="H440" t="str">
        <f t="shared" si="31"/>
        <v/>
      </c>
      <c r="I440" s="188" t="str">
        <f t="shared" si="30"/>
        <v/>
      </c>
    </row>
    <row r="441" spans="1:9">
      <c r="A441">
        <v>438</v>
      </c>
      <c r="B441" s="46">
        <v>45638</v>
      </c>
      <c r="C441" s="166">
        <v>113.80277490243134</v>
      </c>
      <c r="D441" s="166">
        <v>104.34579689704225</v>
      </c>
      <c r="E441" s="166">
        <f t="shared" si="33"/>
        <v>104.34579689704225</v>
      </c>
      <c r="F441" s="188" t="str">
        <f t="shared" si="28"/>
        <v/>
      </c>
      <c r="H441" t="str">
        <f t="shared" si="31"/>
        <v/>
      </c>
      <c r="I441" s="188" t="str">
        <f t="shared" si="30"/>
        <v/>
      </c>
    </row>
    <row r="442" spans="1:9">
      <c r="A442">
        <v>439</v>
      </c>
      <c r="B442" s="46">
        <v>45639</v>
      </c>
      <c r="C442" s="166">
        <v>110.82258629043135</v>
      </c>
      <c r="D442" s="166">
        <v>104.34579689704225</v>
      </c>
      <c r="E442" s="166">
        <f t="shared" si="33"/>
        <v>104.34579689704225</v>
      </c>
      <c r="F442" s="188" t="str">
        <f t="shared" si="28"/>
        <v/>
      </c>
      <c r="H442" t="str">
        <f t="shared" si="31"/>
        <v/>
      </c>
      <c r="I442" s="188" t="str">
        <f t="shared" si="30"/>
        <v/>
      </c>
    </row>
    <row r="443" spans="1:9">
      <c r="A443">
        <v>440</v>
      </c>
      <c r="B443" s="46">
        <v>45640</v>
      </c>
      <c r="C443" s="166">
        <v>80.227083350431329</v>
      </c>
      <c r="D443" s="166">
        <v>104.34579689704225</v>
      </c>
      <c r="E443" s="166">
        <f t="shared" si="33"/>
        <v>80.227083350431329</v>
      </c>
      <c r="F443" s="188" t="str">
        <f t="shared" si="28"/>
        <v/>
      </c>
      <c r="H443" t="str">
        <f t="shared" si="31"/>
        <v/>
      </c>
      <c r="I443" s="188" t="str">
        <f t="shared" si="30"/>
        <v/>
      </c>
    </row>
    <row r="444" spans="1:9">
      <c r="A444">
        <v>441</v>
      </c>
      <c r="B444" s="46">
        <v>45641</v>
      </c>
      <c r="C444" s="166">
        <v>39.7176590744332</v>
      </c>
      <c r="D444" s="166">
        <v>104.34579689704225</v>
      </c>
      <c r="E444" s="166">
        <f t="shared" si="33"/>
        <v>39.7176590744332</v>
      </c>
      <c r="F444" s="188" t="str">
        <f t="shared" si="28"/>
        <v>D</v>
      </c>
      <c r="G444" s="189">
        <f>IF(DAY(B444)=15,D444,"")</f>
        <v>104.34579689704225</v>
      </c>
      <c r="H444" t="str">
        <f t="shared" si="31"/>
        <v/>
      </c>
      <c r="I444" s="188" t="str">
        <f t="shared" si="30"/>
        <v>D</v>
      </c>
    </row>
    <row r="445" spans="1:9">
      <c r="A445">
        <v>442</v>
      </c>
      <c r="B445" s="46">
        <v>45642</v>
      </c>
      <c r="C445" s="166">
        <v>64.088950914433198</v>
      </c>
      <c r="D445" s="166">
        <v>104.34579689704225</v>
      </c>
      <c r="E445" s="166">
        <f t="shared" si="33"/>
        <v>64.088950914433198</v>
      </c>
      <c r="F445" s="188" t="str">
        <f t="shared" si="28"/>
        <v/>
      </c>
      <c r="H445" t="str">
        <f t="shared" si="31"/>
        <v/>
      </c>
      <c r="I445" s="188" t="str">
        <f t="shared" si="30"/>
        <v/>
      </c>
    </row>
    <row r="446" spans="1:9">
      <c r="A446">
        <v>443</v>
      </c>
      <c r="B446" s="46">
        <v>45643</v>
      </c>
      <c r="C446" s="166">
        <v>70.47621098243134</v>
      </c>
      <c r="D446" s="166">
        <v>104.34579689704225</v>
      </c>
      <c r="E446" s="166">
        <f t="shared" si="33"/>
        <v>70.47621098243134</v>
      </c>
      <c r="F446" s="188" t="str">
        <f t="shared" si="28"/>
        <v/>
      </c>
      <c r="H446" t="str">
        <f t="shared" si="31"/>
        <v/>
      </c>
      <c r="I446" s="188" t="str">
        <f t="shared" si="30"/>
        <v/>
      </c>
    </row>
    <row r="447" spans="1:9">
      <c r="A447">
        <v>444</v>
      </c>
      <c r="B447" s="46">
        <v>45644</v>
      </c>
      <c r="C447" s="166">
        <v>92.598211698818446</v>
      </c>
      <c r="D447" s="166">
        <v>104.34579689704225</v>
      </c>
      <c r="E447" s="166">
        <f t="shared" si="33"/>
        <v>92.598211698818446</v>
      </c>
      <c r="F447" s="188" t="str">
        <f t="shared" si="28"/>
        <v/>
      </c>
      <c r="H447" t="str">
        <f t="shared" si="31"/>
        <v/>
      </c>
      <c r="I447" s="188" t="str">
        <f t="shared" si="30"/>
        <v/>
      </c>
    </row>
    <row r="448" spans="1:9">
      <c r="A448">
        <v>445</v>
      </c>
      <c r="B448" s="46">
        <v>45645</v>
      </c>
      <c r="C448" s="166">
        <v>75.712627666816587</v>
      </c>
      <c r="D448" s="166">
        <v>104.34579689704225</v>
      </c>
      <c r="E448" s="166">
        <f t="shared" si="33"/>
        <v>75.712627666816587</v>
      </c>
      <c r="F448" s="188" t="str">
        <f t="shared" si="28"/>
        <v/>
      </c>
      <c r="H448" t="str">
        <f t="shared" si="31"/>
        <v/>
      </c>
      <c r="I448" s="188" t="str">
        <f t="shared" si="30"/>
        <v/>
      </c>
    </row>
    <row r="449" spans="1:9">
      <c r="A449">
        <v>446</v>
      </c>
      <c r="B449" s="46">
        <v>45646</v>
      </c>
      <c r="C449" s="166">
        <v>92.45569500281843</v>
      </c>
      <c r="D449" s="166">
        <v>104.34579689704225</v>
      </c>
      <c r="E449" s="166">
        <f t="shared" si="33"/>
        <v>92.45569500281843</v>
      </c>
      <c r="F449" s="188" t="str">
        <f t="shared" si="28"/>
        <v/>
      </c>
      <c r="H449" t="str">
        <f t="shared" si="31"/>
        <v/>
      </c>
      <c r="I449" s="188" t="str">
        <f t="shared" si="30"/>
        <v/>
      </c>
    </row>
    <row r="450" spans="1:9">
      <c r="A450">
        <v>447</v>
      </c>
      <c r="B450" s="46">
        <v>45647</v>
      </c>
      <c r="C450" s="166">
        <v>78.206707970816581</v>
      </c>
      <c r="D450" s="166">
        <v>104.34579689704225</v>
      </c>
      <c r="E450" s="166">
        <f t="shared" si="33"/>
        <v>78.206707970816581</v>
      </c>
      <c r="F450" s="188" t="str">
        <f t="shared" si="28"/>
        <v/>
      </c>
      <c r="H450" t="str">
        <f t="shared" si="31"/>
        <v/>
      </c>
      <c r="I450" s="188" t="str">
        <f t="shared" si="30"/>
        <v/>
      </c>
    </row>
    <row r="451" spans="1:9">
      <c r="A451">
        <v>448</v>
      </c>
      <c r="B451" s="46">
        <v>45648</v>
      </c>
      <c r="C451" s="166">
        <v>61.799051530818438</v>
      </c>
      <c r="D451" s="166">
        <v>104.34579689704225</v>
      </c>
      <c r="E451" s="166">
        <f t="shared" si="33"/>
        <v>61.799051530818438</v>
      </c>
      <c r="F451" s="188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8" t="str">
        <f t="shared" si="30"/>
        <v/>
      </c>
    </row>
    <row r="452" spans="1:9">
      <c r="A452">
        <v>449</v>
      </c>
      <c r="B452" s="46">
        <v>45649</v>
      </c>
      <c r="C452" s="166">
        <v>57.386626711818444</v>
      </c>
      <c r="D452" s="166">
        <v>104.34579689704225</v>
      </c>
      <c r="E452" s="166">
        <f t="shared" si="33"/>
        <v>57.386626711818444</v>
      </c>
      <c r="F452" s="188" t="str">
        <f t="shared" si="34"/>
        <v/>
      </c>
      <c r="H452" t="str">
        <f t="shared" si="31"/>
        <v/>
      </c>
      <c r="I452" s="188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45650</v>
      </c>
      <c r="C453" s="166">
        <v>52.449582449816582</v>
      </c>
      <c r="D453" s="166">
        <v>104.34579689704225</v>
      </c>
      <c r="E453" s="166">
        <f t="shared" si="33"/>
        <v>52.449582449816582</v>
      </c>
      <c r="F453" s="188" t="str">
        <f t="shared" si="34"/>
        <v/>
      </c>
      <c r="H453" t="str">
        <f t="shared" ref="H453:H516" si="36">IF(MONTH(B453)=1,IF(DAY(B453)=1,YEAR(B453),""),"")</f>
        <v/>
      </c>
      <c r="I453" s="188" t="str">
        <f t="shared" si="35"/>
        <v/>
      </c>
    </row>
    <row r="454" spans="1:9">
      <c r="A454">
        <v>451</v>
      </c>
      <c r="B454" s="46">
        <v>45651</v>
      </c>
      <c r="C454" s="166">
        <v>61.08341566762121</v>
      </c>
      <c r="D454" s="166">
        <v>104.34579689704225</v>
      </c>
      <c r="E454" s="166">
        <f t="shared" si="33"/>
        <v>61.08341566762121</v>
      </c>
      <c r="F454" s="188" t="str">
        <f t="shared" si="34"/>
        <v/>
      </c>
      <c r="H454" t="str">
        <f t="shared" si="36"/>
        <v/>
      </c>
      <c r="I454" s="188" t="str">
        <f t="shared" si="35"/>
        <v/>
      </c>
    </row>
    <row r="455" spans="1:9">
      <c r="A455">
        <v>452</v>
      </c>
      <c r="B455" s="46">
        <v>45652</v>
      </c>
      <c r="C455" s="166">
        <v>89.46091912362121</v>
      </c>
      <c r="D455" s="166">
        <v>104.34579689704225</v>
      </c>
      <c r="E455" s="166">
        <f t="shared" si="33"/>
        <v>89.46091912362121</v>
      </c>
      <c r="F455" s="188" t="str">
        <f t="shared" si="34"/>
        <v/>
      </c>
      <c r="H455" t="str">
        <f t="shared" si="36"/>
        <v/>
      </c>
      <c r="I455" s="188" t="str">
        <f t="shared" si="35"/>
        <v/>
      </c>
    </row>
    <row r="456" spans="1:9">
      <c r="A456">
        <v>453</v>
      </c>
      <c r="B456" s="46">
        <v>45653</v>
      </c>
      <c r="C456" s="166">
        <v>90.775996751621207</v>
      </c>
      <c r="D456" s="166">
        <v>104.34579689704225</v>
      </c>
      <c r="E456" s="166">
        <f t="shared" si="33"/>
        <v>90.775996751621207</v>
      </c>
      <c r="F456" s="188" t="str">
        <f t="shared" si="34"/>
        <v/>
      </c>
      <c r="H456" t="str">
        <f t="shared" si="36"/>
        <v/>
      </c>
      <c r="I456" s="188" t="str">
        <f t="shared" si="35"/>
        <v/>
      </c>
    </row>
    <row r="457" spans="1:9">
      <c r="A457">
        <v>454</v>
      </c>
      <c r="B457" s="46">
        <v>45654</v>
      </c>
      <c r="C457" s="166">
        <v>93.651292132621208</v>
      </c>
      <c r="D457" s="166">
        <v>104.34579689704225</v>
      </c>
      <c r="E457" s="166">
        <f t="shared" si="33"/>
        <v>93.651292132621208</v>
      </c>
      <c r="F457" s="188" t="str">
        <f t="shared" si="34"/>
        <v/>
      </c>
      <c r="H457" t="str">
        <f t="shared" si="36"/>
        <v/>
      </c>
      <c r="I457" s="188" t="str">
        <f t="shared" si="35"/>
        <v/>
      </c>
    </row>
    <row r="458" spans="1:9">
      <c r="A458">
        <v>455</v>
      </c>
      <c r="B458" s="46">
        <v>45655</v>
      </c>
      <c r="C458" s="166">
        <v>85.887283035621209</v>
      </c>
      <c r="D458" s="166">
        <v>104.34579689704225</v>
      </c>
      <c r="E458" s="166">
        <f t="shared" si="33"/>
        <v>85.887283035621209</v>
      </c>
      <c r="F458" s="188" t="str">
        <f t="shared" si="34"/>
        <v/>
      </c>
      <c r="H458" t="str">
        <f t="shared" si="36"/>
        <v/>
      </c>
      <c r="I458" s="188" t="str">
        <f t="shared" si="35"/>
        <v/>
      </c>
    </row>
    <row r="459" spans="1:9">
      <c r="A459">
        <v>456</v>
      </c>
      <c r="B459" s="46">
        <v>45656</v>
      </c>
      <c r="C459" s="166">
        <v>98.553430639621212</v>
      </c>
      <c r="D459" s="166">
        <v>104.34579689704225</v>
      </c>
      <c r="E459" s="166">
        <f t="shared" si="33"/>
        <v>98.553430639621212</v>
      </c>
      <c r="F459" s="188" t="str">
        <f t="shared" si="34"/>
        <v/>
      </c>
      <c r="H459" t="str">
        <f t="shared" si="36"/>
        <v/>
      </c>
      <c r="I459" s="188" t="str">
        <f t="shared" si="35"/>
        <v/>
      </c>
    </row>
    <row r="460" spans="1:9">
      <c r="A460">
        <v>457</v>
      </c>
      <c r="B460" s="46">
        <v>45657</v>
      </c>
      <c r="C460" s="166">
        <v>93.224963215623077</v>
      </c>
      <c r="D460" s="166">
        <v>104.34579689704225</v>
      </c>
      <c r="E460" s="166">
        <f t="shared" si="33"/>
        <v>93.224963215623077</v>
      </c>
      <c r="F460" s="188" t="str">
        <f t="shared" si="34"/>
        <v/>
      </c>
      <c r="H460" t="str">
        <f t="shared" si="36"/>
        <v/>
      </c>
      <c r="I460" s="188" t="str">
        <f t="shared" si="35"/>
        <v/>
      </c>
    </row>
    <row r="461" spans="1:9">
      <c r="A461">
        <v>458</v>
      </c>
      <c r="B461" s="46">
        <v>45658</v>
      </c>
      <c r="C461" s="166">
        <v>53.764441277254129</v>
      </c>
      <c r="D461" s="166">
        <v>119.24912559323448</v>
      </c>
      <c r="E461" s="166">
        <f t="shared" si="33"/>
        <v>53.764441277254129</v>
      </c>
      <c r="F461" s="188" t="str">
        <f t="shared" si="34"/>
        <v/>
      </c>
      <c r="H461">
        <f t="shared" si="36"/>
        <v>2025</v>
      </c>
      <c r="I461" s="188" t="str">
        <f t="shared" si="35"/>
        <v/>
      </c>
    </row>
    <row r="462" spans="1:9">
      <c r="A462">
        <v>459</v>
      </c>
      <c r="B462" s="46">
        <v>45659</v>
      </c>
      <c r="C462" s="166">
        <v>69.234749627254118</v>
      </c>
      <c r="D462" s="166">
        <v>119.24912559323448</v>
      </c>
      <c r="E462" s="166">
        <f t="shared" si="33"/>
        <v>69.234749627254118</v>
      </c>
      <c r="F462" s="188" t="str">
        <f t="shared" si="34"/>
        <v/>
      </c>
      <c r="H462" t="str">
        <f t="shared" si="36"/>
        <v/>
      </c>
      <c r="I462" s="188" t="str">
        <f t="shared" si="35"/>
        <v/>
      </c>
    </row>
    <row r="463" spans="1:9">
      <c r="A463">
        <v>460</v>
      </c>
      <c r="B463" s="46">
        <v>45660</v>
      </c>
      <c r="C463" s="166">
        <v>66.199535153254118</v>
      </c>
      <c r="D463" s="166">
        <v>119.24912559323448</v>
      </c>
      <c r="E463" s="166">
        <f t="shared" ref="E463:E526" si="37">IF(C463&lt;D463,C463,D463)</f>
        <v>66.199535153254118</v>
      </c>
      <c r="F463" s="188" t="str">
        <f t="shared" si="34"/>
        <v/>
      </c>
      <c r="H463" t="str">
        <f t="shared" si="36"/>
        <v/>
      </c>
      <c r="I463" s="188" t="str">
        <f t="shared" si="35"/>
        <v/>
      </c>
    </row>
    <row r="464" spans="1:9">
      <c r="A464">
        <v>461</v>
      </c>
      <c r="B464" s="46">
        <v>45661</v>
      </c>
      <c r="C464" s="166">
        <v>75.288390178257842</v>
      </c>
      <c r="D464" s="166">
        <v>119.24912559323448</v>
      </c>
      <c r="E464" s="166">
        <f t="shared" si="37"/>
        <v>75.288390178257842</v>
      </c>
      <c r="F464" s="188" t="str">
        <f t="shared" si="34"/>
        <v/>
      </c>
      <c r="H464" t="str">
        <f t="shared" si="36"/>
        <v/>
      </c>
      <c r="I464" s="188" t="str">
        <f t="shared" si="35"/>
        <v/>
      </c>
    </row>
    <row r="465" spans="1:9">
      <c r="A465">
        <v>462</v>
      </c>
      <c r="B465" s="46">
        <v>45662</v>
      </c>
      <c r="C465" s="166">
        <v>41.450572590254126</v>
      </c>
      <c r="D465" s="166">
        <v>119.24912559323448</v>
      </c>
      <c r="E465" s="166">
        <f t="shared" si="37"/>
        <v>41.450572590254126</v>
      </c>
      <c r="F465" s="188" t="str">
        <f t="shared" si="34"/>
        <v/>
      </c>
      <c r="H465" t="str">
        <f t="shared" si="36"/>
        <v/>
      </c>
      <c r="I465" s="188" t="str">
        <f t="shared" si="35"/>
        <v/>
      </c>
    </row>
    <row r="466" spans="1:9">
      <c r="A466">
        <v>463</v>
      </c>
      <c r="B466" s="46">
        <v>45663</v>
      </c>
      <c r="C466" s="166">
        <v>49.20759138225413</v>
      </c>
      <c r="D466" s="166">
        <v>119.24912559323448</v>
      </c>
      <c r="E466" s="166">
        <f t="shared" si="37"/>
        <v>49.20759138225413</v>
      </c>
      <c r="F466" s="188" t="str">
        <f t="shared" si="34"/>
        <v/>
      </c>
      <c r="H466" t="str">
        <f t="shared" si="36"/>
        <v/>
      </c>
      <c r="I466" s="188" t="str">
        <f t="shared" si="35"/>
        <v/>
      </c>
    </row>
    <row r="467" spans="1:9">
      <c r="A467">
        <v>464</v>
      </c>
      <c r="B467" s="46">
        <v>45664</v>
      </c>
      <c r="C467" s="166">
        <v>67.076790990255986</v>
      </c>
      <c r="D467" s="166">
        <v>119.24912559323448</v>
      </c>
      <c r="E467" s="166">
        <f t="shared" si="37"/>
        <v>67.076790990255986</v>
      </c>
      <c r="F467" s="188" t="str">
        <f t="shared" si="34"/>
        <v/>
      </c>
      <c r="H467" t="str">
        <f t="shared" si="36"/>
        <v/>
      </c>
      <c r="I467" s="188" t="str">
        <f t="shared" si="35"/>
        <v/>
      </c>
    </row>
    <row r="468" spans="1:9">
      <c r="A468">
        <v>465</v>
      </c>
      <c r="B468" s="46">
        <v>45665</v>
      </c>
      <c r="C468" s="166">
        <v>136.52447012135673</v>
      </c>
      <c r="D468" s="166">
        <v>119.24912559323448</v>
      </c>
      <c r="E468" s="166">
        <f t="shared" si="37"/>
        <v>119.24912559323448</v>
      </c>
      <c r="F468" s="188" t="str">
        <f t="shared" si="34"/>
        <v/>
      </c>
      <c r="H468" t="str">
        <f t="shared" si="36"/>
        <v/>
      </c>
      <c r="I468" s="188" t="str">
        <f t="shared" si="35"/>
        <v/>
      </c>
    </row>
    <row r="469" spans="1:9">
      <c r="A469">
        <v>466</v>
      </c>
      <c r="B469" s="46">
        <v>45666</v>
      </c>
      <c r="C469" s="166">
        <v>137.15978352435482</v>
      </c>
      <c r="D469" s="166">
        <v>119.24912559323448</v>
      </c>
      <c r="E469" s="166">
        <f t="shared" si="37"/>
        <v>119.24912559323448</v>
      </c>
      <c r="F469" s="188" t="str">
        <f t="shared" si="34"/>
        <v/>
      </c>
      <c r="H469" t="str">
        <f t="shared" si="36"/>
        <v/>
      </c>
      <c r="I469" s="188" t="str">
        <f t="shared" si="35"/>
        <v/>
      </c>
    </row>
    <row r="470" spans="1:9">
      <c r="A470">
        <v>467</v>
      </c>
      <c r="B470" s="46">
        <v>45667</v>
      </c>
      <c r="C470" s="166">
        <v>160.75150758735668</v>
      </c>
      <c r="D470" s="166">
        <v>119.24912559323448</v>
      </c>
      <c r="E470" s="166">
        <f t="shared" si="37"/>
        <v>119.24912559323448</v>
      </c>
      <c r="F470" s="188" t="str">
        <f t="shared" si="34"/>
        <v/>
      </c>
      <c r="H470" t="str">
        <f t="shared" si="36"/>
        <v/>
      </c>
      <c r="I470" s="188" t="str">
        <f t="shared" si="35"/>
        <v/>
      </c>
    </row>
    <row r="471" spans="1:9">
      <c r="A471">
        <v>468</v>
      </c>
      <c r="B471" s="46">
        <v>45668</v>
      </c>
      <c r="C471" s="166">
        <v>126.24398214435671</v>
      </c>
      <c r="D471" s="166">
        <v>119.24912559323448</v>
      </c>
      <c r="E471" s="166">
        <f t="shared" si="37"/>
        <v>119.24912559323448</v>
      </c>
      <c r="F471" s="188" t="str">
        <f t="shared" si="34"/>
        <v/>
      </c>
      <c r="H471" t="str">
        <f t="shared" si="36"/>
        <v/>
      </c>
      <c r="I471" s="188" t="str">
        <f t="shared" si="35"/>
        <v/>
      </c>
    </row>
    <row r="472" spans="1:9">
      <c r="A472">
        <v>469</v>
      </c>
      <c r="B472" s="46">
        <v>45669</v>
      </c>
      <c r="C472" s="166">
        <v>111.39764761635669</v>
      </c>
      <c r="D472" s="166">
        <v>119.24912559323448</v>
      </c>
      <c r="E472" s="166">
        <f t="shared" si="37"/>
        <v>111.39764761635669</v>
      </c>
      <c r="F472" s="188" t="str">
        <f t="shared" si="34"/>
        <v/>
      </c>
      <c r="H472" t="str">
        <f t="shared" si="36"/>
        <v/>
      </c>
      <c r="I472" s="188" t="str">
        <f t="shared" si="35"/>
        <v/>
      </c>
    </row>
    <row r="473" spans="1:9">
      <c r="A473">
        <v>470</v>
      </c>
      <c r="B473" s="46">
        <v>45670</v>
      </c>
      <c r="C473" s="166">
        <v>151.45372460435669</v>
      </c>
      <c r="D473" s="166">
        <v>119.24912559323448</v>
      </c>
      <c r="E473" s="166">
        <f t="shared" si="37"/>
        <v>119.24912559323448</v>
      </c>
      <c r="F473" s="188" t="str">
        <f t="shared" si="34"/>
        <v/>
      </c>
      <c r="H473" t="str">
        <f t="shared" si="36"/>
        <v/>
      </c>
      <c r="I473" s="188" t="str">
        <f t="shared" si="35"/>
        <v/>
      </c>
    </row>
    <row r="474" spans="1:9">
      <c r="A474">
        <v>471</v>
      </c>
      <c r="B474" s="46">
        <v>45671</v>
      </c>
      <c r="C474" s="166">
        <v>166.9272434003567</v>
      </c>
      <c r="D474" s="166">
        <v>119.24912559323448</v>
      </c>
      <c r="E474" s="166">
        <f t="shared" si="37"/>
        <v>119.24912559323448</v>
      </c>
      <c r="F474" s="188" t="str">
        <f t="shared" si="34"/>
        <v/>
      </c>
      <c r="H474" t="str">
        <f t="shared" si="36"/>
        <v/>
      </c>
      <c r="I474" s="188" t="str">
        <f t="shared" si="35"/>
        <v/>
      </c>
    </row>
    <row r="475" spans="1:9">
      <c r="A475">
        <v>472</v>
      </c>
      <c r="B475" s="46">
        <v>45672</v>
      </c>
      <c r="C475" s="166">
        <v>102.28984713263283</v>
      </c>
      <c r="D475" s="166">
        <v>119.24912559323448</v>
      </c>
      <c r="E475" s="166">
        <f t="shared" si="37"/>
        <v>102.28984713263283</v>
      </c>
      <c r="F475" s="188" t="str">
        <f t="shared" si="34"/>
        <v>E</v>
      </c>
      <c r="G475" s="189">
        <f>IF(DAY(B475)=15,D475,"")</f>
        <v>119.24912559323448</v>
      </c>
      <c r="H475" t="str">
        <f t="shared" si="36"/>
        <v/>
      </c>
      <c r="I475" s="188" t="str">
        <f t="shared" si="35"/>
        <v>E</v>
      </c>
    </row>
    <row r="476" spans="1:9">
      <c r="A476">
        <v>473</v>
      </c>
      <c r="B476" s="46">
        <v>45673</v>
      </c>
      <c r="C476" s="166">
        <v>105.35180540863281</v>
      </c>
      <c r="D476" s="166">
        <v>119.24912559323448</v>
      </c>
      <c r="E476" s="166">
        <f t="shared" si="37"/>
        <v>105.35180540863281</v>
      </c>
      <c r="F476" s="188" t="str">
        <f t="shared" si="34"/>
        <v/>
      </c>
      <c r="H476" t="str">
        <f t="shared" si="36"/>
        <v/>
      </c>
      <c r="I476" s="188" t="str">
        <f t="shared" si="35"/>
        <v/>
      </c>
    </row>
    <row r="477" spans="1:9">
      <c r="A477">
        <v>474</v>
      </c>
      <c r="B477" s="46">
        <v>45674</v>
      </c>
      <c r="C477" s="166">
        <v>109.97886628463283</v>
      </c>
      <c r="D477" s="166">
        <v>119.24912559323448</v>
      </c>
      <c r="E477" s="166">
        <f t="shared" si="37"/>
        <v>109.97886628463283</v>
      </c>
      <c r="F477" s="188" t="str">
        <f t="shared" si="34"/>
        <v/>
      </c>
      <c r="H477" t="str">
        <f t="shared" si="36"/>
        <v/>
      </c>
      <c r="I477" s="188" t="str">
        <f t="shared" si="35"/>
        <v/>
      </c>
    </row>
    <row r="478" spans="1:9">
      <c r="A478">
        <v>475</v>
      </c>
      <c r="B478" s="46">
        <v>45675</v>
      </c>
      <c r="C478" s="166">
        <v>105.25200464463283</v>
      </c>
      <c r="D478" s="166">
        <v>119.24912559323448</v>
      </c>
      <c r="E478" s="166">
        <f t="shared" si="37"/>
        <v>105.25200464463283</v>
      </c>
      <c r="F478" s="188" t="str">
        <f t="shared" si="34"/>
        <v/>
      </c>
      <c r="H478" t="str">
        <f t="shared" si="36"/>
        <v/>
      </c>
      <c r="I478" s="188" t="str">
        <f t="shared" si="35"/>
        <v/>
      </c>
    </row>
    <row r="479" spans="1:9">
      <c r="A479">
        <v>476</v>
      </c>
      <c r="B479" s="46">
        <v>45676</v>
      </c>
      <c r="C479" s="166">
        <v>91.644863272630957</v>
      </c>
      <c r="D479" s="166">
        <v>119.24912559323448</v>
      </c>
      <c r="E479" s="166">
        <f t="shared" si="37"/>
        <v>91.644863272630957</v>
      </c>
      <c r="F479" s="188" t="str">
        <f t="shared" si="34"/>
        <v/>
      </c>
      <c r="H479" t="str">
        <f t="shared" si="36"/>
        <v/>
      </c>
      <c r="I479" s="188" t="str">
        <f t="shared" si="35"/>
        <v/>
      </c>
    </row>
    <row r="480" spans="1:9">
      <c r="A480">
        <v>477</v>
      </c>
      <c r="B480" s="46">
        <v>45677</v>
      </c>
      <c r="C480" s="166">
        <v>106.65338957663282</v>
      </c>
      <c r="D480" s="166">
        <v>119.24912559323448</v>
      </c>
      <c r="E480" s="166">
        <f t="shared" si="37"/>
        <v>106.65338957663282</v>
      </c>
      <c r="F480" s="188" t="str">
        <f t="shared" si="34"/>
        <v/>
      </c>
      <c r="H480" t="str">
        <f t="shared" si="36"/>
        <v/>
      </c>
      <c r="I480" s="188" t="str">
        <f t="shared" si="35"/>
        <v/>
      </c>
    </row>
    <row r="481" spans="1:9">
      <c r="A481">
        <v>478</v>
      </c>
      <c r="B481" s="46">
        <v>45678</v>
      </c>
      <c r="C481" s="166">
        <v>91.819980448634681</v>
      </c>
      <c r="D481" s="166">
        <v>119.24912559323448</v>
      </c>
      <c r="E481" s="166">
        <f t="shared" si="37"/>
        <v>91.819980448634681</v>
      </c>
      <c r="F481" s="188" t="str">
        <f t="shared" si="34"/>
        <v/>
      </c>
      <c r="H481" t="str">
        <f t="shared" si="36"/>
        <v/>
      </c>
      <c r="I481" s="188" t="str">
        <f t="shared" si="35"/>
        <v/>
      </c>
    </row>
    <row r="482" spans="1:9">
      <c r="A482">
        <v>479</v>
      </c>
      <c r="B482" s="46">
        <v>45679</v>
      </c>
      <c r="C482" s="166">
        <v>168.19282105444529</v>
      </c>
      <c r="D482" s="166">
        <v>119.24912559323448</v>
      </c>
      <c r="E482" s="166">
        <f t="shared" si="37"/>
        <v>119.24912559323448</v>
      </c>
      <c r="F482" s="188" t="str">
        <f t="shared" si="34"/>
        <v/>
      </c>
      <c r="H482" t="str">
        <f t="shared" si="36"/>
        <v/>
      </c>
      <c r="I482" s="188" t="str">
        <f t="shared" si="35"/>
        <v/>
      </c>
    </row>
    <row r="483" spans="1:9">
      <c r="A483">
        <v>480</v>
      </c>
      <c r="B483" s="46">
        <v>45680</v>
      </c>
      <c r="C483" s="166">
        <v>178.56540373044342</v>
      </c>
      <c r="D483" s="166">
        <v>119.24912559323448</v>
      </c>
      <c r="E483" s="166">
        <f t="shared" si="37"/>
        <v>119.24912559323448</v>
      </c>
      <c r="F483" s="188" t="str">
        <f t="shared" si="34"/>
        <v/>
      </c>
      <c r="H483" t="str">
        <f t="shared" si="36"/>
        <v/>
      </c>
      <c r="I483" s="188" t="str">
        <f t="shared" si="35"/>
        <v/>
      </c>
    </row>
    <row r="484" spans="1:9">
      <c r="A484">
        <v>481</v>
      </c>
      <c r="B484" s="46">
        <v>45681</v>
      </c>
      <c r="C484" s="166">
        <v>159.96776198644716</v>
      </c>
      <c r="D484" s="166">
        <v>119.24912559323448</v>
      </c>
      <c r="E484" s="166">
        <f t="shared" si="37"/>
        <v>119.24912559323448</v>
      </c>
      <c r="F484" s="188" t="str">
        <f t="shared" si="34"/>
        <v/>
      </c>
      <c r="H484" t="str">
        <f t="shared" si="36"/>
        <v/>
      </c>
      <c r="I484" s="188" t="str">
        <f t="shared" si="35"/>
        <v/>
      </c>
    </row>
    <row r="485" spans="1:9">
      <c r="A485">
        <v>482</v>
      </c>
      <c r="B485" s="46">
        <v>45682</v>
      </c>
      <c r="C485" s="166">
        <v>138.24897072644342</v>
      </c>
      <c r="D485" s="166">
        <v>119.24912559323448</v>
      </c>
      <c r="E485" s="166">
        <f t="shared" si="37"/>
        <v>119.24912559323448</v>
      </c>
      <c r="F485" s="188" t="str">
        <f t="shared" si="34"/>
        <v/>
      </c>
      <c r="H485" t="str">
        <f t="shared" si="36"/>
        <v/>
      </c>
      <c r="I485" s="188" t="str">
        <f t="shared" si="35"/>
        <v/>
      </c>
    </row>
    <row r="486" spans="1:9">
      <c r="A486">
        <v>483</v>
      </c>
      <c r="B486" s="46">
        <v>45683</v>
      </c>
      <c r="C486" s="166">
        <v>126.93350439844528</v>
      </c>
      <c r="D486" s="166">
        <v>119.24912559323448</v>
      </c>
      <c r="E486" s="166">
        <f t="shared" si="37"/>
        <v>119.24912559323448</v>
      </c>
      <c r="F486" s="188" t="str">
        <f t="shared" si="34"/>
        <v/>
      </c>
      <c r="H486" t="str">
        <f t="shared" si="36"/>
        <v/>
      </c>
      <c r="I486" s="188" t="str">
        <f t="shared" si="35"/>
        <v/>
      </c>
    </row>
    <row r="487" spans="1:9">
      <c r="A487">
        <v>484</v>
      </c>
      <c r="B487" s="46">
        <v>45684</v>
      </c>
      <c r="C487" s="166">
        <v>133.60649396244344</v>
      </c>
      <c r="D487" s="166">
        <v>119.24912559323448</v>
      </c>
      <c r="E487" s="166">
        <f t="shared" si="37"/>
        <v>119.24912559323448</v>
      </c>
      <c r="F487" s="188" t="str">
        <f t="shared" si="34"/>
        <v/>
      </c>
      <c r="H487" t="str">
        <f t="shared" si="36"/>
        <v/>
      </c>
      <c r="I487" s="188" t="str">
        <f t="shared" si="35"/>
        <v/>
      </c>
    </row>
    <row r="488" spans="1:9">
      <c r="A488">
        <v>485</v>
      </c>
      <c r="B488" s="46">
        <v>45685</v>
      </c>
      <c r="C488" s="166">
        <v>163.06880287044345</v>
      </c>
      <c r="D488" s="166">
        <v>119.24912559323448</v>
      </c>
      <c r="E488" s="166">
        <f t="shared" si="37"/>
        <v>119.24912559323448</v>
      </c>
      <c r="F488" s="188" t="str">
        <f t="shared" si="34"/>
        <v/>
      </c>
      <c r="H488" t="str">
        <f t="shared" si="36"/>
        <v/>
      </c>
      <c r="I488" s="188" t="str">
        <f t="shared" si="35"/>
        <v/>
      </c>
    </row>
    <row r="489" spans="1:9">
      <c r="A489">
        <v>486</v>
      </c>
      <c r="B489" s="46">
        <v>45686</v>
      </c>
      <c r="C489" s="166">
        <v>294.44144330035601</v>
      </c>
      <c r="D489" s="166">
        <v>119.24912559323448</v>
      </c>
      <c r="E489" s="166">
        <f t="shared" si="37"/>
        <v>119.24912559323448</v>
      </c>
      <c r="F489" s="188" t="str">
        <f t="shared" si="34"/>
        <v/>
      </c>
      <c r="H489" t="str">
        <f t="shared" si="36"/>
        <v/>
      </c>
      <c r="I489" s="188" t="str">
        <f t="shared" si="35"/>
        <v/>
      </c>
    </row>
    <row r="490" spans="1:9">
      <c r="A490">
        <v>487</v>
      </c>
      <c r="B490" s="46">
        <v>45687</v>
      </c>
      <c r="C490" s="166">
        <v>284.45562372035045</v>
      </c>
      <c r="D490" s="166">
        <v>119.24912559323448</v>
      </c>
      <c r="E490" s="166">
        <f t="shared" si="37"/>
        <v>119.24912559323448</v>
      </c>
      <c r="F490" s="188" t="str">
        <f t="shared" si="34"/>
        <v/>
      </c>
      <c r="H490" t="str">
        <f t="shared" si="36"/>
        <v/>
      </c>
      <c r="I490" s="188" t="str">
        <f t="shared" si="35"/>
        <v/>
      </c>
    </row>
    <row r="491" spans="1:9">
      <c r="A491">
        <v>488</v>
      </c>
      <c r="B491" s="46">
        <v>45688</v>
      </c>
      <c r="C491" s="166">
        <v>315.41940095635044</v>
      </c>
      <c r="D491" s="166">
        <v>119.24912559323448</v>
      </c>
      <c r="E491" s="166">
        <f t="shared" si="37"/>
        <v>119.24912559323448</v>
      </c>
      <c r="F491" s="188" t="str">
        <f t="shared" si="34"/>
        <v/>
      </c>
      <c r="H491" t="str">
        <f t="shared" si="36"/>
        <v/>
      </c>
      <c r="I491" s="188" t="str">
        <f t="shared" si="35"/>
        <v/>
      </c>
    </row>
    <row r="492" spans="1:9">
      <c r="A492">
        <v>489</v>
      </c>
      <c r="B492" s="46">
        <v>45689</v>
      </c>
      <c r="C492" s="166">
        <v>307.08398144835604</v>
      </c>
      <c r="D492" s="166">
        <v>124.45770390135006</v>
      </c>
      <c r="E492" s="166">
        <f t="shared" si="37"/>
        <v>124.45770390135006</v>
      </c>
      <c r="F492" s="188" t="str">
        <f t="shared" si="34"/>
        <v/>
      </c>
      <c r="H492" t="str">
        <f t="shared" si="36"/>
        <v/>
      </c>
      <c r="I492" s="188" t="str">
        <f t="shared" si="35"/>
        <v/>
      </c>
    </row>
    <row r="493" spans="1:9">
      <c r="A493">
        <v>490</v>
      </c>
      <c r="B493" s="46">
        <v>45690</v>
      </c>
      <c r="C493" s="166">
        <v>331.94847694435225</v>
      </c>
      <c r="D493" s="166">
        <v>124.45770390135006</v>
      </c>
      <c r="E493" s="166">
        <f t="shared" si="37"/>
        <v>124.45770390135006</v>
      </c>
      <c r="F493" s="188" t="str">
        <f t="shared" si="34"/>
        <v/>
      </c>
      <c r="H493" t="str">
        <f t="shared" si="36"/>
        <v/>
      </c>
      <c r="I493" s="188" t="str">
        <f t="shared" si="35"/>
        <v/>
      </c>
    </row>
    <row r="494" spans="1:9">
      <c r="A494">
        <v>491</v>
      </c>
      <c r="B494" s="46">
        <v>45691</v>
      </c>
      <c r="C494" s="166">
        <v>338.42124530435234</v>
      </c>
      <c r="D494" s="166">
        <v>124.45770390135006</v>
      </c>
      <c r="E494" s="166">
        <f t="shared" si="37"/>
        <v>124.45770390135006</v>
      </c>
      <c r="F494" s="188" t="str">
        <f t="shared" si="34"/>
        <v/>
      </c>
      <c r="H494" t="str">
        <f t="shared" si="36"/>
        <v/>
      </c>
      <c r="I494" s="188" t="str">
        <f t="shared" si="35"/>
        <v/>
      </c>
    </row>
    <row r="495" spans="1:9">
      <c r="A495">
        <v>492</v>
      </c>
      <c r="B495" s="46">
        <v>45692</v>
      </c>
      <c r="C495" s="166">
        <v>349.82128388435046</v>
      </c>
      <c r="D495" s="166">
        <v>124.45770390135006</v>
      </c>
      <c r="E495" s="166">
        <f t="shared" si="37"/>
        <v>124.45770390135006</v>
      </c>
      <c r="F495" s="188" t="str">
        <f t="shared" si="34"/>
        <v/>
      </c>
      <c r="H495" t="str">
        <f t="shared" si="36"/>
        <v/>
      </c>
      <c r="I495" s="188" t="str">
        <f t="shared" si="35"/>
        <v/>
      </c>
    </row>
    <row r="496" spans="1:9">
      <c r="A496">
        <v>493</v>
      </c>
      <c r="B496" s="46">
        <v>45693</v>
      </c>
      <c r="C496" s="166">
        <v>158.4682391612061</v>
      </c>
      <c r="D496" s="166">
        <v>124.45770390135006</v>
      </c>
      <c r="E496" s="166">
        <f t="shared" si="37"/>
        <v>124.45770390135006</v>
      </c>
      <c r="F496" s="188" t="str">
        <f t="shared" si="34"/>
        <v/>
      </c>
      <c r="H496" t="str">
        <f t="shared" si="36"/>
        <v/>
      </c>
      <c r="I496" s="188" t="str">
        <f t="shared" si="35"/>
        <v/>
      </c>
    </row>
    <row r="497" spans="1:9">
      <c r="A497">
        <v>494</v>
      </c>
      <c r="B497" s="46">
        <v>45694</v>
      </c>
      <c r="C497" s="166">
        <v>163.97102183720796</v>
      </c>
      <c r="D497" s="166">
        <v>124.45770390135006</v>
      </c>
      <c r="E497" s="166">
        <f t="shared" si="37"/>
        <v>124.45770390135006</v>
      </c>
      <c r="F497" s="188" t="str">
        <f t="shared" si="34"/>
        <v/>
      </c>
      <c r="H497" t="str">
        <f t="shared" si="36"/>
        <v/>
      </c>
      <c r="I497" s="188" t="str">
        <f t="shared" si="35"/>
        <v/>
      </c>
    </row>
    <row r="498" spans="1:9">
      <c r="A498">
        <v>495</v>
      </c>
      <c r="B498" s="46">
        <v>45695</v>
      </c>
      <c r="C498" s="166">
        <v>156.45654961720609</v>
      </c>
      <c r="D498" s="166">
        <v>124.45770390135006</v>
      </c>
      <c r="E498" s="166">
        <f t="shared" si="37"/>
        <v>124.45770390135006</v>
      </c>
      <c r="F498" s="188" t="str">
        <f t="shared" si="34"/>
        <v/>
      </c>
      <c r="H498" t="str">
        <f t="shared" si="36"/>
        <v/>
      </c>
      <c r="I498" s="188" t="str">
        <f t="shared" si="35"/>
        <v/>
      </c>
    </row>
    <row r="499" spans="1:9">
      <c r="A499">
        <v>496</v>
      </c>
      <c r="B499" s="46">
        <v>45696</v>
      </c>
      <c r="C499" s="166">
        <v>132.35781980120794</v>
      </c>
      <c r="D499" s="166">
        <v>124.45770390135006</v>
      </c>
      <c r="E499" s="166">
        <f t="shared" si="37"/>
        <v>124.45770390135006</v>
      </c>
      <c r="F499" s="188" t="str">
        <f t="shared" si="34"/>
        <v/>
      </c>
      <c r="H499" t="str">
        <f t="shared" si="36"/>
        <v/>
      </c>
      <c r="I499" s="188" t="str">
        <f t="shared" si="35"/>
        <v/>
      </c>
    </row>
    <row r="500" spans="1:9">
      <c r="A500">
        <v>497</v>
      </c>
      <c r="B500" s="46">
        <v>45697</v>
      </c>
      <c r="C500" s="166">
        <v>141.77497368120981</v>
      </c>
      <c r="D500" s="166">
        <v>124.45770390135006</v>
      </c>
      <c r="E500" s="166">
        <f t="shared" si="37"/>
        <v>124.45770390135006</v>
      </c>
      <c r="F500" s="188" t="str">
        <f t="shared" si="34"/>
        <v/>
      </c>
      <c r="H500" t="str">
        <f t="shared" si="36"/>
        <v/>
      </c>
      <c r="I500" s="188" t="str">
        <f t="shared" si="35"/>
        <v/>
      </c>
    </row>
    <row r="501" spans="1:9">
      <c r="A501">
        <v>498</v>
      </c>
      <c r="B501" s="46">
        <v>45698</v>
      </c>
      <c r="C501" s="166">
        <v>161.20363822520611</v>
      </c>
      <c r="D501" s="166">
        <v>124.45770390135006</v>
      </c>
      <c r="E501" s="166">
        <f t="shared" si="37"/>
        <v>124.45770390135006</v>
      </c>
      <c r="F501" s="188" t="str">
        <f t="shared" si="34"/>
        <v/>
      </c>
      <c r="H501" t="str">
        <f t="shared" si="36"/>
        <v/>
      </c>
      <c r="I501" s="188" t="str">
        <f t="shared" si="35"/>
        <v/>
      </c>
    </row>
    <row r="502" spans="1:9">
      <c r="A502">
        <v>499</v>
      </c>
      <c r="B502" s="46">
        <v>45699</v>
      </c>
      <c r="C502" s="166">
        <v>157.23944000920611</v>
      </c>
      <c r="D502" s="166">
        <v>124.45770390135006</v>
      </c>
      <c r="E502" s="166">
        <f t="shared" si="37"/>
        <v>124.45770390135006</v>
      </c>
      <c r="F502" s="188" t="str">
        <f t="shared" si="34"/>
        <v/>
      </c>
      <c r="H502" t="str">
        <f t="shared" si="36"/>
        <v/>
      </c>
      <c r="I502" s="188" t="str">
        <f t="shared" si="35"/>
        <v/>
      </c>
    </row>
    <row r="503" spans="1:9">
      <c r="A503">
        <v>500</v>
      </c>
      <c r="B503" s="46">
        <v>45700</v>
      </c>
      <c r="C503" s="166">
        <v>153.16354308996853</v>
      </c>
      <c r="D503" s="166">
        <v>124.45770390135006</v>
      </c>
      <c r="E503" s="166">
        <f t="shared" si="37"/>
        <v>124.45770390135006</v>
      </c>
      <c r="F503" s="188" t="str">
        <f t="shared" si="34"/>
        <v/>
      </c>
      <c r="H503" t="str">
        <f t="shared" si="36"/>
        <v/>
      </c>
      <c r="I503" s="188" t="str">
        <f t="shared" si="35"/>
        <v/>
      </c>
    </row>
    <row r="504" spans="1:9">
      <c r="A504">
        <v>501</v>
      </c>
      <c r="B504" s="46">
        <v>45701</v>
      </c>
      <c r="C504" s="166">
        <v>153.18490336197038</v>
      </c>
      <c r="D504" s="166">
        <v>124.45770390135006</v>
      </c>
      <c r="E504" s="166">
        <f t="shared" si="37"/>
        <v>124.45770390135006</v>
      </c>
      <c r="F504" s="188" t="str">
        <f t="shared" si="34"/>
        <v/>
      </c>
      <c r="H504" t="str">
        <f t="shared" si="36"/>
        <v/>
      </c>
      <c r="I504" s="188" t="str">
        <f t="shared" si="35"/>
        <v/>
      </c>
    </row>
    <row r="505" spans="1:9">
      <c r="A505">
        <v>502</v>
      </c>
      <c r="B505" s="46">
        <v>45702</v>
      </c>
      <c r="C505" s="166">
        <v>159.65514007396663</v>
      </c>
      <c r="D505" s="166">
        <v>124.45770390135006</v>
      </c>
      <c r="E505" s="166">
        <f t="shared" si="37"/>
        <v>124.45770390135006</v>
      </c>
      <c r="F505" s="188" t="str">
        <f t="shared" si="34"/>
        <v/>
      </c>
      <c r="G505" s="189" t="str">
        <f>IF(DAY(B505)=15,D505,"")</f>
        <v/>
      </c>
      <c r="H505" t="str">
        <f t="shared" si="36"/>
        <v/>
      </c>
      <c r="I505" s="188" t="str">
        <f t="shared" si="35"/>
        <v/>
      </c>
    </row>
    <row r="506" spans="1:9">
      <c r="A506">
        <v>503</v>
      </c>
      <c r="B506" s="46">
        <v>45703</v>
      </c>
      <c r="C506" s="166">
        <v>145.27400540197038</v>
      </c>
      <c r="D506" s="166">
        <v>124.45770390135006</v>
      </c>
      <c r="E506" s="166">
        <f t="shared" si="37"/>
        <v>124.45770390135006</v>
      </c>
      <c r="F506" s="188" t="str">
        <f t="shared" si="34"/>
        <v>F</v>
      </c>
      <c r="H506" t="str">
        <f t="shared" si="36"/>
        <v/>
      </c>
      <c r="I506" s="188" t="str">
        <f t="shared" si="35"/>
        <v>F</v>
      </c>
    </row>
    <row r="507" spans="1:9">
      <c r="A507">
        <v>504</v>
      </c>
      <c r="B507" s="46">
        <v>45704</v>
      </c>
      <c r="C507" s="166">
        <v>139.34013846196666</v>
      </c>
      <c r="D507" s="166">
        <v>124.45770390135006</v>
      </c>
      <c r="E507" s="166">
        <f t="shared" si="37"/>
        <v>124.45770390135006</v>
      </c>
      <c r="F507" s="188" t="str">
        <f t="shared" si="34"/>
        <v/>
      </c>
      <c r="H507" t="str">
        <f t="shared" si="36"/>
        <v/>
      </c>
      <c r="I507" s="188" t="str">
        <f t="shared" si="35"/>
        <v/>
      </c>
    </row>
    <row r="508" spans="1:9">
      <c r="A508">
        <v>505</v>
      </c>
      <c r="B508" s="46">
        <v>45705</v>
      </c>
      <c r="C508" s="166">
        <v>152.65729966597038</v>
      </c>
      <c r="D508" s="166">
        <v>124.45770390135006</v>
      </c>
      <c r="E508" s="166">
        <f t="shared" si="37"/>
        <v>124.45770390135006</v>
      </c>
      <c r="F508" s="188" t="str">
        <f t="shared" si="34"/>
        <v/>
      </c>
      <c r="H508" t="str">
        <f t="shared" si="36"/>
        <v/>
      </c>
      <c r="I508" s="188" t="str">
        <f t="shared" si="35"/>
        <v/>
      </c>
    </row>
    <row r="509" spans="1:9">
      <c r="A509">
        <v>506</v>
      </c>
      <c r="B509" s="46">
        <v>45706</v>
      </c>
      <c r="C509" s="166">
        <v>136.08142172996853</v>
      </c>
      <c r="D509" s="166">
        <v>124.45770390135006</v>
      </c>
      <c r="E509" s="166">
        <f t="shared" si="37"/>
        <v>124.45770390135006</v>
      </c>
      <c r="F509" s="188" t="str">
        <f t="shared" si="34"/>
        <v/>
      </c>
      <c r="H509" t="str">
        <f t="shared" si="36"/>
        <v/>
      </c>
      <c r="I509" s="188" t="str">
        <f t="shared" si="35"/>
        <v/>
      </c>
    </row>
    <row r="510" spans="1:9">
      <c r="A510">
        <v>507</v>
      </c>
      <c r="B510" s="46">
        <v>45707</v>
      </c>
      <c r="C510" s="166">
        <v>141.03594522971258</v>
      </c>
      <c r="D510" s="166">
        <v>124.45770390135006</v>
      </c>
      <c r="E510" s="166">
        <f t="shared" si="37"/>
        <v>124.45770390135006</v>
      </c>
      <c r="F510" s="188" t="str">
        <f t="shared" si="34"/>
        <v/>
      </c>
      <c r="H510" t="str">
        <f t="shared" si="36"/>
        <v/>
      </c>
      <c r="I510" s="188" t="str">
        <f t="shared" si="35"/>
        <v/>
      </c>
    </row>
    <row r="511" spans="1:9">
      <c r="A511">
        <v>508</v>
      </c>
      <c r="B511" s="46">
        <v>45708</v>
      </c>
      <c r="C511" s="166">
        <v>121.78872529771444</v>
      </c>
      <c r="D511" s="166">
        <v>124.45770390135006</v>
      </c>
      <c r="E511" s="166">
        <f t="shared" si="37"/>
        <v>121.78872529771444</v>
      </c>
      <c r="F511" s="188" t="str">
        <f t="shared" si="34"/>
        <v/>
      </c>
      <c r="H511" t="str">
        <f t="shared" si="36"/>
        <v/>
      </c>
      <c r="I511" s="188" t="str">
        <f t="shared" si="35"/>
        <v/>
      </c>
    </row>
    <row r="512" spans="1:9">
      <c r="A512">
        <v>509</v>
      </c>
      <c r="B512" s="46">
        <v>45709</v>
      </c>
      <c r="C512" s="166">
        <v>87.441745705710716</v>
      </c>
      <c r="D512" s="166">
        <v>124.45770390135006</v>
      </c>
      <c r="E512" s="166">
        <f t="shared" si="37"/>
        <v>87.441745705710716</v>
      </c>
      <c r="F512" s="188" t="str">
        <f t="shared" si="34"/>
        <v/>
      </c>
      <c r="H512" t="str">
        <f t="shared" si="36"/>
        <v/>
      </c>
      <c r="I512" s="188" t="str">
        <f t="shared" si="35"/>
        <v/>
      </c>
    </row>
    <row r="513" spans="1:9">
      <c r="A513">
        <v>510</v>
      </c>
      <c r="B513" s="46">
        <v>45710</v>
      </c>
      <c r="C513" s="166">
        <v>114.18028520971816</v>
      </c>
      <c r="D513" s="166">
        <v>124.45770390135006</v>
      </c>
      <c r="E513" s="166">
        <f t="shared" si="37"/>
        <v>114.18028520971816</v>
      </c>
      <c r="F513" s="188" t="str">
        <f t="shared" si="34"/>
        <v/>
      </c>
      <c r="H513" t="str">
        <f t="shared" si="36"/>
        <v/>
      </c>
      <c r="I513" s="188" t="str">
        <f t="shared" si="35"/>
        <v/>
      </c>
    </row>
    <row r="514" spans="1:9">
      <c r="A514">
        <v>511</v>
      </c>
      <c r="B514" s="46">
        <v>45711</v>
      </c>
      <c r="C514" s="166">
        <v>83.092447149710722</v>
      </c>
      <c r="D514" s="166">
        <v>124.45770390135006</v>
      </c>
      <c r="E514" s="166">
        <f t="shared" si="37"/>
        <v>83.092447149710722</v>
      </c>
      <c r="F514" s="188" t="str">
        <f t="shared" si="34"/>
        <v/>
      </c>
      <c r="H514" t="str">
        <f t="shared" si="36"/>
        <v/>
      </c>
      <c r="I514" s="188" t="str">
        <f t="shared" si="35"/>
        <v/>
      </c>
    </row>
    <row r="515" spans="1:9">
      <c r="A515">
        <v>512</v>
      </c>
      <c r="B515" s="46">
        <v>45712</v>
      </c>
      <c r="C515" s="166">
        <v>99.209965373714439</v>
      </c>
      <c r="D515" s="166">
        <v>124.45770390135006</v>
      </c>
      <c r="E515" s="166">
        <f t="shared" si="37"/>
        <v>99.209965373714439</v>
      </c>
      <c r="F515" s="188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8" t="str">
        <f t="shared" si="35"/>
        <v/>
      </c>
    </row>
    <row r="516" spans="1:9">
      <c r="A516">
        <v>513</v>
      </c>
      <c r="B516" s="46">
        <v>45713</v>
      </c>
      <c r="C516" s="166">
        <v>110.7750313257107</v>
      </c>
      <c r="D516" s="166">
        <v>124.45770390135006</v>
      </c>
      <c r="E516" s="166">
        <f t="shared" si="37"/>
        <v>110.7750313257107</v>
      </c>
      <c r="F516" s="188" t="str">
        <f t="shared" si="38"/>
        <v/>
      </c>
      <c r="H516" t="str">
        <f t="shared" si="36"/>
        <v/>
      </c>
      <c r="I516" s="188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45714</v>
      </c>
      <c r="C517" s="166">
        <v>124.45546917880809</v>
      </c>
      <c r="D517" s="166">
        <v>124.45770390135006</v>
      </c>
      <c r="E517" s="166">
        <f t="shared" si="37"/>
        <v>124.45546917880809</v>
      </c>
      <c r="F517" s="188" t="str">
        <f t="shared" si="38"/>
        <v/>
      </c>
      <c r="H517" t="str">
        <f t="shared" ref="H517:H580" si="40">IF(MONTH(B517)=1,IF(DAY(B517)=1,YEAR(B517),""),"")</f>
        <v/>
      </c>
      <c r="I517" s="188" t="str">
        <f t="shared" si="39"/>
        <v/>
      </c>
    </row>
    <row r="518" spans="1:9">
      <c r="A518">
        <v>515</v>
      </c>
      <c r="B518" s="46">
        <v>45715</v>
      </c>
      <c r="C518" s="166">
        <v>138.90708472280625</v>
      </c>
      <c r="D518" s="166">
        <v>124.45770390135006</v>
      </c>
      <c r="E518" s="166">
        <f t="shared" si="37"/>
        <v>124.45770390135006</v>
      </c>
      <c r="F518" s="188" t="str">
        <f t="shared" si="38"/>
        <v/>
      </c>
      <c r="H518" t="str">
        <f t="shared" si="40"/>
        <v/>
      </c>
      <c r="I518" s="188" t="str">
        <f t="shared" si="39"/>
        <v/>
      </c>
    </row>
    <row r="519" spans="1:9">
      <c r="A519">
        <v>516</v>
      </c>
      <c r="B519" s="46">
        <v>45716</v>
      </c>
      <c r="C519" s="166">
        <v>131.33949614280809</v>
      </c>
      <c r="D519" s="166">
        <v>124.45770390135006</v>
      </c>
      <c r="E519" s="166">
        <f t="shared" si="37"/>
        <v>124.45770390135006</v>
      </c>
      <c r="F519" s="188" t="str">
        <f t="shared" si="38"/>
        <v/>
      </c>
      <c r="H519" t="str">
        <f t="shared" si="40"/>
        <v/>
      </c>
      <c r="I519" s="188" t="str">
        <f t="shared" si="39"/>
        <v/>
      </c>
    </row>
    <row r="520" spans="1:9">
      <c r="A520">
        <v>517</v>
      </c>
      <c r="B520" s="46">
        <v>45717</v>
      </c>
      <c r="C520" s="166">
        <v>80.179807062808095</v>
      </c>
      <c r="D520" s="166">
        <v>129.67177197597073</v>
      </c>
      <c r="E520" s="166">
        <f t="shared" si="37"/>
        <v>80.179807062808095</v>
      </c>
      <c r="F520" s="188" t="str">
        <f t="shared" si="38"/>
        <v/>
      </c>
      <c r="H520" t="str">
        <f t="shared" si="40"/>
        <v/>
      </c>
      <c r="I520" s="188" t="str">
        <f t="shared" si="39"/>
        <v/>
      </c>
    </row>
    <row r="521" spans="1:9">
      <c r="A521">
        <v>518</v>
      </c>
      <c r="B521" s="46">
        <v>45718</v>
      </c>
      <c r="C521" s="166">
        <v>73.149780046808075</v>
      </c>
      <c r="D521" s="166">
        <v>129.67177197597073</v>
      </c>
      <c r="E521" s="166">
        <f t="shared" si="37"/>
        <v>73.149780046808075</v>
      </c>
      <c r="F521" s="188" t="str">
        <f t="shared" si="38"/>
        <v/>
      </c>
      <c r="H521" t="str">
        <f t="shared" si="40"/>
        <v/>
      </c>
      <c r="I521" s="188" t="str">
        <f t="shared" si="39"/>
        <v/>
      </c>
    </row>
    <row r="522" spans="1:9">
      <c r="A522">
        <v>519</v>
      </c>
      <c r="B522" s="46">
        <v>45719</v>
      </c>
      <c r="C522" s="166">
        <v>121.22998893080623</v>
      </c>
      <c r="D522" s="166">
        <v>129.67177197597073</v>
      </c>
      <c r="E522" s="166">
        <f t="shared" si="37"/>
        <v>121.22998893080623</v>
      </c>
      <c r="F522" s="188" t="str">
        <f t="shared" si="38"/>
        <v/>
      </c>
      <c r="H522" t="str">
        <f t="shared" si="40"/>
        <v/>
      </c>
      <c r="I522" s="188" t="str">
        <f t="shared" si="39"/>
        <v/>
      </c>
    </row>
    <row r="523" spans="1:9">
      <c r="A523">
        <v>520</v>
      </c>
      <c r="B523" s="46">
        <v>45720</v>
      </c>
      <c r="C523" s="166">
        <v>119.62776690280809</v>
      </c>
      <c r="D523" s="166">
        <v>129.67177197597073</v>
      </c>
      <c r="E523" s="166">
        <f t="shared" si="37"/>
        <v>119.62776690280809</v>
      </c>
      <c r="F523" s="188" t="str">
        <f t="shared" si="38"/>
        <v/>
      </c>
      <c r="H523" t="str">
        <f t="shared" si="40"/>
        <v/>
      </c>
      <c r="I523" s="188" t="str">
        <f t="shared" si="39"/>
        <v/>
      </c>
    </row>
    <row r="524" spans="1:9">
      <c r="A524">
        <v>521</v>
      </c>
      <c r="B524" s="46">
        <v>45721</v>
      </c>
      <c r="C524" s="166">
        <v>186.19269156423655</v>
      </c>
      <c r="D524" s="166">
        <v>129.67177197597073</v>
      </c>
      <c r="E524" s="166">
        <f t="shared" si="37"/>
        <v>129.67177197597073</v>
      </c>
      <c r="F524" s="188" t="str">
        <f t="shared" si="38"/>
        <v/>
      </c>
      <c r="H524" t="str">
        <f t="shared" si="40"/>
        <v/>
      </c>
      <c r="I524" s="188" t="str">
        <f t="shared" si="39"/>
        <v/>
      </c>
    </row>
    <row r="525" spans="1:9">
      <c r="A525">
        <v>522</v>
      </c>
      <c r="B525" s="46">
        <v>45722</v>
      </c>
      <c r="C525" s="166">
        <v>177.18801422823657</v>
      </c>
      <c r="D525" s="166">
        <v>129.67177197597073</v>
      </c>
      <c r="E525" s="166">
        <f t="shared" si="37"/>
        <v>129.67177197597073</v>
      </c>
      <c r="F525" s="188" t="str">
        <f t="shared" si="38"/>
        <v/>
      </c>
      <c r="H525" t="str">
        <f t="shared" si="40"/>
        <v/>
      </c>
      <c r="I525" s="188" t="str">
        <f t="shared" si="39"/>
        <v/>
      </c>
    </row>
    <row r="526" spans="1:9">
      <c r="A526">
        <v>523</v>
      </c>
      <c r="B526" s="46">
        <v>45723</v>
      </c>
      <c r="C526" s="166">
        <v>163.07393469623472</v>
      </c>
      <c r="D526" s="166">
        <v>129.67177197597073</v>
      </c>
      <c r="E526" s="166">
        <f t="shared" si="37"/>
        <v>129.67177197597073</v>
      </c>
      <c r="F526" s="188" t="str">
        <f t="shared" si="38"/>
        <v/>
      </c>
      <c r="H526" t="str">
        <f t="shared" si="40"/>
        <v/>
      </c>
      <c r="I526" s="188" t="str">
        <f t="shared" si="39"/>
        <v/>
      </c>
    </row>
    <row r="527" spans="1:9">
      <c r="A527">
        <v>524</v>
      </c>
      <c r="B527" s="46">
        <v>45724</v>
      </c>
      <c r="C527" s="166">
        <v>125.74691929223842</v>
      </c>
      <c r="D527" s="166">
        <v>129.67177197597073</v>
      </c>
      <c r="E527" s="166">
        <f t="shared" ref="E527:E590" si="41">IF(C527&lt;D527,C527,D527)</f>
        <v>125.74691929223842</v>
      </c>
      <c r="F527" s="188" t="str">
        <f t="shared" si="38"/>
        <v/>
      </c>
      <c r="H527" t="str">
        <f t="shared" si="40"/>
        <v/>
      </c>
      <c r="I527" s="188" t="str">
        <f t="shared" si="39"/>
        <v/>
      </c>
    </row>
    <row r="528" spans="1:9">
      <c r="A528">
        <v>525</v>
      </c>
      <c r="B528" s="46">
        <v>45725</v>
      </c>
      <c r="C528" s="166">
        <v>150.77340681623468</v>
      </c>
      <c r="D528" s="166">
        <v>129.67177197597073</v>
      </c>
      <c r="E528" s="166">
        <f t="shared" si="41"/>
        <v>129.67177197597073</v>
      </c>
      <c r="F528" s="188" t="str">
        <f t="shared" si="38"/>
        <v/>
      </c>
      <c r="H528" t="str">
        <f t="shared" si="40"/>
        <v/>
      </c>
      <c r="I528" s="188" t="str">
        <f t="shared" si="39"/>
        <v/>
      </c>
    </row>
    <row r="529" spans="1:9">
      <c r="A529">
        <v>526</v>
      </c>
      <c r="B529" s="46">
        <v>45726</v>
      </c>
      <c r="C529" s="166">
        <v>203.40770216823654</v>
      </c>
      <c r="D529" s="166">
        <v>129.67177197597073</v>
      </c>
      <c r="E529" s="166">
        <f t="shared" si="41"/>
        <v>129.67177197597073</v>
      </c>
      <c r="F529" s="188" t="str">
        <f t="shared" si="38"/>
        <v/>
      </c>
      <c r="H529" t="str">
        <f t="shared" si="40"/>
        <v/>
      </c>
      <c r="I529" s="188" t="str">
        <f t="shared" si="39"/>
        <v/>
      </c>
    </row>
    <row r="530" spans="1:9">
      <c r="A530">
        <v>527</v>
      </c>
      <c r="B530" s="46">
        <v>45727</v>
      </c>
      <c r="C530" s="166">
        <v>206.67058230423282</v>
      </c>
      <c r="D530" s="166">
        <v>129.67177197597073</v>
      </c>
      <c r="E530" s="166">
        <f t="shared" si="41"/>
        <v>129.67177197597073</v>
      </c>
      <c r="F530" s="188" t="str">
        <f t="shared" si="38"/>
        <v/>
      </c>
      <c r="H530" t="str">
        <f t="shared" si="40"/>
        <v/>
      </c>
      <c r="I530" s="188" t="str">
        <f t="shared" si="39"/>
        <v/>
      </c>
    </row>
    <row r="531" spans="1:9">
      <c r="A531">
        <v>528</v>
      </c>
      <c r="B531" s="46">
        <v>45728</v>
      </c>
      <c r="C531" s="166">
        <v>260.66490308219272</v>
      </c>
      <c r="D531" s="166">
        <v>129.67177197597073</v>
      </c>
      <c r="E531" s="166">
        <f t="shared" si="41"/>
        <v>129.67177197597073</v>
      </c>
      <c r="F531" s="188" t="str">
        <f t="shared" si="38"/>
        <v/>
      </c>
      <c r="H531" t="str">
        <f t="shared" si="40"/>
        <v/>
      </c>
      <c r="I531" s="188" t="str">
        <f t="shared" si="39"/>
        <v/>
      </c>
    </row>
    <row r="532" spans="1:9">
      <c r="A532">
        <v>529</v>
      </c>
      <c r="B532" s="46">
        <v>45729</v>
      </c>
      <c r="C532" s="166">
        <v>279.58197524218531</v>
      </c>
      <c r="D532" s="166">
        <v>129.67177197597073</v>
      </c>
      <c r="E532" s="166">
        <f t="shared" si="41"/>
        <v>129.67177197597073</v>
      </c>
      <c r="F532" s="188" t="str">
        <f t="shared" si="38"/>
        <v/>
      </c>
      <c r="H532" t="str">
        <f t="shared" si="40"/>
        <v/>
      </c>
      <c r="I532" s="188" t="str">
        <f t="shared" si="39"/>
        <v/>
      </c>
    </row>
    <row r="533" spans="1:9">
      <c r="A533">
        <v>530</v>
      </c>
      <c r="B533" s="46">
        <v>45730</v>
      </c>
      <c r="C533" s="166">
        <v>268.99954767018897</v>
      </c>
      <c r="D533" s="166">
        <v>129.67177197597073</v>
      </c>
      <c r="E533" s="166">
        <f t="shared" si="41"/>
        <v>129.67177197597073</v>
      </c>
      <c r="F533" s="188" t="str">
        <f t="shared" si="38"/>
        <v/>
      </c>
      <c r="H533" t="str">
        <f t="shared" si="40"/>
        <v/>
      </c>
      <c r="I533" s="188" t="str">
        <f t="shared" si="39"/>
        <v/>
      </c>
    </row>
    <row r="534" spans="1:9">
      <c r="A534">
        <v>531</v>
      </c>
      <c r="B534" s="46">
        <v>45731</v>
      </c>
      <c r="C534" s="166">
        <v>259.33307406618712</v>
      </c>
      <c r="D534" s="166">
        <v>129.67177197597073</v>
      </c>
      <c r="E534" s="166">
        <f t="shared" si="41"/>
        <v>129.67177197597073</v>
      </c>
      <c r="F534" s="188" t="str">
        <f t="shared" si="38"/>
        <v>M</v>
      </c>
      <c r="H534" t="str">
        <f t="shared" si="40"/>
        <v/>
      </c>
      <c r="I534" s="188" t="str">
        <f t="shared" si="39"/>
        <v>M</v>
      </c>
    </row>
    <row r="535" spans="1:9">
      <c r="A535">
        <v>532</v>
      </c>
      <c r="B535" s="46">
        <v>45732</v>
      </c>
      <c r="C535" s="166">
        <v>258.50382549818897</v>
      </c>
      <c r="D535" s="166">
        <v>129.67177197597073</v>
      </c>
      <c r="E535" s="166">
        <f t="shared" si="41"/>
        <v>129.67177197597073</v>
      </c>
      <c r="F535" s="188" t="str">
        <f t="shared" si="38"/>
        <v/>
      </c>
      <c r="H535" t="str">
        <f t="shared" si="40"/>
        <v/>
      </c>
      <c r="I535" s="188" t="str">
        <f t="shared" si="39"/>
        <v/>
      </c>
    </row>
    <row r="536" spans="1:9">
      <c r="A536">
        <v>533</v>
      </c>
      <c r="B536" s="46">
        <v>45733</v>
      </c>
      <c r="C536" s="166">
        <v>274.61169779018712</v>
      </c>
      <c r="D536" s="166">
        <v>129.67177197597073</v>
      </c>
      <c r="E536" s="166">
        <f t="shared" si="41"/>
        <v>129.67177197597073</v>
      </c>
      <c r="F536" s="188" t="str">
        <f t="shared" si="38"/>
        <v/>
      </c>
      <c r="G536" s="189" t="str">
        <f>IF(DAY(B536)=15,D536,"")</f>
        <v/>
      </c>
      <c r="H536" t="str">
        <f t="shared" si="40"/>
        <v/>
      </c>
      <c r="I536" s="188" t="str">
        <f t="shared" si="39"/>
        <v/>
      </c>
    </row>
    <row r="537" spans="1:9">
      <c r="A537">
        <v>534</v>
      </c>
      <c r="B537" s="46">
        <v>45734</v>
      </c>
      <c r="C537" s="166">
        <v>268.36891911018898</v>
      </c>
      <c r="D537" s="166">
        <v>129.67177197597073</v>
      </c>
      <c r="E537" s="166">
        <f t="shared" si="41"/>
        <v>129.67177197597073</v>
      </c>
      <c r="F537" s="188" t="str">
        <f t="shared" si="38"/>
        <v/>
      </c>
      <c r="H537" t="str">
        <f t="shared" si="40"/>
        <v/>
      </c>
      <c r="I537" s="188" t="str">
        <f t="shared" si="39"/>
        <v/>
      </c>
    </row>
    <row r="538" spans="1:9">
      <c r="A538">
        <v>535</v>
      </c>
      <c r="B538" s="46">
        <v>45735</v>
      </c>
      <c r="C538" s="166">
        <v>253.39516285485877</v>
      </c>
      <c r="D538" s="166">
        <v>129.67177197597073</v>
      </c>
      <c r="E538" s="166">
        <f t="shared" si="41"/>
        <v>129.67177197597073</v>
      </c>
      <c r="F538" s="188" t="str">
        <f t="shared" si="38"/>
        <v/>
      </c>
      <c r="H538" t="str">
        <f t="shared" si="40"/>
        <v/>
      </c>
      <c r="I538" s="188" t="str">
        <f t="shared" si="39"/>
        <v/>
      </c>
    </row>
    <row r="539" spans="1:9">
      <c r="A539">
        <v>536</v>
      </c>
      <c r="B539" s="46">
        <v>45736</v>
      </c>
      <c r="C539" s="166">
        <v>244.56696613085688</v>
      </c>
      <c r="D539" s="166">
        <v>129.67177197597073</v>
      </c>
      <c r="E539" s="166">
        <f t="shared" si="41"/>
        <v>129.67177197597073</v>
      </c>
      <c r="F539" s="188" t="str">
        <f t="shared" si="38"/>
        <v/>
      </c>
      <c r="H539" t="str">
        <f t="shared" si="40"/>
        <v/>
      </c>
      <c r="I539" s="188" t="str">
        <f t="shared" si="39"/>
        <v/>
      </c>
    </row>
    <row r="540" spans="1:9">
      <c r="A540">
        <v>537</v>
      </c>
      <c r="B540" s="46">
        <v>45737</v>
      </c>
      <c r="C540" s="166">
        <v>248.87512723485875</v>
      </c>
      <c r="D540" s="166">
        <v>129.67177197597073</v>
      </c>
      <c r="E540" s="166">
        <f t="shared" si="41"/>
        <v>129.67177197597073</v>
      </c>
      <c r="F540" s="188" t="str">
        <f t="shared" si="38"/>
        <v/>
      </c>
      <c r="H540" t="str">
        <f t="shared" si="40"/>
        <v/>
      </c>
      <c r="I540" s="188" t="str">
        <f t="shared" si="39"/>
        <v/>
      </c>
    </row>
    <row r="541" spans="1:9">
      <c r="A541">
        <v>538</v>
      </c>
      <c r="B541" s="46">
        <v>45738</v>
      </c>
      <c r="C541" s="166">
        <v>257.39827158285874</v>
      </c>
      <c r="D541" s="166">
        <v>129.67177197597073</v>
      </c>
      <c r="E541" s="166">
        <f t="shared" si="41"/>
        <v>129.67177197597073</v>
      </c>
      <c r="F541" s="188" t="str">
        <f t="shared" si="38"/>
        <v/>
      </c>
      <c r="H541" t="str">
        <f t="shared" si="40"/>
        <v/>
      </c>
      <c r="I541" s="188" t="str">
        <f t="shared" si="39"/>
        <v/>
      </c>
    </row>
    <row r="542" spans="1:9">
      <c r="A542">
        <v>539</v>
      </c>
      <c r="B542" s="46">
        <v>45739</v>
      </c>
      <c r="C542" s="166">
        <v>264.16365084285877</v>
      </c>
      <c r="D542" s="166">
        <v>129.67177197597073</v>
      </c>
      <c r="E542" s="166">
        <f t="shared" si="41"/>
        <v>129.67177197597073</v>
      </c>
      <c r="F542" s="188" t="str">
        <f t="shared" si="38"/>
        <v/>
      </c>
      <c r="H542" t="str">
        <f t="shared" si="40"/>
        <v/>
      </c>
      <c r="I542" s="188" t="str">
        <f t="shared" si="39"/>
        <v/>
      </c>
    </row>
    <row r="543" spans="1:9">
      <c r="A543">
        <v>540</v>
      </c>
      <c r="B543" s="46">
        <v>45740</v>
      </c>
      <c r="C543" s="166">
        <v>287.02376599486064</v>
      </c>
      <c r="D543" s="166">
        <v>129.67177197597073</v>
      </c>
      <c r="E543" s="166">
        <f t="shared" si="41"/>
        <v>129.67177197597073</v>
      </c>
      <c r="F543" s="188" t="str">
        <f t="shared" si="38"/>
        <v/>
      </c>
      <c r="H543" t="str">
        <f t="shared" si="40"/>
        <v/>
      </c>
      <c r="I543" s="188" t="str">
        <f t="shared" si="39"/>
        <v/>
      </c>
    </row>
    <row r="544" spans="1:9">
      <c r="A544">
        <v>541</v>
      </c>
      <c r="B544" s="46">
        <v>45741</v>
      </c>
      <c r="C544" s="166">
        <v>303.68461539086059</v>
      </c>
      <c r="D544" s="166">
        <v>129.67177197597073</v>
      </c>
      <c r="E544" s="166">
        <f t="shared" si="41"/>
        <v>129.67177197597073</v>
      </c>
      <c r="F544" s="188" t="str">
        <f t="shared" si="38"/>
        <v/>
      </c>
      <c r="H544" t="str">
        <f t="shared" si="40"/>
        <v/>
      </c>
      <c r="I544" s="188" t="str">
        <f t="shared" si="39"/>
        <v/>
      </c>
    </row>
    <row r="545" spans="1:9">
      <c r="A545">
        <v>542</v>
      </c>
      <c r="B545" s="46">
        <v>45742</v>
      </c>
      <c r="C545" s="166">
        <v>243.07513922999721</v>
      </c>
      <c r="D545" s="166">
        <v>129.67177197597073</v>
      </c>
      <c r="E545" s="166">
        <f t="shared" si="41"/>
        <v>129.67177197597073</v>
      </c>
      <c r="F545" s="188" t="str">
        <f t="shared" si="38"/>
        <v/>
      </c>
      <c r="H545" t="str">
        <f t="shared" si="40"/>
        <v/>
      </c>
      <c r="I545" s="188" t="str">
        <f t="shared" si="39"/>
        <v/>
      </c>
    </row>
    <row r="546" spans="1:9">
      <c r="A546">
        <v>543</v>
      </c>
      <c r="B546" s="46">
        <v>45743</v>
      </c>
      <c r="C546" s="166">
        <v>244.10366804599909</v>
      </c>
      <c r="D546" s="166">
        <v>129.67177197597073</v>
      </c>
      <c r="E546" s="166">
        <f t="shared" si="41"/>
        <v>129.67177197597073</v>
      </c>
      <c r="F546" s="188" t="str">
        <f t="shared" si="38"/>
        <v/>
      </c>
      <c r="H546" t="str">
        <f t="shared" si="40"/>
        <v/>
      </c>
      <c r="I546" s="188" t="str">
        <f t="shared" si="39"/>
        <v/>
      </c>
    </row>
    <row r="547" spans="1:9">
      <c r="A547">
        <v>544</v>
      </c>
      <c r="B547" s="46">
        <v>45744</v>
      </c>
      <c r="C547" s="166">
        <v>231.19215472199534</v>
      </c>
      <c r="D547" s="166">
        <v>129.67177197597073</v>
      </c>
      <c r="E547" s="166">
        <f t="shared" si="41"/>
        <v>129.67177197597073</v>
      </c>
      <c r="F547" s="188" t="str">
        <f t="shared" si="38"/>
        <v/>
      </c>
      <c r="H547" t="str">
        <f t="shared" si="40"/>
        <v/>
      </c>
      <c r="I547" s="188" t="str">
        <f t="shared" si="39"/>
        <v/>
      </c>
    </row>
    <row r="548" spans="1:9">
      <c r="A548">
        <v>545</v>
      </c>
      <c r="B548" s="46">
        <v>45745</v>
      </c>
      <c r="C548" s="166">
        <v>192.08118007399906</v>
      </c>
      <c r="D548" s="166">
        <v>129.67177197597073</v>
      </c>
      <c r="E548" s="166">
        <f t="shared" si="41"/>
        <v>129.67177197597073</v>
      </c>
      <c r="F548" s="188" t="str">
        <f t="shared" si="38"/>
        <v/>
      </c>
      <c r="H548" t="str">
        <f t="shared" si="40"/>
        <v/>
      </c>
      <c r="I548" s="188" t="str">
        <f t="shared" si="39"/>
        <v/>
      </c>
    </row>
    <row r="549" spans="1:9">
      <c r="A549">
        <v>546</v>
      </c>
      <c r="B549" s="46">
        <v>45746</v>
      </c>
      <c r="C549" s="166">
        <v>163.67780198999907</v>
      </c>
      <c r="D549" s="166">
        <v>129.67177197597073</v>
      </c>
      <c r="E549" s="166">
        <f t="shared" si="41"/>
        <v>129.67177197597073</v>
      </c>
      <c r="F549" s="188" t="str">
        <f t="shared" si="38"/>
        <v/>
      </c>
      <c r="H549" t="str">
        <f t="shared" si="40"/>
        <v/>
      </c>
      <c r="I549" s="188" t="str">
        <f t="shared" si="39"/>
        <v/>
      </c>
    </row>
    <row r="550" spans="1:9">
      <c r="A550">
        <v>547</v>
      </c>
      <c r="B550" s="46">
        <v>45747</v>
      </c>
      <c r="C550" s="166">
        <v>194.65612216599908</v>
      </c>
      <c r="D550" s="166">
        <v>129.67177197597073</v>
      </c>
      <c r="E550" s="166">
        <f t="shared" si="41"/>
        <v>129.67177197597073</v>
      </c>
      <c r="F550" s="188" t="str">
        <f t="shared" si="38"/>
        <v/>
      </c>
      <c r="H550" t="str">
        <f t="shared" si="40"/>
        <v/>
      </c>
      <c r="I550" s="188" t="str">
        <f t="shared" si="39"/>
        <v/>
      </c>
    </row>
    <row r="551" spans="1:9">
      <c r="A551">
        <v>548</v>
      </c>
      <c r="B551" s="46">
        <v>45748</v>
      </c>
      <c r="C551" s="166">
        <v>220.91609711799907</v>
      </c>
      <c r="D551" s="166">
        <v>123.24737037204483</v>
      </c>
      <c r="E551" s="166">
        <f t="shared" si="41"/>
        <v>123.24737037204483</v>
      </c>
      <c r="F551" s="188" t="str">
        <f t="shared" si="38"/>
        <v/>
      </c>
      <c r="H551" t="str">
        <f t="shared" si="40"/>
        <v/>
      </c>
      <c r="I551" s="188" t="str">
        <f t="shared" si="39"/>
        <v/>
      </c>
    </row>
    <row r="552" spans="1:9">
      <c r="A552">
        <v>549</v>
      </c>
      <c r="B552" s="46">
        <v>45749</v>
      </c>
      <c r="C552" s="166">
        <v>180.20444293612357</v>
      </c>
      <c r="D552" s="166">
        <v>123.24737037204483</v>
      </c>
      <c r="E552" s="166">
        <f t="shared" si="41"/>
        <v>123.24737037204483</v>
      </c>
      <c r="F552" s="188" t="str">
        <f t="shared" si="38"/>
        <v/>
      </c>
      <c r="H552" t="str">
        <f t="shared" si="40"/>
        <v/>
      </c>
      <c r="I552" s="188" t="str">
        <f t="shared" si="39"/>
        <v/>
      </c>
    </row>
    <row r="553" spans="1:9">
      <c r="A553">
        <v>550</v>
      </c>
      <c r="B553" s="46">
        <v>45750</v>
      </c>
      <c r="C553" s="166">
        <v>180.65194961611985</v>
      </c>
      <c r="D553" s="166">
        <v>123.24737037204483</v>
      </c>
      <c r="E553" s="166">
        <f t="shared" si="41"/>
        <v>123.24737037204483</v>
      </c>
      <c r="F553" s="188" t="str">
        <f t="shared" si="38"/>
        <v/>
      </c>
      <c r="H553" t="str">
        <f t="shared" si="40"/>
        <v/>
      </c>
      <c r="I553" s="188" t="str">
        <f t="shared" si="39"/>
        <v/>
      </c>
    </row>
    <row r="554" spans="1:9">
      <c r="A554">
        <v>551</v>
      </c>
      <c r="B554" s="46">
        <v>45751</v>
      </c>
      <c r="C554" s="166">
        <v>167.7407860641236</v>
      </c>
      <c r="D554" s="166">
        <v>123.24737037204483</v>
      </c>
      <c r="E554" s="166">
        <f t="shared" si="41"/>
        <v>123.24737037204483</v>
      </c>
      <c r="F554" s="188" t="str">
        <f t="shared" si="38"/>
        <v/>
      </c>
      <c r="H554" t="str">
        <f t="shared" si="40"/>
        <v/>
      </c>
      <c r="I554" s="188" t="str">
        <f t="shared" si="39"/>
        <v/>
      </c>
    </row>
    <row r="555" spans="1:9">
      <c r="A555">
        <v>552</v>
      </c>
      <c r="B555" s="46">
        <v>45752</v>
      </c>
      <c r="C555" s="166">
        <v>159.5159401401236</v>
      </c>
      <c r="D555" s="166">
        <v>123.24737037204483</v>
      </c>
      <c r="E555" s="166">
        <f t="shared" si="41"/>
        <v>123.24737037204483</v>
      </c>
      <c r="F555" s="188" t="str">
        <f t="shared" si="38"/>
        <v/>
      </c>
      <c r="H555" t="str">
        <f t="shared" si="40"/>
        <v/>
      </c>
      <c r="I555" s="188" t="str">
        <f t="shared" si="39"/>
        <v/>
      </c>
    </row>
    <row r="556" spans="1:9">
      <c r="A556">
        <v>553</v>
      </c>
      <c r="B556" s="46">
        <v>45753</v>
      </c>
      <c r="C556" s="166">
        <v>156.28354039611989</v>
      </c>
      <c r="D556" s="166">
        <v>123.24737037204483</v>
      </c>
      <c r="E556" s="166">
        <f t="shared" si="41"/>
        <v>123.24737037204483</v>
      </c>
      <c r="F556" s="188" t="str">
        <f t="shared" si="38"/>
        <v/>
      </c>
      <c r="H556" t="str">
        <f t="shared" si="40"/>
        <v/>
      </c>
      <c r="I556" s="188" t="str">
        <f t="shared" si="39"/>
        <v/>
      </c>
    </row>
    <row r="557" spans="1:9">
      <c r="A557">
        <v>554</v>
      </c>
      <c r="B557" s="46">
        <v>45754</v>
      </c>
      <c r="C557" s="166">
        <v>182.49534861212356</v>
      </c>
      <c r="D557" s="166">
        <v>123.24737037204483</v>
      </c>
      <c r="E557" s="166">
        <f t="shared" si="41"/>
        <v>123.24737037204483</v>
      </c>
      <c r="F557" s="188" t="str">
        <f t="shared" si="38"/>
        <v/>
      </c>
      <c r="H557" t="str">
        <f t="shared" si="40"/>
        <v/>
      </c>
      <c r="I557" s="188" t="str">
        <f t="shared" si="39"/>
        <v/>
      </c>
    </row>
    <row r="558" spans="1:9">
      <c r="A558">
        <v>555</v>
      </c>
      <c r="B558" s="46">
        <v>45755</v>
      </c>
      <c r="C558" s="166">
        <v>187.70822462812171</v>
      </c>
      <c r="D558" s="166">
        <v>123.24737037204483</v>
      </c>
      <c r="E558" s="166">
        <f t="shared" si="41"/>
        <v>123.24737037204483</v>
      </c>
      <c r="F558" s="188" t="str">
        <f t="shared" si="38"/>
        <v/>
      </c>
      <c r="H558" t="str">
        <f t="shared" si="40"/>
        <v/>
      </c>
      <c r="I558" s="188" t="str">
        <f t="shared" si="39"/>
        <v/>
      </c>
    </row>
    <row r="559" spans="1:9">
      <c r="A559">
        <v>556</v>
      </c>
      <c r="B559" s="46">
        <v>45756</v>
      </c>
      <c r="C559" s="166">
        <v>173.59555560485555</v>
      </c>
      <c r="D559" s="166">
        <v>123.24737037204483</v>
      </c>
      <c r="E559" s="166">
        <f t="shared" si="41"/>
        <v>123.24737037204483</v>
      </c>
      <c r="F559" s="188" t="str">
        <f t="shared" si="38"/>
        <v/>
      </c>
      <c r="H559" t="str">
        <f t="shared" si="40"/>
        <v/>
      </c>
      <c r="I559" s="188" t="str">
        <f t="shared" si="39"/>
        <v/>
      </c>
    </row>
    <row r="560" spans="1:9">
      <c r="A560">
        <v>557</v>
      </c>
      <c r="B560" s="46">
        <v>45757</v>
      </c>
      <c r="C560" s="166">
        <v>155.95361372885742</v>
      </c>
      <c r="D560" s="166">
        <v>123.24737037204483</v>
      </c>
      <c r="E560" s="166">
        <f t="shared" si="41"/>
        <v>123.24737037204483</v>
      </c>
      <c r="F560" s="188" t="str">
        <f t="shared" si="38"/>
        <v/>
      </c>
      <c r="H560" t="str">
        <f t="shared" si="40"/>
        <v/>
      </c>
      <c r="I560" s="188" t="str">
        <f t="shared" si="39"/>
        <v/>
      </c>
    </row>
    <row r="561" spans="1:9">
      <c r="A561">
        <v>558</v>
      </c>
      <c r="B561" s="46">
        <v>45758</v>
      </c>
      <c r="C561" s="166">
        <v>162.01836914885556</v>
      </c>
      <c r="D561" s="166">
        <v>123.24737037204483</v>
      </c>
      <c r="E561" s="166">
        <f t="shared" si="41"/>
        <v>123.24737037204483</v>
      </c>
      <c r="F561" s="188" t="str">
        <f t="shared" si="38"/>
        <v/>
      </c>
      <c r="H561" t="str">
        <f t="shared" si="40"/>
        <v/>
      </c>
      <c r="I561" s="188" t="str">
        <f t="shared" si="39"/>
        <v/>
      </c>
    </row>
    <row r="562" spans="1:9">
      <c r="A562">
        <v>559</v>
      </c>
      <c r="B562" s="46">
        <v>45759</v>
      </c>
      <c r="C562" s="166">
        <v>167.19396951285557</v>
      </c>
      <c r="D562" s="166">
        <v>123.24737037204483</v>
      </c>
      <c r="E562" s="166">
        <f t="shared" si="41"/>
        <v>123.24737037204483</v>
      </c>
      <c r="F562" s="188" t="str">
        <f t="shared" si="38"/>
        <v/>
      </c>
      <c r="H562" t="str">
        <f t="shared" si="40"/>
        <v/>
      </c>
      <c r="I562" s="188" t="str">
        <f t="shared" si="39"/>
        <v/>
      </c>
    </row>
    <row r="563" spans="1:9">
      <c r="A563">
        <v>560</v>
      </c>
      <c r="B563" s="46">
        <v>45760</v>
      </c>
      <c r="C563" s="166">
        <v>150.14649389685371</v>
      </c>
      <c r="D563" s="166">
        <v>123.24737037204483</v>
      </c>
      <c r="E563" s="166">
        <f t="shared" si="41"/>
        <v>123.24737037204483</v>
      </c>
      <c r="F563" s="188" t="str">
        <f t="shared" si="38"/>
        <v/>
      </c>
      <c r="H563" t="str">
        <f t="shared" si="40"/>
        <v/>
      </c>
      <c r="I563" s="188" t="str">
        <f t="shared" si="39"/>
        <v/>
      </c>
    </row>
    <row r="564" spans="1:9">
      <c r="A564">
        <v>561</v>
      </c>
      <c r="B564" s="46">
        <v>45761</v>
      </c>
      <c r="C564" s="166">
        <v>157.91851472486115</v>
      </c>
      <c r="D564" s="166">
        <v>123.24737037204483</v>
      </c>
      <c r="E564" s="166">
        <f t="shared" si="41"/>
        <v>123.24737037204483</v>
      </c>
      <c r="F564" s="188" t="str">
        <f t="shared" si="38"/>
        <v/>
      </c>
      <c r="H564" t="str">
        <f t="shared" si="40"/>
        <v/>
      </c>
      <c r="I564" s="188" t="str">
        <f t="shared" si="39"/>
        <v/>
      </c>
    </row>
    <row r="565" spans="1:9">
      <c r="A565">
        <v>562</v>
      </c>
      <c r="B565" s="46">
        <v>45762</v>
      </c>
      <c r="C565" s="166">
        <v>143.22710196885558</v>
      </c>
      <c r="D565" s="166">
        <v>123.24737037204483</v>
      </c>
      <c r="E565" s="166">
        <f t="shared" si="41"/>
        <v>123.24737037204483</v>
      </c>
      <c r="F565" s="188" t="str">
        <f t="shared" si="38"/>
        <v>A</v>
      </c>
      <c r="H565" t="str">
        <f t="shared" si="40"/>
        <v/>
      </c>
      <c r="I565" s="188" t="str">
        <f t="shared" si="39"/>
        <v>A</v>
      </c>
    </row>
    <row r="566" spans="1:9">
      <c r="A566">
        <v>563</v>
      </c>
      <c r="B566" s="46">
        <v>45763</v>
      </c>
      <c r="C566" s="166">
        <v>199.31030269631856</v>
      </c>
      <c r="D566" s="166">
        <v>123.24737037204483</v>
      </c>
      <c r="E566" s="166">
        <f t="shared" si="41"/>
        <v>123.24737037204483</v>
      </c>
      <c r="F566" s="188" t="str">
        <f t="shared" si="38"/>
        <v/>
      </c>
      <c r="H566" t="str">
        <f t="shared" si="40"/>
        <v/>
      </c>
      <c r="I566" s="188" t="str">
        <f t="shared" si="39"/>
        <v/>
      </c>
    </row>
    <row r="567" spans="1:9">
      <c r="A567">
        <v>564</v>
      </c>
      <c r="B567" s="46">
        <v>45764</v>
      </c>
      <c r="C567" s="166">
        <v>196.35778235632415</v>
      </c>
      <c r="D567" s="166">
        <v>123.24737037204483</v>
      </c>
      <c r="E567" s="166">
        <f t="shared" si="41"/>
        <v>123.24737037204483</v>
      </c>
      <c r="F567" s="188" t="str">
        <f t="shared" si="38"/>
        <v/>
      </c>
      <c r="G567" s="189" t="str">
        <f>IF(DAY(B567)=15,D567,"")</f>
        <v/>
      </c>
      <c r="H567" t="str">
        <f t="shared" si="40"/>
        <v/>
      </c>
      <c r="I567" s="188" t="str">
        <f t="shared" si="39"/>
        <v/>
      </c>
    </row>
    <row r="568" spans="1:9">
      <c r="A568">
        <v>565</v>
      </c>
      <c r="B568" s="46">
        <v>45765</v>
      </c>
      <c r="C568" s="166">
        <v>192.44321123632042</v>
      </c>
      <c r="D568" s="166">
        <v>123.24737037204483</v>
      </c>
      <c r="E568" s="166">
        <f t="shared" si="41"/>
        <v>123.24737037204483</v>
      </c>
      <c r="F568" s="188" t="str">
        <f t="shared" si="38"/>
        <v/>
      </c>
      <c r="H568" t="str">
        <f t="shared" si="40"/>
        <v/>
      </c>
      <c r="I568" s="188" t="str">
        <f t="shared" si="39"/>
        <v/>
      </c>
    </row>
    <row r="569" spans="1:9">
      <c r="A569">
        <v>566</v>
      </c>
      <c r="B569" s="46">
        <v>45766</v>
      </c>
      <c r="C569" s="166">
        <v>184.22701234032232</v>
      </c>
      <c r="D569" s="166">
        <v>123.24737037204483</v>
      </c>
      <c r="E569" s="166">
        <f t="shared" si="41"/>
        <v>123.24737037204483</v>
      </c>
      <c r="F569" s="188" t="str">
        <f t="shared" si="38"/>
        <v/>
      </c>
      <c r="H569" t="str">
        <f t="shared" si="40"/>
        <v/>
      </c>
      <c r="I569" s="188" t="str">
        <f t="shared" si="39"/>
        <v/>
      </c>
    </row>
    <row r="570" spans="1:9">
      <c r="A570">
        <v>567</v>
      </c>
      <c r="B570" s="46">
        <v>45767</v>
      </c>
      <c r="C570" s="166">
        <v>200.55065833632415</v>
      </c>
      <c r="D570" s="166">
        <v>123.24737037204483</v>
      </c>
      <c r="E570" s="166">
        <f t="shared" si="41"/>
        <v>123.24737037204483</v>
      </c>
      <c r="F570" s="188" t="str">
        <f t="shared" si="38"/>
        <v/>
      </c>
      <c r="H570" t="str">
        <f t="shared" si="40"/>
        <v/>
      </c>
      <c r="I570" s="188" t="str">
        <f t="shared" si="39"/>
        <v/>
      </c>
    </row>
    <row r="571" spans="1:9">
      <c r="A571">
        <v>568</v>
      </c>
      <c r="B571" s="46">
        <v>45768</v>
      </c>
      <c r="C571" s="166">
        <v>230.44826107632042</v>
      </c>
      <c r="D571" s="166">
        <v>123.24737037204483</v>
      </c>
      <c r="E571" s="166">
        <f t="shared" si="41"/>
        <v>123.24737037204483</v>
      </c>
      <c r="F571" s="188" t="str">
        <f t="shared" si="38"/>
        <v/>
      </c>
      <c r="H571" t="str">
        <f t="shared" si="40"/>
        <v/>
      </c>
      <c r="I571" s="188" t="str">
        <f t="shared" si="39"/>
        <v/>
      </c>
    </row>
    <row r="572" spans="1:9">
      <c r="A572">
        <v>569</v>
      </c>
      <c r="B572" s="46">
        <v>45769</v>
      </c>
      <c r="C572" s="166">
        <v>246.66486100432601</v>
      </c>
      <c r="D572" s="166">
        <v>123.24737037204483</v>
      </c>
      <c r="E572" s="166">
        <f t="shared" si="41"/>
        <v>123.24737037204483</v>
      </c>
      <c r="F572" s="188" t="str">
        <f t="shared" si="38"/>
        <v/>
      </c>
      <c r="H572" t="str">
        <f t="shared" si="40"/>
        <v/>
      </c>
      <c r="I572" s="188" t="str">
        <f t="shared" si="39"/>
        <v/>
      </c>
    </row>
    <row r="573" spans="1:9">
      <c r="A573">
        <v>570</v>
      </c>
      <c r="B573" s="46">
        <v>45770</v>
      </c>
      <c r="C573" s="166">
        <v>197.83856872807988</v>
      </c>
      <c r="D573" s="166">
        <v>123.24737037204483</v>
      </c>
      <c r="E573" s="166">
        <f t="shared" si="41"/>
        <v>123.24737037204483</v>
      </c>
      <c r="F573" s="188" t="str">
        <f t="shared" si="38"/>
        <v/>
      </c>
      <c r="H573" t="str">
        <f t="shared" si="40"/>
        <v/>
      </c>
      <c r="I573" s="188" t="str">
        <f t="shared" si="39"/>
        <v/>
      </c>
    </row>
    <row r="574" spans="1:9">
      <c r="A574">
        <v>571</v>
      </c>
      <c r="B574" s="46">
        <v>45771</v>
      </c>
      <c r="C574" s="166">
        <v>180.858270072078</v>
      </c>
      <c r="D574" s="166">
        <v>123.24737037204483</v>
      </c>
      <c r="E574" s="166">
        <f t="shared" si="41"/>
        <v>123.24737037204483</v>
      </c>
      <c r="F574" s="188" t="str">
        <f t="shared" si="38"/>
        <v/>
      </c>
      <c r="H574" t="str">
        <f t="shared" si="40"/>
        <v/>
      </c>
      <c r="I574" s="188" t="str">
        <f t="shared" si="39"/>
        <v/>
      </c>
    </row>
    <row r="575" spans="1:9">
      <c r="A575">
        <v>572</v>
      </c>
      <c r="B575" s="46">
        <v>45772</v>
      </c>
      <c r="C575" s="166">
        <v>183.52461616008173</v>
      </c>
      <c r="D575" s="166">
        <v>123.24737037204483</v>
      </c>
      <c r="E575" s="166">
        <f t="shared" si="41"/>
        <v>123.24737037204483</v>
      </c>
      <c r="F575" s="188" t="str">
        <f t="shared" si="38"/>
        <v/>
      </c>
      <c r="H575" t="str">
        <f t="shared" si="40"/>
        <v/>
      </c>
      <c r="I575" s="188" t="str">
        <f t="shared" si="39"/>
        <v/>
      </c>
    </row>
    <row r="576" spans="1:9">
      <c r="A576">
        <v>573</v>
      </c>
      <c r="B576" s="46">
        <v>45773</v>
      </c>
      <c r="C576" s="166">
        <v>149.31526525208361</v>
      </c>
      <c r="D576" s="166">
        <v>123.24737037204483</v>
      </c>
      <c r="E576" s="166">
        <f t="shared" si="41"/>
        <v>123.24737037204483</v>
      </c>
      <c r="F576" s="188" t="str">
        <f t="shared" si="38"/>
        <v/>
      </c>
      <c r="H576" t="str">
        <f t="shared" si="40"/>
        <v/>
      </c>
      <c r="I576" s="188" t="str">
        <f t="shared" si="39"/>
        <v/>
      </c>
    </row>
    <row r="577" spans="1:9">
      <c r="A577">
        <v>574</v>
      </c>
      <c r="B577" s="46">
        <v>45774</v>
      </c>
      <c r="C577" s="166">
        <v>134.77316206808359</v>
      </c>
      <c r="D577" s="166">
        <v>123.24737037204483</v>
      </c>
      <c r="E577" s="166">
        <f t="shared" si="41"/>
        <v>123.24737037204483</v>
      </c>
      <c r="F577" s="188" t="str">
        <f t="shared" si="38"/>
        <v/>
      </c>
      <c r="H577" t="str">
        <f t="shared" si="40"/>
        <v/>
      </c>
      <c r="I577" s="188" t="str">
        <f t="shared" si="39"/>
        <v/>
      </c>
    </row>
    <row r="578" spans="1:9">
      <c r="A578">
        <v>575</v>
      </c>
      <c r="B578" s="46">
        <v>45775</v>
      </c>
      <c r="C578" s="166">
        <v>135.23444620407614</v>
      </c>
      <c r="D578" s="166">
        <v>123.24737037204483</v>
      </c>
      <c r="E578" s="166">
        <f t="shared" si="41"/>
        <v>123.24737037204483</v>
      </c>
      <c r="F578" s="188" t="str">
        <f t="shared" si="38"/>
        <v/>
      </c>
      <c r="H578" t="str">
        <f t="shared" si="40"/>
        <v/>
      </c>
      <c r="I578" s="188" t="str">
        <f t="shared" si="39"/>
        <v/>
      </c>
    </row>
    <row r="579" spans="1:9">
      <c r="A579">
        <v>576</v>
      </c>
      <c r="B579" s="46">
        <v>45776</v>
      </c>
      <c r="C579" s="166">
        <v>199.08417822908359</v>
      </c>
      <c r="D579" s="166">
        <v>123.24737037204483</v>
      </c>
      <c r="E579" s="166">
        <f t="shared" si="41"/>
        <v>123.24737037204483</v>
      </c>
      <c r="F579" s="188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8" t="str">
        <f t="shared" si="39"/>
        <v/>
      </c>
    </row>
    <row r="580" spans="1:9">
      <c r="A580">
        <v>577</v>
      </c>
      <c r="B580" s="46">
        <v>45777</v>
      </c>
      <c r="C580" s="166">
        <v>157.86412479189696</v>
      </c>
      <c r="D580" s="166">
        <v>123.24737037204483</v>
      </c>
      <c r="E580" s="166">
        <f t="shared" si="41"/>
        <v>123.24737037204483</v>
      </c>
      <c r="F580" s="188" t="str">
        <f t="shared" si="42"/>
        <v/>
      </c>
      <c r="H580" t="str">
        <f t="shared" si="40"/>
        <v/>
      </c>
      <c r="I580" s="188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45778</v>
      </c>
      <c r="C581" s="166">
        <v>140.12949234489508</v>
      </c>
      <c r="D581" s="166">
        <v>94.081084096418962</v>
      </c>
      <c r="E581" s="166">
        <f t="shared" si="41"/>
        <v>94.081084096418962</v>
      </c>
      <c r="F581" s="188" t="str">
        <f t="shared" si="42"/>
        <v/>
      </c>
      <c r="H581" t="str">
        <f t="shared" ref="H581:H644" si="44">IF(MONTH(B581)=1,IF(DAY(B581)=1,YEAR(B581),""),"")</f>
        <v/>
      </c>
      <c r="I581" s="188" t="str">
        <f t="shared" si="43"/>
        <v/>
      </c>
    </row>
    <row r="582" spans="1:9">
      <c r="A582">
        <v>579</v>
      </c>
      <c r="B582" s="46">
        <v>45779</v>
      </c>
      <c r="C582" s="166">
        <v>142.79682454489509</v>
      </c>
      <c r="D582" s="166">
        <v>94.081084096418962</v>
      </c>
      <c r="E582" s="166">
        <f t="shared" si="41"/>
        <v>94.081084096418962</v>
      </c>
      <c r="F582" s="188" t="str">
        <f t="shared" si="42"/>
        <v/>
      </c>
      <c r="H582" t="str">
        <f t="shared" si="44"/>
        <v/>
      </c>
      <c r="I582" s="188" t="str">
        <f t="shared" si="43"/>
        <v/>
      </c>
    </row>
    <row r="583" spans="1:9">
      <c r="A583">
        <v>580</v>
      </c>
      <c r="B583" s="46">
        <v>45780</v>
      </c>
      <c r="C583" s="166">
        <v>143.09792462089322</v>
      </c>
      <c r="D583" s="166">
        <v>94.081084096418962</v>
      </c>
      <c r="E583" s="166">
        <f t="shared" si="41"/>
        <v>94.081084096418962</v>
      </c>
      <c r="F583" s="188" t="str">
        <f t="shared" si="42"/>
        <v/>
      </c>
      <c r="H583" t="str">
        <f t="shared" si="44"/>
        <v/>
      </c>
      <c r="I583" s="188" t="str">
        <f t="shared" si="43"/>
        <v/>
      </c>
    </row>
    <row r="584" spans="1:9">
      <c r="A584">
        <v>581</v>
      </c>
      <c r="B584" s="46">
        <v>45781</v>
      </c>
      <c r="C584" s="166">
        <v>135.55519349689322</v>
      </c>
      <c r="D584" s="166">
        <v>94.081084096418962</v>
      </c>
      <c r="E584" s="166">
        <f t="shared" si="41"/>
        <v>94.081084096418962</v>
      </c>
      <c r="F584" s="188" t="str">
        <f t="shared" si="42"/>
        <v/>
      </c>
      <c r="H584" t="str">
        <f t="shared" si="44"/>
        <v/>
      </c>
      <c r="I584" s="188" t="str">
        <f t="shared" si="43"/>
        <v/>
      </c>
    </row>
    <row r="585" spans="1:9">
      <c r="A585">
        <v>582</v>
      </c>
      <c r="B585" s="46">
        <v>45782</v>
      </c>
      <c r="C585" s="166">
        <v>149.29507635689694</v>
      </c>
      <c r="D585" s="166">
        <v>94.081084096418962</v>
      </c>
      <c r="E585" s="166">
        <f t="shared" si="41"/>
        <v>94.081084096418962</v>
      </c>
      <c r="F585" s="188" t="str">
        <f t="shared" si="42"/>
        <v/>
      </c>
      <c r="H585" t="str">
        <f t="shared" si="44"/>
        <v/>
      </c>
      <c r="I585" s="188" t="str">
        <f t="shared" si="43"/>
        <v/>
      </c>
    </row>
    <row r="586" spans="1:9">
      <c r="A586">
        <v>583</v>
      </c>
      <c r="B586" s="46">
        <v>45783</v>
      </c>
      <c r="C586" s="166">
        <v>157.60283116089511</v>
      </c>
      <c r="D586" s="166">
        <v>94.081084096418962</v>
      </c>
      <c r="E586" s="166">
        <f t="shared" si="41"/>
        <v>94.081084096418962</v>
      </c>
      <c r="F586" s="188" t="str">
        <f t="shared" si="42"/>
        <v/>
      </c>
      <c r="H586" t="str">
        <f t="shared" si="44"/>
        <v/>
      </c>
      <c r="I586" s="188" t="str">
        <f t="shared" si="43"/>
        <v/>
      </c>
    </row>
    <row r="587" spans="1:9">
      <c r="A587">
        <v>584</v>
      </c>
      <c r="B587" s="46">
        <v>45784</v>
      </c>
      <c r="C587" s="166">
        <v>154.75608242813192</v>
      </c>
      <c r="D587" s="166">
        <v>94.081084096418962</v>
      </c>
      <c r="E587" s="166">
        <f t="shared" si="41"/>
        <v>94.081084096418962</v>
      </c>
      <c r="F587" s="188" t="str">
        <f t="shared" si="42"/>
        <v/>
      </c>
      <c r="H587" t="str">
        <f t="shared" si="44"/>
        <v/>
      </c>
      <c r="I587" s="188" t="str">
        <f t="shared" si="43"/>
        <v/>
      </c>
    </row>
    <row r="588" spans="1:9">
      <c r="A588">
        <v>585</v>
      </c>
      <c r="B588" s="46">
        <v>45785</v>
      </c>
      <c r="C588" s="166">
        <v>172.86082193213193</v>
      </c>
      <c r="D588" s="166">
        <v>94.081084096418962</v>
      </c>
      <c r="E588" s="166">
        <f t="shared" si="41"/>
        <v>94.081084096418962</v>
      </c>
      <c r="F588" s="188" t="str">
        <f t="shared" si="42"/>
        <v/>
      </c>
      <c r="H588" t="str">
        <f t="shared" si="44"/>
        <v/>
      </c>
      <c r="I588" s="188" t="str">
        <f t="shared" si="43"/>
        <v/>
      </c>
    </row>
    <row r="589" spans="1:9">
      <c r="A589">
        <v>586</v>
      </c>
      <c r="B589" s="46">
        <v>45786</v>
      </c>
      <c r="C589" s="166">
        <v>172.2103047571338</v>
      </c>
      <c r="D589" s="166">
        <v>94.081084096418962</v>
      </c>
      <c r="E589" s="166">
        <f t="shared" si="41"/>
        <v>94.081084096418962</v>
      </c>
      <c r="F589" s="188" t="str">
        <f t="shared" si="42"/>
        <v/>
      </c>
      <c r="H589" t="str">
        <f t="shared" si="44"/>
        <v/>
      </c>
      <c r="I589" s="188" t="str">
        <f t="shared" si="43"/>
        <v/>
      </c>
    </row>
    <row r="590" spans="1:9">
      <c r="A590">
        <v>587</v>
      </c>
      <c r="B590" s="46">
        <v>45787</v>
      </c>
      <c r="C590" s="166">
        <v>137.90163502413006</v>
      </c>
      <c r="D590" s="166">
        <v>94.081084096418962</v>
      </c>
      <c r="E590" s="166">
        <f t="shared" si="41"/>
        <v>94.081084096418962</v>
      </c>
      <c r="F590" s="188" t="str">
        <f t="shared" si="42"/>
        <v/>
      </c>
      <c r="H590" t="str">
        <f t="shared" si="44"/>
        <v/>
      </c>
      <c r="I590" s="188" t="str">
        <f t="shared" si="43"/>
        <v/>
      </c>
    </row>
    <row r="591" spans="1:9">
      <c r="A591">
        <v>588</v>
      </c>
      <c r="B591" s="46">
        <v>45788</v>
      </c>
      <c r="C591" s="166">
        <v>125.87049791913192</v>
      </c>
      <c r="D591" s="166">
        <v>94.081084096418962</v>
      </c>
      <c r="E591" s="166">
        <f t="shared" ref="E591:E654" si="45">IF(C591&lt;D591,C591,D591)</f>
        <v>94.081084096418962</v>
      </c>
      <c r="F591" s="188" t="str">
        <f t="shared" si="42"/>
        <v/>
      </c>
      <c r="H591" t="str">
        <f t="shared" si="44"/>
        <v/>
      </c>
      <c r="I591" s="188" t="str">
        <f t="shared" si="43"/>
        <v/>
      </c>
    </row>
    <row r="592" spans="1:9">
      <c r="A592">
        <v>589</v>
      </c>
      <c r="B592" s="46">
        <v>45789</v>
      </c>
      <c r="C592" s="166">
        <v>153.65334054513377</v>
      </c>
      <c r="D592" s="166">
        <v>94.081084096418962</v>
      </c>
      <c r="E592" s="166">
        <f t="shared" si="45"/>
        <v>94.081084096418962</v>
      </c>
      <c r="F592" s="188" t="str">
        <f t="shared" si="42"/>
        <v/>
      </c>
      <c r="H592" t="str">
        <f t="shared" si="44"/>
        <v/>
      </c>
      <c r="I592" s="188" t="str">
        <f t="shared" si="43"/>
        <v/>
      </c>
    </row>
    <row r="593" spans="1:9">
      <c r="A593">
        <v>590</v>
      </c>
      <c r="B593" s="46">
        <v>45790</v>
      </c>
      <c r="C593" s="166">
        <v>153.22896172713376</v>
      </c>
      <c r="D593" s="166">
        <v>94.081084096418962</v>
      </c>
      <c r="E593" s="166">
        <f t="shared" si="45"/>
        <v>94.081084096418962</v>
      </c>
      <c r="F593" s="188" t="str">
        <f t="shared" si="42"/>
        <v/>
      </c>
      <c r="H593" t="str">
        <f t="shared" si="44"/>
        <v/>
      </c>
      <c r="I593" s="188" t="str">
        <f t="shared" si="43"/>
        <v/>
      </c>
    </row>
    <row r="594" spans="1:9">
      <c r="A594">
        <v>591</v>
      </c>
      <c r="B594" s="46">
        <v>45791</v>
      </c>
      <c r="C594" s="166">
        <v>161.94604865030593</v>
      </c>
      <c r="D594" s="166">
        <v>94.081084096418962</v>
      </c>
      <c r="E594" s="166">
        <f t="shared" si="45"/>
        <v>94.081084096418962</v>
      </c>
      <c r="F594" s="188" t="str">
        <f t="shared" si="42"/>
        <v/>
      </c>
      <c r="H594" t="str">
        <f t="shared" si="44"/>
        <v/>
      </c>
      <c r="I594" s="188" t="str">
        <f t="shared" si="43"/>
        <v/>
      </c>
    </row>
    <row r="595" spans="1:9">
      <c r="A595">
        <v>592</v>
      </c>
      <c r="B595" s="46">
        <v>45792</v>
      </c>
      <c r="C595" s="166">
        <v>154.06951616230779</v>
      </c>
      <c r="D595" s="166">
        <v>94.081084096418962</v>
      </c>
      <c r="E595" s="166">
        <f t="shared" si="45"/>
        <v>94.081084096418962</v>
      </c>
      <c r="F595" s="188" t="str">
        <f t="shared" si="42"/>
        <v>M</v>
      </c>
      <c r="G595" s="189">
        <f>IF(DAY(B595)=15,D595,"")</f>
        <v>94.081084096418962</v>
      </c>
      <c r="H595" t="str">
        <f t="shared" si="44"/>
        <v/>
      </c>
      <c r="I595" s="188" t="str">
        <f t="shared" si="43"/>
        <v>M</v>
      </c>
    </row>
    <row r="596" spans="1:9">
      <c r="A596">
        <v>593</v>
      </c>
      <c r="B596" s="46">
        <v>45793</v>
      </c>
      <c r="C596" s="166">
        <v>146.44976514230964</v>
      </c>
      <c r="D596" s="166">
        <v>94.081084096418962</v>
      </c>
      <c r="E596" s="166">
        <f t="shared" si="45"/>
        <v>94.081084096418962</v>
      </c>
      <c r="F596" s="188" t="str">
        <f t="shared" si="42"/>
        <v/>
      </c>
      <c r="H596" t="str">
        <f t="shared" si="44"/>
        <v/>
      </c>
      <c r="I596" s="188" t="str">
        <f t="shared" si="43"/>
        <v/>
      </c>
    </row>
    <row r="597" spans="1:9">
      <c r="A597">
        <v>594</v>
      </c>
      <c r="B597" s="46">
        <v>45794</v>
      </c>
      <c r="C597" s="166">
        <v>148.80771684230777</v>
      </c>
      <c r="D597" s="166">
        <v>94.081084096418962</v>
      </c>
      <c r="E597" s="166">
        <f t="shared" si="45"/>
        <v>94.081084096418962</v>
      </c>
      <c r="F597" s="188" t="str">
        <f t="shared" si="42"/>
        <v/>
      </c>
      <c r="H597" t="str">
        <f t="shared" si="44"/>
        <v/>
      </c>
      <c r="I597" s="188" t="str">
        <f t="shared" si="43"/>
        <v/>
      </c>
    </row>
    <row r="598" spans="1:9">
      <c r="A598">
        <v>595</v>
      </c>
      <c r="B598" s="46">
        <v>45795</v>
      </c>
      <c r="C598" s="166">
        <v>134.18698635830592</v>
      </c>
      <c r="D598" s="166">
        <v>94.081084096418962</v>
      </c>
      <c r="E598" s="166">
        <f t="shared" si="45"/>
        <v>94.081084096418962</v>
      </c>
      <c r="F598" s="188" t="str">
        <f t="shared" si="42"/>
        <v/>
      </c>
      <c r="H598" t="str">
        <f t="shared" si="44"/>
        <v/>
      </c>
      <c r="I598" s="188" t="str">
        <f t="shared" si="43"/>
        <v/>
      </c>
    </row>
    <row r="599" spans="1:9">
      <c r="A599">
        <v>596</v>
      </c>
      <c r="B599" s="46">
        <v>45796</v>
      </c>
      <c r="C599" s="166">
        <v>140.97652798630779</v>
      </c>
      <c r="D599" s="166">
        <v>94.081084096418962</v>
      </c>
      <c r="E599" s="166">
        <f t="shared" si="45"/>
        <v>94.081084096418962</v>
      </c>
      <c r="F599" s="188" t="str">
        <f t="shared" si="42"/>
        <v/>
      </c>
      <c r="H599" t="str">
        <f t="shared" si="44"/>
        <v/>
      </c>
      <c r="I599" s="188" t="str">
        <f t="shared" si="43"/>
        <v/>
      </c>
    </row>
    <row r="600" spans="1:9">
      <c r="A600">
        <v>597</v>
      </c>
      <c r="B600" s="46">
        <v>45797</v>
      </c>
      <c r="C600" s="166">
        <v>136.81608433430964</v>
      </c>
      <c r="D600" s="166">
        <v>94.081084096418962</v>
      </c>
      <c r="E600" s="166">
        <f t="shared" si="45"/>
        <v>94.081084096418962</v>
      </c>
      <c r="F600" s="188" t="str">
        <f t="shared" si="42"/>
        <v/>
      </c>
      <c r="H600" t="str">
        <f t="shared" si="44"/>
        <v/>
      </c>
      <c r="I600" s="188" t="str">
        <f t="shared" si="43"/>
        <v/>
      </c>
    </row>
    <row r="601" spans="1:9">
      <c r="A601">
        <v>598</v>
      </c>
      <c r="B601" s="46">
        <v>45798</v>
      </c>
      <c r="C601" s="166">
        <v>138.75881396202365</v>
      </c>
      <c r="D601" s="166">
        <v>94.081084096418962</v>
      </c>
      <c r="E601" s="166">
        <f t="shared" si="45"/>
        <v>94.081084096418962</v>
      </c>
      <c r="F601" s="188" t="str">
        <f t="shared" si="42"/>
        <v/>
      </c>
      <c r="H601" t="str">
        <f t="shared" si="44"/>
        <v/>
      </c>
      <c r="I601" s="188" t="str">
        <f t="shared" si="43"/>
        <v/>
      </c>
    </row>
    <row r="602" spans="1:9">
      <c r="A602">
        <v>599</v>
      </c>
      <c r="B602" s="46">
        <v>45799</v>
      </c>
      <c r="C602" s="166">
        <v>125.05323810602178</v>
      </c>
      <c r="D602" s="166">
        <v>94.081084096418962</v>
      </c>
      <c r="E602" s="166">
        <f t="shared" si="45"/>
        <v>94.081084096418962</v>
      </c>
      <c r="F602" s="188" t="str">
        <f t="shared" si="42"/>
        <v/>
      </c>
      <c r="H602" t="str">
        <f t="shared" si="44"/>
        <v/>
      </c>
      <c r="I602" s="188" t="str">
        <f t="shared" si="43"/>
        <v/>
      </c>
    </row>
    <row r="603" spans="1:9">
      <c r="A603">
        <v>600</v>
      </c>
      <c r="B603" s="46">
        <v>45800</v>
      </c>
      <c r="C603" s="166">
        <v>115.11808362602363</v>
      </c>
      <c r="D603" s="166">
        <v>94.081084096418962</v>
      </c>
      <c r="E603" s="166">
        <f t="shared" si="45"/>
        <v>94.081084096418962</v>
      </c>
      <c r="F603" s="188" t="str">
        <f t="shared" si="42"/>
        <v/>
      </c>
      <c r="H603" t="str">
        <f t="shared" si="44"/>
        <v/>
      </c>
      <c r="I603" s="188" t="str">
        <f t="shared" si="43"/>
        <v/>
      </c>
    </row>
    <row r="604" spans="1:9">
      <c r="A604">
        <v>601</v>
      </c>
      <c r="B604" s="46">
        <v>45801</v>
      </c>
      <c r="C604" s="166">
        <v>102.25645997402549</v>
      </c>
      <c r="D604" s="166">
        <v>94.081084096418962</v>
      </c>
      <c r="E604" s="166">
        <f t="shared" si="45"/>
        <v>94.081084096418962</v>
      </c>
      <c r="F604" s="188" t="str">
        <f t="shared" si="42"/>
        <v/>
      </c>
      <c r="H604" t="str">
        <f t="shared" si="44"/>
        <v/>
      </c>
      <c r="I604" s="188" t="str">
        <f t="shared" si="43"/>
        <v/>
      </c>
    </row>
    <row r="605" spans="1:9">
      <c r="A605">
        <v>602</v>
      </c>
      <c r="B605" s="46">
        <v>45802</v>
      </c>
      <c r="C605" s="166">
        <v>89.735088242023636</v>
      </c>
      <c r="D605" s="166">
        <v>94.081084096418962</v>
      </c>
      <c r="E605" s="166">
        <f t="shared" si="45"/>
        <v>89.735088242023636</v>
      </c>
      <c r="F605" s="188" t="str">
        <f t="shared" si="42"/>
        <v/>
      </c>
      <c r="H605" t="str">
        <f t="shared" si="44"/>
        <v/>
      </c>
      <c r="I605" s="188" t="str">
        <f t="shared" si="43"/>
        <v/>
      </c>
    </row>
    <row r="606" spans="1:9">
      <c r="A606">
        <v>603</v>
      </c>
      <c r="B606" s="46">
        <v>45803</v>
      </c>
      <c r="C606" s="166">
        <v>113.46330176602363</v>
      </c>
      <c r="D606" s="166">
        <v>94.081084096418962</v>
      </c>
      <c r="E606" s="166">
        <f t="shared" si="45"/>
        <v>94.081084096418962</v>
      </c>
      <c r="F606" s="188" t="str">
        <f t="shared" si="42"/>
        <v/>
      </c>
      <c r="H606" t="str">
        <f t="shared" si="44"/>
        <v/>
      </c>
      <c r="I606" s="188" t="str">
        <f t="shared" si="43"/>
        <v/>
      </c>
    </row>
    <row r="607" spans="1:9">
      <c r="A607">
        <v>604</v>
      </c>
      <c r="B607" s="46">
        <v>45804</v>
      </c>
      <c r="C607" s="166">
        <v>108.28544203402365</v>
      </c>
      <c r="D607" s="166">
        <v>94.081084096418962</v>
      </c>
      <c r="E607" s="166">
        <f t="shared" si="45"/>
        <v>94.081084096418962</v>
      </c>
      <c r="F607" s="188" t="str">
        <f t="shared" si="42"/>
        <v/>
      </c>
      <c r="H607" t="str">
        <f t="shared" si="44"/>
        <v/>
      </c>
      <c r="I607" s="188" t="str">
        <f t="shared" si="43"/>
        <v/>
      </c>
    </row>
    <row r="608" spans="1:9">
      <c r="A608">
        <v>605</v>
      </c>
      <c r="B608" s="46">
        <v>45805</v>
      </c>
      <c r="C608" s="166">
        <v>85.334210380966525</v>
      </c>
      <c r="D608" s="166">
        <v>94.081084096418962</v>
      </c>
      <c r="E608" s="166">
        <f t="shared" si="45"/>
        <v>85.334210380966525</v>
      </c>
      <c r="F608" s="188" t="str">
        <f t="shared" si="42"/>
        <v/>
      </c>
      <c r="H608" t="str">
        <f t="shared" si="44"/>
        <v/>
      </c>
      <c r="I608" s="188" t="str">
        <f t="shared" si="43"/>
        <v/>
      </c>
    </row>
    <row r="609" spans="1:9">
      <c r="A609">
        <v>606</v>
      </c>
      <c r="B609" s="46">
        <v>45806</v>
      </c>
      <c r="C609" s="166">
        <v>82.878699856966534</v>
      </c>
      <c r="D609" s="166">
        <v>94.081084096418962</v>
      </c>
      <c r="E609" s="166">
        <f t="shared" si="45"/>
        <v>82.878699856966534</v>
      </c>
      <c r="F609" s="188" t="str">
        <f t="shared" si="42"/>
        <v/>
      </c>
      <c r="H609" t="str">
        <f t="shared" si="44"/>
        <v/>
      </c>
      <c r="I609" s="188" t="str">
        <f t="shared" si="43"/>
        <v/>
      </c>
    </row>
    <row r="610" spans="1:9">
      <c r="A610">
        <v>607</v>
      </c>
      <c r="B610" s="46">
        <v>45807</v>
      </c>
      <c r="C610" s="166">
        <v>81.314931692968401</v>
      </c>
      <c r="D610" s="166">
        <v>94.081084096418962</v>
      </c>
      <c r="E610" s="166">
        <f t="shared" si="45"/>
        <v>81.314931692968401</v>
      </c>
      <c r="F610" s="188" t="str">
        <f t="shared" si="42"/>
        <v/>
      </c>
      <c r="H610" t="str">
        <f t="shared" si="44"/>
        <v/>
      </c>
      <c r="I610" s="188" t="str">
        <f t="shared" si="43"/>
        <v/>
      </c>
    </row>
    <row r="611" spans="1:9">
      <c r="A611">
        <v>608</v>
      </c>
      <c r="B611" s="46">
        <v>45808</v>
      </c>
      <c r="C611" s="166">
        <v>67.374158356966518</v>
      </c>
      <c r="D611" s="166">
        <v>94.081084096418962</v>
      </c>
      <c r="E611" s="166">
        <f t="shared" si="45"/>
        <v>67.374158356966518</v>
      </c>
      <c r="F611" s="188" t="str">
        <f t="shared" si="42"/>
        <v/>
      </c>
      <c r="H611" t="str">
        <f t="shared" si="44"/>
        <v/>
      </c>
      <c r="I611" s="188" t="str">
        <f t="shared" si="43"/>
        <v/>
      </c>
    </row>
    <row r="612" spans="1:9">
      <c r="A612">
        <v>609</v>
      </c>
      <c r="B612" s="46">
        <v>45809</v>
      </c>
      <c r="C612" s="166">
        <v>58.598271992964669</v>
      </c>
      <c r="D612" s="166">
        <v>61.406867513274626</v>
      </c>
      <c r="E612" s="166">
        <f t="shared" si="45"/>
        <v>58.598271992964669</v>
      </c>
      <c r="F612" s="188" t="str">
        <f t="shared" si="42"/>
        <v/>
      </c>
      <c r="H612" t="str">
        <f t="shared" si="44"/>
        <v/>
      </c>
      <c r="I612" s="188" t="str">
        <f t="shared" si="43"/>
        <v/>
      </c>
    </row>
    <row r="613" spans="1:9">
      <c r="A613">
        <v>610</v>
      </c>
      <c r="B613" s="46">
        <v>45810</v>
      </c>
      <c r="C613" s="166">
        <v>68.619776628966534</v>
      </c>
      <c r="D613" s="166">
        <v>61.406867513274626</v>
      </c>
      <c r="E613" s="166">
        <f t="shared" si="45"/>
        <v>61.406867513274626</v>
      </c>
      <c r="F613" s="188" t="str">
        <f t="shared" si="42"/>
        <v/>
      </c>
      <c r="H613" t="str">
        <f t="shared" si="44"/>
        <v/>
      </c>
      <c r="I613" s="188" t="str">
        <f t="shared" si="43"/>
        <v/>
      </c>
    </row>
    <row r="614" spans="1:9">
      <c r="A614">
        <v>611</v>
      </c>
      <c r="B614" s="46">
        <v>45811</v>
      </c>
      <c r="C614" s="166">
        <v>77.949065616968397</v>
      </c>
      <c r="D614" s="166">
        <v>61.406867513274626</v>
      </c>
      <c r="E614" s="166">
        <f t="shared" si="45"/>
        <v>61.406867513274626</v>
      </c>
      <c r="F614" s="188" t="str">
        <f t="shared" si="42"/>
        <v/>
      </c>
      <c r="H614" t="str">
        <f t="shared" si="44"/>
        <v/>
      </c>
      <c r="I614" s="188" t="str">
        <f t="shared" si="43"/>
        <v/>
      </c>
    </row>
    <row r="615" spans="1:9">
      <c r="A615">
        <v>612</v>
      </c>
      <c r="B615" s="46">
        <v>45812</v>
      </c>
      <c r="C615" s="166">
        <v>81.672736388919745</v>
      </c>
      <c r="D615" s="166">
        <v>61.406867513274626</v>
      </c>
      <c r="E615" s="166">
        <f t="shared" si="45"/>
        <v>61.406867513274626</v>
      </c>
      <c r="F615" s="188" t="str">
        <f t="shared" si="42"/>
        <v/>
      </c>
      <c r="H615" t="str">
        <f t="shared" si="44"/>
        <v/>
      </c>
      <c r="I615" s="188" t="str">
        <f t="shared" si="43"/>
        <v/>
      </c>
    </row>
    <row r="616" spans="1:9">
      <c r="A616">
        <v>613</v>
      </c>
      <c r="B616" s="46">
        <v>45813</v>
      </c>
      <c r="C616" s="166">
        <v>71.523855384919756</v>
      </c>
      <c r="D616" s="166">
        <v>61.406867513274626</v>
      </c>
      <c r="E616" s="166">
        <f t="shared" si="45"/>
        <v>61.406867513274626</v>
      </c>
      <c r="F616" s="188" t="str">
        <f t="shared" si="42"/>
        <v/>
      </c>
      <c r="H616" t="str">
        <f t="shared" si="44"/>
        <v/>
      </c>
      <c r="I616" s="188" t="str">
        <f t="shared" si="43"/>
        <v/>
      </c>
    </row>
    <row r="617" spans="1:9">
      <c r="A617">
        <v>614</v>
      </c>
      <c r="B617" s="46">
        <v>45814</v>
      </c>
      <c r="C617" s="166">
        <v>77.406571172919755</v>
      </c>
      <c r="D617" s="166">
        <v>61.406867513274626</v>
      </c>
      <c r="E617" s="166">
        <f t="shared" si="45"/>
        <v>61.406867513274626</v>
      </c>
      <c r="F617" s="188" t="str">
        <f t="shared" si="42"/>
        <v/>
      </c>
      <c r="H617" t="str">
        <f t="shared" si="44"/>
        <v/>
      </c>
      <c r="I617" s="188" t="str">
        <f t="shared" si="43"/>
        <v/>
      </c>
    </row>
    <row r="618" spans="1:9">
      <c r="A618">
        <v>615</v>
      </c>
      <c r="B618" s="46">
        <v>45815</v>
      </c>
      <c r="C618" s="166">
        <v>59.633907156917878</v>
      </c>
      <c r="D618" s="166">
        <v>61.406867513274626</v>
      </c>
      <c r="E618" s="166">
        <f t="shared" si="45"/>
        <v>59.633907156917878</v>
      </c>
      <c r="F618" s="188" t="str">
        <f t="shared" si="42"/>
        <v/>
      </c>
      <c r="H618" t="str">
        <f t="shared" si="44"/>
        <v/>
      </c>
      <c r="I618" s="188" t="str">
        <f t="shared" si="43"/>
        <v/>
      </c>
    </row>
    <row r="619" spans="1:9">
      <c r="A619">
        <v>616</v>
      </c>
      <c r="B619" s="46">
        <v>45816</v>
      </c>
      <c r="C619" s="166">
        <v>45.355526304921611</v>
      </c>
      <c r="D619" s="166">
        <v>61.406867513274626</v>
      </c>
      <c r="E619" s="166">
        <f t="shared" si="45"/>
        <v>45.355526304921611</v>
      </c>
      <c r="F619" s="188" t="str">
        <f t="shared" si="42"/>
        <v/>
      </c>
      <c r="H619" t="str">
        <f t="shared" si="44"/>
        <v/>
      </c>
      <c r="I619" s="188" t="str">
        <f t="shared" si="43"/>
        <v/>
      </c>
    </row>
    <row r="620" spans="1:9">
      <c r="A620">
        <v>617</v>
      </c>
      <c r="B620" s="46">
        <v>45817</v>
      </c>
      <c r="C620" s="166">
        <v>71.81890005291973</v>
      </c>
      <c r="D620" s="166">
        <v>61.406867513274626</v>
      </c>
      <c r="E620" s="166">
        <f t="shared" si="45"/>
        <v>61.406867513274626</v>
      </c>
      <c r="F620" s="188" t="str">
        <f t="shared" si="42"/>
        <v/>
      </c>
      <c r="H620" t="str">
        <f t="shared" si="44"/>
        <v/>
      </c>
      <c r="I620" s="188" t="str">
        <f t="shared" si="43"/>
        <v/>
      </c>
    </row>
    <row r="621" spans="1:9">
      <c r="A621">
        <v>618</v>
      </c>
      <c r="B621" s="46">
        <v>45818</v>
      </c>
      <c r="C621" s="166">
        <v>94.682567192919748</v>
      </c>
      <c r="D621" s="166">
        <v>61.406867513274626</v>
      </c>
      <c r="E621" s="166">
        <f t="shared" si="45"/>
        <v>61.406867513274626</v>
      </c>
      <c r="F621" s="188" t="str">
        <f t="shared" si="42"/>
        <v/>
      </c>
      <c r="H621" t="str">
        <f t="shared" si="44"/>
        <v/>
      </c>
      <c r="I621" s="188" t="str">
        <f t="shared" si="43"/>
        <v/>
      </c>
    </row>
    <row r="622" spans="1:9">
      <c r="A622">
        <v>619</v>
      </c>
      <c r="B622" s="46">
        <v>45819</v>
      </c>
      <c r="C622" s="166">
        <v>57.259591085395691</v>
      </c>
      <c r="D622" s="166">
        <v>61.406867513274626</v>
      </c>
      <c r="E622" s="166">
        <f t="shared" si="45"/>
        <v>57.259591085395691</v>
      </c>
      <c r="F622" s="188" t="str">
        <f t="shared" si="42"/>
        <v/>
      </c>
      <c r="H622" t="str">
        <f t="shared" si="44"/>
        <v/>
      </c>
      <c r="I622" s="188" t="str">
        <f t="shared" si="43"/>
        <v/>
      </c>
    </row>
    <row r="623" spans="1:9">
      <c r="A623">
        <v>620</v>
      </c>
      <c r="B623" s="46">
        <v>45820</v>
      </c>
      <c r="C623" s="166">
        <v>55.325938405397551</v>
      </c>
      <c r="D623" s="166">
        <v>61.406867513274626</v>
      </c>
      <c r="E623" s="166">
        <f t="shared" si="45"/>
        <v>55.325938405397551</v>
      </c>
      <c r="F623" s="188" t="str">
        <f t="shared" si="42"/>
        <v/>
      </c>
      <c r="H623" t="str">
        <f t="shared" si="44"/>
        <v/>
      </c>
      <c r="I623" s="188" t="str">
        <f t="shared" si="43"/>
        <v/>
      </c>
    </row>
    <row r="624" spans="1:9">
      <c r="A624">
        <v>621</v>
      </c>
      <c r="B624" s="46">
        <v>45821</v>
      </c>
      <c r="C624" s="166">
        <v>57.616556809397558</v>
      </c>
      <c r="D624" s="166">
        <v>61.406867513274626</v>
      </c>
      <c r="E624" s="166">
        <f t="shared" si="45"/>
        <v>57.616556809397558</v>
      </c>
      <c r="F624" s="188" t="str">
        <f t="shared" si="42"/>
        <v/>
      </c>
      <c r="H624" t="str">
        <f t="shared" si="44"/>
        <v/>
      </c>
      <c r="I624" s="188" t="str">
        <f t="shared" si="43"/>
        <v/>
      </c>
    </row>
    <row r="625" spans="1:9">
      <c r="A625">
        <v>622</v>
      </c>
      <c r="B625" s="46">
        <v>45822</v>
      </c>
      <c r="C625" s="166">
        <v>35.94605839339755</v>
      </c>
      <c r="D625" s="166">
        <v>61.406867513274626</v>
      </c>
      <c r="E625" s="166">
        <f t="shared" si="45"/>
        <v>35.94605839339755</v>
      </c>
      <c r="F625" s="188" t="str">
        <f t="shared" si="42"/>
        <v/>
      </c>
      <c r="H625" t="str">
        <f t="shared" si="44"/>
        <v/>
      </c>
      <c r="I625" s="188" t="str">
        <f t="shared" si="43"/>
        <v/>
      </c>
    </row>
    <row r="626" spans="1:9">
      <c r="A626">
        <v>623</v>
      </c>
      <c r="B626" s="46">
        <v>45823</v>
      </c>
      <c r="C626" s="166">
        <v>27.055958057395692</v>
      </c>
      <c r="D626" s="166">
        <v>61.406867513274626</v>
      </c>
      <c r="E626" s="166">
        <f t="shared" si="45"/>
        <v>27.055958057395692</v>
      </c>
      <c r="F626" s="188" t="str">
        <f t="shared" si="42"/>
        <v>J</v>
      </c>
      <c r="G626" s="189">
        <f>IF(DAY(B626)=15,D626,"")</f>
        <v>61.406867513274626</v>
      </c>
      <c r="H626" t="str">
        <f t="shared" si="44"/>
        <v/>
      </c>
      <c r="I626" s="188" t="str">
        <f t="shared" si="43"/>
        <v>J</v>
      </c>
    </row>
    <row r="627" spans="1:9">
      <c r="A627">
        <v>624</v>
      </c>
      <c r="B627" s="46">
        <v>45824</v>
      </c>
      <c r="C627" s="166">
        <v>41.623953953399415</v>
      </c>
      <c r="D627" s="166">
        <v>61.406867513274626</v>
      </c>
      <c r="E627" s="166">
        <f t="shared" si="45"/>
        <v>41.623953953399415</v>
      </c>
      <c r="F627" s="188" t="str">
        <f t="shared" si="42"/>
        <v/>
      </c>
      <c r="H627" t="str">
        <f t="shared" si="44"/>
        <v/>
      </c>
      <c r="I627" s="188" t="str">
        <f t="shared" si="43"/>
        <v/>
      </c>
    </row>
    <row r="628" spans="1:9">
      <c r="A628">
        <v>625</v>
      </c>
      <c r="B628" s="46">
        <v>45825</v>
      </c>
      <c r="C628" s="166">
        <v>66.71431773339755</v>
      </c>
      <c r="D628" s="166">
        <v>61.406867513274626</v>
      </c>
      <c r="E628" s="166">
        <f t="shared" si="45"/>
        <v>61.406867513274626</v>
      </c>
      <c r="F628" s="188" t="str">
        <f t="shared" si="42"/>
        <v/>
      </c>
      <c r="H628" t="str">
        <f t="shared" si="44"/>
        <v/>
      </c>
      <c r="I628" s="188" t="str">
        <f t="shared" si="43"/>
        <v/>
      </c>
    </row>
    <row r="629" spans="1:9">
      <c r="A629">
        <v>626</v>
      </c>
      <c r="B629" s="46">
        <v>45826</v>
      </c>
      <c r="C629" s="166">
        <v>54.761214226402402</v>
      </c>
      <c r="D629" s="166">
        <v>61.406867513274626</v>
      </c>
      <c r="E629" s="166">
        <f t="shared" si="45"/>
        <v>54.761214226402402</v>
      </c>
      <c r="F629" s="188" t="str">
        <f t="shared" si="42"/>
        <v/>
      </c>
      <c r="H629" t="str">
        <f t="shared" si="44"/>
        <v/>
      </c>
      <c r="I629" s="188" t="str">
        <f t="shared" si="43"/>
        <v/>
      </c>
    </row>
    <row r="630" spans="1:9">
      <c r="A630">
        <v>627</v>
      </c>
      <c r="B630" s="46">
        <v>45827</v>
      </c>
      <c r="C630" s="166">
        <v>56.422797154402403</v>
      </c>
      <c r="D630" s="166">
        <v>61.406867513274626</v>
      </c>
      <c r="E630" s="166">
        <f t="shared" si="45"/>
        <v>56.422797154402403</v>
      </c>
      <c r="F630" s="188" t="str">
        <f t="shared" si="42"/>
        <v/>
      </c>
      <c r="H630" t="str">
        <f t="shared" si="44"/>
        <v/>
      </c>
      <c r="I630" s="188" t="str">
        <f t="shared" si="43"/>
        <v/>
      </c>
    </row>
    <row r="631" spans="1:9">
      <c r="A631">
        <v>628</v>
      </c>
      <c r="B631" s="46">
        <v>45828</v>
      </c>
      <c r="C631" s="166">
        <v>50.235002274402405</v>
      </c>
      <c r="D631" s="166">
        <v>61.406867513274626</v>
      </c>
      <c r="E631" s="166">
        <f t="shared" si="45"/>
        <v>50.235002274402405</v>
      </c>
      <c r="F631" s="188" t="str">
        <f t="shared" si="42"/>
        <v/>
      </c>
      <c r="H631" t="str">
        <f t="shared" si="44"/>
        <v/>
      </c>
      <c r="I631" s="188" t="str">
        <f t="shared" si="43"/>
        <v/>
      </c>
    </row>
    <row r="632" spans="1:9">
      <c r="A632">
        <v>629</v>
      </c>
      <c r="B632" s="46">
        <v>45829</v>
      </c>
      <c r="C632" s="166">
        <v>26.709860526407983</v>
      </c>
      <c r="D632" s="166">
        <v>61.406867513274626</v>
      </c>
      <c r="E632" s="166">
        <f t="shared" si="45"/>
        <v>26.709860526407983</v>
      </c>
      <c r="F632" s="188" t="str">
        <f t="shared" si="42"/>
        <v/>
      </c>
      <c r="H632" t="str">
        <f t="shared" si="44"/>
        <v/>
      </c>
      <c r="I632" s="188" t="str">
        <f t="shared" si="43"/>
        <v/>
      </c>
    </row>
    <row r="633" spans="1:9">
      <c r="A633">
        <v>630</v>
      </c>
      <c r="B633" s="46">
        <v>45830</v>
      </c>
      <c r="C633" s="166">
        <v>14.960270526402397</v>
      </c>
      <c r="D633" s="166">
        <v>61.406867513274626</v>
      </c>
      <c r="E633" s="166">
        <f t="shared" si="45"/>
        <v>14.960270526402397</v>
      </c>
      <c r="F633" s="188" t="str">
        <f t="shared" si="42"/>
        <v/>
      </c>
      <c r="H633" t="str">
        <f t="shared" si="44"/>
        <v/>
      </c>
      <c r="I633" s="188" t="str">
        <f t="shared" si="43"/>
        <v/>
      </c>
    </row>
    <row r="634" spans="1:9">
      <c r="A634">
        <v>631</v>
      </c>
      <c r="B634" s="46">
        <v>45831</v>
      </c>
      <c r="C634" s="166">
        <v>32.597704998404254</v>
      </c>
      <c r="D634" s="166">
        <v>61.406867513274626</v>
      </c>
      <c r="E634" s="166">
        <f t="shared" si="45"/>
        <v>32.597704998404254</v>
      </c>
      <c r="F634" s="188" t="str">
        <f t="shared" si="42"/>
        <v/>
      </c>
      <c r="H634" t="str">
        <f t="shared" si="44"/>
        <v/>
      </c>
      <c r="I634" s="188" t="str">
        <f t="shared" si="43"/>
        <v/>
      </c>
    </row>
    <row r="635" spans="1:9">
      <c r="A635">
        <v>632</v>
      </c>
      <c r="B635" s="46">
        <v>45832</v>
      </c>
      <c r="C635" s="166">
        <v>31.534556734404266</v>
      </c>
      <c r="D635" s="166">
        <v>61.406867513274626</v>
      </c>
      <c r="E635" s="166">
        <f t="shared" si="45"/>
        <v>31.534556734404266</v>
      </c>
      <c r="F635" s="188" t="str">
        <f t="shared" si="42"/>
        <v/>
      </c>
      <c r="H635" t="str">
        <f t="shared" si="44"/>
        <v/>
      </c>
      <c r="I635" s="188" t="str">
        <f t="shared" si="43"/>
        <v/>
      </c>
    </row>
    <row r="636" spans="1:9">
      <c r="A636">
        <v>633</v>
      </c>
      <c r="B636" s="46">
        <v>45833</v>
      </c>
      <c r="C636" s="166">
        <v>35.72570145258446</v>
      </c>
      <c r="D636" s="166">
        <v>61.406867513274626</v>
      </c>
      <c r="E636" s="166">
        <f t="shared" si="45"/>
        <v>35.72570145258446</v>
      </c>
      <c r="F636" s="188" t="str">
        <f t="shared" si="42"/>
        <v/>
      </c>
      <c r="H636" t="str">
        <f t="shared" si="44"/>
        <v/>
      </c>
      <c r="I636" s="188" t="str">
        <f t="shared" si="43"/>
        <v/>
      </c>
    </row>
    <row r="637" spans="1:9">
      <c r="A637">
        <v>634</v>
      </c>
      <c r="B637" s="46">
        <v>45834</v>
      </c>
      <c r="C637" s="166">
        <v>33.965078324582585</v>
      </c>
      <c r="D637" s="166">
        <v>61.406867513274626</v>
      </c>
      <c r="E637" s="166">
        <f t="shared" si="45"/>
        <v>33.965078324582585</v>
      </c>
      <c r="F637" s="188" t="str">
        <f t="shared" si="42"/>
        <v/>
      </c>
      <c r="H637" t="str">
        <f t="shared" si="44"/>
        <v/>
      </c>
      <c r="I637" s="188" t="str">
        <f t="shared" si="43"/>
        <v/>
      </c>
    </row>
    <row r="638" spans="1:9">
      <c r="A638">
        <v>635</v>
      </c>
      <c r="B638" s="46">
        <v>45835</v>
      </c>
      <c r="C638" s="166">
        <v>46.323746096584451</v>
      </c>
      <c r="D638" s="166">
        <v>61.406867513274626</v>
      </c>
      <c r="E638" s="166">
        <f t="shared" si="45"/>
        <v>46.323746096584451</v>
      </c>
      <c r="F638" s="188" t="str">
        <f t="shared" si="42"/>
        <v/>
      </c>
      <c r="H638" t="str">
        <f t="shared" si="44"/>
        <v/>
      </c>
      <c r="I638" s="188" t="str">
        <f t="shared" si="43"/>
        <v/>
      </c>
    </row>
    <row r="639" spans="1:9">
      <c r="A639">
        <v>636</v>
      </c>
      <c r="B639" s="46">
        <v>45836</v>
      </c>
      <c r="C639" s="166">
        <v>25.447826728584463</v>
      </c>
      <c r="D639" s="166">
        <v>61.406867513274626</v>
      </c>
      <c r="E639" s="166">
        <f t="shared" si="45"/>
        <v>25.447826728584463</v>
      </c>
      <c r="F639" s="188" t="str">
        <f t="shared" si="42"/>
        <v/>
      </c>
      <c r="H639" t="str">
        <f t="shared" si="44"/>
        <v/>
      </c>
      <c r="I639" s="188" t="str">
        <f t="shared" si="43"/>
        <v/>
      </c>
    </row>
    <row r="640" spans="1:9">
      <c r="A640">
        <v>637</v>
      </c>
      <c r="B640" s="46">
        <v>45837</v>
      </c>
      <c r="C640" s="166">
        <v>20.981961452582588</v>
      </c>
      <c r="D640" s="166">
        <v>61.406867513274626</v>
      </c>
      <c r="E640" s="166">
        <f t="shared" si="45"/>
        <v>20.981961452582588</v>
      </c>
      <c r="F640" s="188" t="str">
        <f t="shared" si="42"/>
        <v/>
      </c>
      <c r="H640" t="str">
        <f t="shared" si="44"/>
        <v/>
      </c>
      <c r="I640" s="188" t="str">
        <f t="shared" si="43"/>
        <v/>
      </c>
    </row>
    <row r="641" spans="1:9">
      <c r="A641">
        <v>638</v>
      </c>
      <c r="B641" s="46">
        <v>45838</v>
      </c>
      <c r="C641" s="166">
        <v>52.456011008584447</v>
      </c>
      <c r="D641" s="166">
        <v>61.406867513274626</v>
      </c>
      <c r="E641" s="166">
        <f t="shared" si="45"/>
        <v>52.456011008584447</v>
      </c>
      <c r="F641" s="188" t="str">
        <f t="shared" si="42"/>
        <v/>
      </c>
      <c r="H641" t="str">
        <f t="shared" si="44"/>
        <v/>
      </c>
      <c r="I641" s="188" t="str">
        <f t="shared" si="43"/>
        <v/>
      </c>
    </row>
    <row r="642" spans="1:9">
      <c r="A642">
        <v>639</v>
      </c>
      <c r="B642" s="46">
        <v>45839</v>
      </c>
      <c r="C642" s="166">
        <v>32.060659492584456</v>
      </c>
      <c r="D642" s="166">
        <v>25.377234765527756</v>
      </c>
      <c r="E642" s="166">
        <f t="shared" si="45"/>
        <v>25.377234765527756</v>
      </c>
      <c r="F642" s="188" t="str">
        <f t="shared" si="42"/>
        <v/>
      </c>
      <c r="H642" t="str">
        <f t="shared" si="44"/>
        <v/>
      </c>
      <c r="I642" s="188" t="str">
        <f t="shared" si="43"/>
        <v/>
      </c>
    </row>
    <row r="643" spans="1:9">
      <c r="A643">
        <v>640</v>
      </c>
      <c r="B643" s="46">
        <v>45840</v>
      </c>
      <c r="C643" s="166">
        <v>33.614730920549135</v>
      </c>
      <c r="D643" s="166">
        <v>25.377234765527756</v>
      </c>
      <c r="E643" s="166">
        <f t="shared" si="45"/>
        <v>25.377234765527756</v>
      </c>
      <c r="F643" s="188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8" t="str">
        <f t="shared" si="43"/>
        <v/>
      </c>
    </row>
    <row r="644" spans="1:9">
      <c r="A644">
        <v>641</v>
      </c>
      <c r="B644" s="46">
        <v>45841</v>
      </c>
      <c r="C644" s="166">
        <v>30.485046448547276</v>
      </c>
      <c r="D644" s="166">
        <v>25.377234765527756</v>
      </c>
      <c r="E644" s="166">
        <f t="shared" si="45"/>
        <v>25.377234765527756</v>
      </c>
      <c r="F644" s="188" t="str">
        <f t="shared" si="46"/>
        <v/>
      </c>
      <c r="H644" t="str">
        <f t="shared" si="44"/>
        <v/>
      </c>
      <c r="I644" s="188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45842</v>
      </c>
      <c r="C645" s="166">
        <v>27.580826840551001</v>
      </c>
      <c r="D645" s="166">
        <v>25.377234765527756</v>
      </c>
      <c r="E645" s="166">
        <f t="shared" si="45"/>
        <v>25.377234765527756</v>
      </c>
      <c r="F645" s="188" t="str">
        <f t="shared" si="46"/>
        <v/>
      </c>
      <c r="H645" t="str">
        <f t="shared" ref="H645:H708" si="48">IF(MONTH(B645)=1,IF(DAY(B645)=1,YEAR(B645),""),"")</f>
        <v/>
      </c>
      <c r="I645" s="188" t="str">
        <f t="shared" si="47"/>
        <v/>
      </c>
    </row>
    <row r="646" spans="1:9">
      <c r="A646">
        <v>643</v>
      </c>
      <c r="B646" s="46">
        <v>45843</v>
      </c>
      <c r="C646" s="166">
        <v>11.098656220543555</v>
      </c>
      <c r="D646" s="166">
        <v>25.377234765527756</v>
      </c>
      <c r="E646" s="166">
        <f t="shared" si="45"/>
        <v>11.098656220543555</v>
      </c>
      <c r="F646" s="188" t="str">
        <f t="shared" si="46"/>
        <v/>
      </c>
      <c r="H646" t="str">
        <f t="shared" si="48"/>
        <v/>
      </c>
      <c r="I646" s="188" t="str">
        <f t="shared" si="47"/>
        <v/>
      </c>
    </row>
    <row r="647" spans="1:9">
      <c r="A647">
        <v>644</v>
      </c>
      <c r="B647" s="46">
        <v>45844</v>
      </c>
      <c r="C647" s="166">
        <v>1.3804881365510009</v>
      </c>
      <c r="D647" s="166">
        <v>25.377234765527756</v>
      </c>
      <c r="E647" s="166">
        <f t="shared" si="45"/>
        <v>1.3804881365510009</v>
      </c>
      <c r="F647" s="188" t="str">
        <f t="shared" si="46"/>
        <v/>
      </c>
      <c r="H647" t="str">
        <f t="shared" si="48"/>
        <v/>
      </c>
      <c r="I647" s="188" t="str">
        <f t="shared" si="47"/>
        <v/>
      </c>
    </row>
    <row r="648" spans="1:9">
      <c r="A648">
        <v>645</v>
      </c>
      <c r="B648" s="46">
        <v>45845</v>
      </c>
      <c r="C648" s="166">
        <v>1.5454278285491383</v>
      </c>
      <c r="D648" s="166">
        <v>25.377234765527756</v>
      </c>
      <c r="E648" s="166">
        <f t="shared" si="45"/>
        <v>1.5454278285491383</v>
      </c>
      <c r="F648" s="188" t="str">
        <f t="shared" si="46"/>
        <v/>
      </c>
      <c r="H648" t="str">
        <f t="shared" si="48"/>
        <v/>
      </c>
      <c r="I648" s="188" t="str">
        <f t="shared" si="47"/>
        <v/>
      </c>
    </row>
    <row r="649" spans="1:9">
      <c r="A649">
        <v>646</v>
      </c>
      <c r="B649" s="46">
        <v>45846</v>
      </c>
      <c r="C649" s="166">
        <v>1.0118280485472788</v>
      </c>
      <c r="D649" s="166">
        <v>25.377234765527756</v>
      </c>
      <c r="E649" s="166">
        <f t="shared" si="45"/>
        <v>1.0118280485472788</v>
      </c>
      <c r="F649" s="188" t="str">
        <f t="shared" si="46"/>
        <v/>
      </c>
      <c r="H649" t="str">
        <f t="shared" si="48"/>
        <v/>
      </c>
      <c r="I649" s="188" t="str">
        <f t="shared" si="47"/>
        <v/>
      </c>
    </row>
    <row r="650" spans="1:9">
      <c r="A650">
        <v>647</v>
      </c>
      <c r="B650" s="46">
        <v>45847</v>
      </c>
      <c r="C650" s="166">
        <v>14.250646552055375</v>
      </c>
      <c r="D650" s="166">
        <v>25.377234765527756</v>
      </c>
      <c r="E650" s="166">
        <f t="shared" si="45"/>
        <v>14.250646552055375</v>
      </c>
      <c r="F650" s="188" t="str">
        <f t="shared" si="46"/>
        <v/>
      </c>
      <c r="H650" t="str">
        <f t="shared" si="48"/>
        <v/>
      </c>
      <c r="I650" s="188" t="str">
        <f t="shared" si="47"/>
        <v/>
      </c>
    </row>
    <row r="651" spans="1:9">
      <c r="A651">
        <v>648</v>
      </c>
      <c r="B651" s="46">
        <v>45848</v>
      </c>
      <c r="C651" s="166">
        <v>32.821704648055366</v>
      </c>
      <c r="D651" s="166">
        <v>25.377234765527756</v>
      </c>
      <c r="E651" s="166">
        <f t="shared" si="45"/>
        <v>25.377234765527756</v>
      </c>
      <c r="F651" s="188" t="str">
        <f t="shared" si="46"/>
        <v/>
      </c>
      <c r="H651" t="str">
        <f t="shared" si="48"/>
        <v/>
      </c>
      <c r="I651" s="188" t="str">
        <f t="shared" si="47"/>
        <v/>
      </c>
    </row>
    <row r="652" spans="1:9">
      <c r="A652">
        <v>649</v>
      </c>
      <c r="B652" s="46">
        <v>45849</v>
      </c>
      <c r="C652" s="166">
        <v>27.025926548053512</v>
      </c>
      <c r="D652" s="166">
        <v>25.377234765527756</v>
      </c>
      <c r="E652" s="166">
        <f t="shared" si="45"/>
        <v>25.377234765527756</v>
      </c>
      <c r="F652" s="188" t="str">
        <f t="shared" si="46"/>
        <v/>
      </c>
      <c r="H652" t="str">
        <f t="shared" si="48"/>
        <v/>
      </c>
      <c r="I652" s="188" t="str">
        <f t="shared" si="47"/>
        <v/>
      </c>
    </row>
    <row r="653" spans="1:9">
      <c r="A653">
        <v>650</v>
      </c>
      <c r="B653" s="46">
        <v>45850</v>
      </c>
      <c r="C653" s="166">
        <v>18.573618852053507</v>
      </c>
      <c r="D653" s="166">
        <v>25.377234765527756</v>
      </c>
      <c r="E653" s="166">
        <f t="shared" si="45"/>
        <v>18.573618852053507</v>
      </c>
      <c r="F653" s="188" t="str">
        <f t="shared" si="46"/>
        <v/>
      </c>
      <c r="H653" t="str">
        <f t="shared" si="48"/>
        <v/>
      </c>
      <c r="I653" s="188" t="str">
        <f t="shared" si="47"/>
        <v/>
      </c>
    </row>
    <row r="654" spans="1:9">
      <c r="A654">
        <v>651</v>
      </c>
      <c r="B654" s="46">
        <v>45851</v>
      </c>
      <c r="C654" s="166">
        <v>4.7647492440572314</v>
      </c>
      <c r="D654" s="166">
        <v>25.377234765527756</v>
      </c>
      <c r="E654" s="166">
        <f t="shared" si="45"/>
        <v>4.7647492440572314</v>
      </c>
      <c r="F654" s="188" t="str">
        <f t="shared" si="46"/>
        <v/>
      </c>
      <c r="H654" t="str">
        <f t="shared" si="48"/>
        <v/>
      </c>
      <c r="I654" s="188" t="str">
        <f t="shared" si="47"/>
        <v/>
      </c>
    </row>
    <row r="655" spans="1:9">
      <c r="A655">
        <v>652</v>
      </c>
      <c r="B655" s="46">
        <v>45852</v>
      </c>
      <c r="C655" s="166">
        <v>14.383819348053505</v>
      </c>
      <c r="D655" s="166">
        <v>25.377234765527756</v>
      </c>
      <c r="E655" s="166">
        <f t="shared" ref="E655:E718" si="49">IF(C655&lt;D655,C655,D655)</f>
        <v>14.383819348053505</v>
      </c>
      <c r="F655" s="188" t="str">
        <f t="shared" si="46"/>
        <v/>
      </c>
      <c r="H655" t="str">
        <f t="shared" si="48"/>
        <v/>
      </c>
      <c r="I655" s="188" t="str">
        <f t="shared" si="47"/>
        <v/>
      </c>
    </row>
    <row r="656" spans="1:9">
      <c r="A656">
        <v>653</v>
      </c>
      <c r="B656" s="46">
        <v>45853</v>
      </c>
      <c r="C656" s="166">
        <v>14.840918868053508</v>
      </c>
      <c r="D656" s="166">
        <v>25.377234765527756</v>
      </c>
      <c r="E656" s="166">
        <f t="shared" si="49"/>
        <v>14.840918868053508</v>
      </c>
      <c r="F656" s="188" t="str">
        <f t="shared" si="46"/>
        <v>J</v>
      </c>
      <c r="G656" s="189">
        <f>IF(DAY(B656)=15,D656,"")</f>
        <v>25.377234765527756</v>
      </c>
      <c r="H656" t="str">
        <f t="shared" si="48"/>
        <v/>
      </c>
      <c r="I656" s="188" t="str">
        <f t="shared" si="47"/>
        <v>J</v>
      </c>
    </row>
    <row r="657" spans="1:9">
      <c r="A657">
        <v>654</v>
      </c>
      <c r="B657" s="46">
        <v>45854</v>
      </c>
      <c r="C657" s="166">
        <v>20.66964009515906</v>
      </c>
      <c r="D657" s="166">
        <v>25.377234765527756</v>
      </c>
      <c r="E657" s="166">
        <f t="shared" si="49"/>
        <v>20.66964009515906</v>
      </c>
      <c r="F657" s="188" t="str">
        <f t="shared" si="46"/>
        <v/>
      </c>
      <c r="H657" t="str">
        <f t="shared" si="48"/>
        <v/>
      </c>
      <c r="I657" s="188" t="str">
        <f t="shared" si="47"/>
        <v/>
      </c>
    </row>
    <row r="658" spans="1:9">
      <c r="A658">
        <v>655</v>
      </c>
      <c r="B658" s="46">
        <v>45855</v>
      </c>
      <c r="C658" s="166">
        <v>17.906403759159062</v>
      </c>
      <c r="D658" s="166">
        <v>25.377234765527756</v>
      </c>
      <c r="E658" s="166">
        <f t="shared" si="49"/>
        <v>17.906403759159062</v>
      </c>
      <c r="F658" s="188" t="str">
        <f t="shared" si="46"/>
        <v/>
      </c>
      <c r="H658" t="str">
        <f t="shared" si="48"/>
        <v/>
      </c>
      <c r="I658" s="188" t="str">
        <f t="shared" si="47"/>
        <v/>
      </c>
    </row>
    <row r="659" spans="1:9">
      <c r="A659">
        <v>656</v>
      </c>
      <c r="B659" s="46">
        <v>45856</v>
      </c>
      <c r="C659" s="166">
        <v>17.513657111160924</v>
      </c>
      <c r="D659" s="166">
        <v>25.377234765527756</v>
      </c>
      <c r="E659" s="166">
        <f t="shared" si="49"/>
        <v>17.513657111160924</v>
      </c>
      <c r="F659" s="188" t="str">
        <f t="shared" si="46"/>
        <v/>
      </c>
      <c r="H659" t="str">
        <f t="shared" si="48"/>
        <v/>
      </c>
      <c r="I659" s="188" t="str">
        <f t="shared" si="47"/>
        <v/>
      </c>
    </row>
    <row r="660" spans="1:9">
      <c r="A660">
        <v>657</v>
      </c>
      <c r="B660" s="46">
        <v>45857</v>
      </c>
      <c r="C660" s="166">
        <v>8.71834746716093</v>
      </c>
      <c r="D660" s="166">
        <v>25.377234765527756</v>
      </c>
      <c r="E660" s="166">
        <f t="shared" si="49"/>
        <v>8.71834746716093</v>
      </c>
      <c r="F660" s="188" t="str">
        <f t="shared" si="46"/>
        <v/>
      </c>
      <c r="H660" t="str">
        <f t="shared" si="48"/>
        <v/>
      </c>
      <c r="I660" s="188" t="str">
        <f t="shared" si="47"/>
        <v/>
      </c>
    </row>
    <row r="661" spans="1:9">
      <c r="A661">
        <v>658</v>
      </c>
      <c r="B661" s="46">
        <v>45858</v>
      </c>
      <c r="C661" s="166">
        <v>1.1173188071572004</v>
      </c>
      <c r="D661" s="166">
        <v>25.377234765527756</v>
      </c>
      <c r="E661" s="166">
        <f t="shared" si="49"/>
        <v>1.1173188071572004</v>
      </c>
      <c r="F661" s="188" t="str">
        <f t="shared" si="46"/>
        <v/>
      </c>
      <c r="H661" t="str">
        <f t="shared" si="48"/>
        <v/>
      </c>
      <c r="I661" s="188" t="str">
        <f t="shared" si="47"/>
        <v/>
      </c>
    </row>
    <row r="662" spans="1:9">
      <c r="A662">
        <v>659</v>
      </c>
      <c r="B662" s="46">
        <v>45859</v>
      </c>
      <c r="C662" s="166">
        <v>8.8596250631609283</v>
      </c>
      <c r="D662" s="166">
        <v>25.377234765527756</v>
      </c>
      <c r="E662" s="166">
        <f t="shared" si="49"/>
        <v>8.8596250631609283</v>
      </c>
      <c r="F662" s="188" t="str">
        <f t="shared" si="46"/>
        <v/>
      </c>
      <c r="H662" t="str">
        <f t="shared" si="48"/>
        <v/>
      </c>
      <c r="I662" s="188" t="str">
        <f t="shared" si="47"/>
        <v/>
      </c>
    </row>
    <row r="663" spans="1:9">
      <c r="A663">
        <v>660</v>
      </c>
      <c r="B663" s="46">
        <v>45860</v>
      </c>
      <c r="C663" s="166">
        <v>20.741516907159063</v>
      </c>
      <c r="D663" s="166">
        <v>25.377234765527756</v>
      </c>
      <c r="E663" s="166">
        <f t="shared" si="49"/>
        <v>20.741516907159063</v>
      </c>
      <c r="F663" s="188" t="str">
        <f t="shared" si="46"/>
        <v/>
      </c>
      <c r="H663" t="str">
        <f t="shared" si="48"/>
        <v/>
      </c>
      <c r="I663" s="188" t="str">
        <f t="shared" si="47"/>
        <v/>
      </c>
    </row>
    <row r="664" spans="1:9">
      <c r="A664">
        <v>661</v>
      </c>
      <c r="B664" s="46">
        <v>45861</v>
      </c>
      <c r="C664" s="166">
        <v>19.196713277743299</v>
      </c>
      <c r="D664" s="166">
        <v>25.377234765527756</v>
      </c>
      <c r="E664" s="166">
        <f t="shared" si="49"/>
        <v>19.196713277743299</v>
      </c>
      <c r="F664" s="188" t="str">
        <f t="shared" si="46"/>
        <v/>
      </c>
      <c r="H664" t="str">
        <f t="shared" si="48"/>
        <v/>
      </c>
      <c r="I664" s="188" t="str">
        <f t="shared" si="47"/>
        <v/>
      </c>
    </row>
    <row r="665" spans="1:9">
      <c r="A665">
        <v>662</v>
      </c>
      <c r="B665" s="46">
        <v>45862</v>
      </c>
      <c r="C665" s="166">
        <v>13.86639805774144</v>
      </c>
      <c r="D665" s="166">
        <v>25.377234765527756</v>
      </c>
      <c r="E665" s="166">
        <f t="shared" si="49"/>
        <v>13.86639805774144</v>
      </c>
      <c r="F665" s="188" t="str">
        <f t="shared" si="46"/>
        <v/>
      </c>
      <c r="H665" t="str">
        <f t="shared" si="48"/>
        <v/>
      </c>
      <c r="I665" s="188" t="str">
        <f t="shared" si="47"/>
        <v/>
      </c>
    </row>
    <row r="666" spans="1:9">
      <c r="A666">
        <v>663</v>
      </c>
      <c r="B666" s="46">
        <v>45863</v>
      </c>
      <c r="C666" s="166">
        <v>1.5784588417451668</v>
      </c>
      <c r="D666" s="166">
        <v>25.377234765527756</v>
      </c>
      <c r="E666" s="166">
        <f t="shared" si="49"/>
        <v>1.5784588417451668</v>
      </c>
      <c r="F666" s="188" t="str">
        <f t="shared" si="46"/>
        <v/>
      </c>
      <c r="H666" t="str">
        <f t="shared" si="48"/>
        <v/>
      </c>
      <c r="I666" s="188" t="str">
        <f t="shared" si="47"/>
        <v/>
      </c>
    </row>
    <row r="667" spans="1:9">
      <c r="A667">
        <v>664</v>
      </c>
      <c r="B667" s="46">
        <v>45864</v>
      </c>
      <c r="C667" s="166">
        <v>2.4869694217433063</v>
      </c>
      <c r="D667" s="166">
        <v>25.377234765527756</v>
      </c>
      <c r="E667" s="166">
        <f t="shared" si="49"/>
        <v>2.4869694217433063</v>
      </c>
      <c r="F667" s="188" t="str">
        <f t="shared" si="46"/>
        <v/>
      </c>
      <c r="H667" t="str">
        <f t="shared" si="48"/>
        <v/>
      </c>
      <c r="I667" s="188" t="str">
        <f t="shared" si="47"/>
        <v/>
      </c>
    </row>
    <row r="668" spans="1:9">
      <c r="A668">
        <v>665</v>
      </c>
      <c r="B668" s="46">
        <v>45865</v>
      </c>
      <c r="C668" s="166">
        <v>1.0667147097433045</v>
      </c>
      <c r="D668" s="166">
        <v>25.377234765527756</v>
      </c>
      <c r="E668" s="166">
        <f t="shared" si="49"/>
        <v>1.0667147097433045</v>
      </c>
      <c r="F668" s="188" t="str">
        <f t="shared" si="46"/>
        <v/>
      </c>
      <c r="H668" t="str">
        <f t="shared" si="48"/>
        <v/>
      </c>
      <c r="I668" s="188" t="str">
        <f t="shared" si="47"/>
        <v/>
      </c>
    </row>
    <row r="669" spans="1:9">
      <c r="A669">
        <v>666</v>
      </c>
      <c r="B669" s="46">
        <v>45866</v>
      </c>
      <c r="C669" s="166">
        <v>1.4001761737470297</v>
      </c>
      <c r="D669" s="166">
        <v>25.377234765527756</v>
      </c>
      <c r="E669" s="166">
        <f t="shared" si="49"/>
        <v>1.4001761737470297</v>
      </c>
      <c r="F669" s="188" t="str">
        <f t="shared" si="46"/>
        <v/>
      </c>
      <c r="H669" t="str">
        <f t="shared" si="48"/>
        <v/>
      </c>
      <c r="I669" s="188" t="str">
        <f t="shared" si="47"/>
        <v/>
      </c>
    </row>
    <row r="670" spans="1:9">
      <c r="A670">
        <v>667</v>
      </c>
      <c r="B670" s="46">
        <v>45867</v>
      </c>
      <c r="C670" s="166">
        <v>1.4504057937414401</v>
      </c>
      <c r="D670" s="166">
        <v>25.377234765527756</v>
      </c>
      <c r="E670" s="166">
        <f t="shared" si="49"/>
        <v>1.4504057937414401</v>
      </c>
      <c r="F670" s="188" t="str">
        <f t="shared" si="46"/>
        <v/>
      </c>
      <c r="H670" t="str">
        <f t="shared" si="48"/>
        <v/>
      </c>
      <c r="I670" s="188" t="str">
        <f t="shared" si="47"/>
        <v/>
      </c>
    </row>
    <row r="671" spans="1:9">
      <c r="A671">
        <v>668</v>
      </c>
      <c r="B671" s="46">
        <v>45868</v>
      </c>
      <c r="C671" s="166">
        <v>13.403058501467727</v>
      </c>
      <c r="D671" s="166">
        <v>25.377234765527756</v>
      </c>
      <c r="E671" s="166">
        <f t="shared" si="49"/>
        <v>13.403058501467727</v>
      </c>
      <c r="F671" s="188" t="str">
        <f t="shared" si="46"/>
        <v/>
      </c>
      <c r="H671" t="str">
        <f t="shared" si="48"/>
        <v/>
      </c>
      <c r="I671" s="188" t="str">
        <f t="shared" si="47"/>
        <v/>
      </c>
    </row>
    <row r="672" spans="1:9">
      <c r="A672">
        <v>669</v>
      </c>
      <c r="B672" s="46">
        <v>45869</v>
      </c>
      <c r="C672" s="166">
        <v>16.69949162046214</v>
      </c>
      <c r="D672" s="166">
        <v>25.377234765527756</v>
      </c>
      <c r="E672" s="166">
        <f t="shared" si="49"/>
        <v>16.69949162046214</v>
      </c>
      <c r="F672" s="188" t="str">
        <f t="shared" si="46"/>
        <v/>
      </c>
      <c r="H672" t="str">
        <f t="shared" si="48"/>
        <v/>
      </c>
      <c r="I672" s="188" t="str">
        <f t="shared" si="47"/>
        <v/>
      </c>
    </row>
    <row r="673" spans="1:9">
      <c r="A673">
        <v>670</v>
      </c>
      <c r="B673" s="46">
        <v>45870</v>
      </c>
      <c r="C673" s="166">
        <v>13.888081484471455</v>
      </c>
      <c r="D673" s="166">
        <v>14.606396891514056</v>
      </c>
      <c r="E673" s="166">
        <f t="shared" si="49"/>
        <v>13.888081484471455</v>
      </c>
      <c r="F673" s="188" t="str">
        <f t="shared" si="46"/>
        <v/>
      </c>
      <c r="H673" t="str">
        <f t="shared" si="48"/>
        <v/>
      </c>
      <c r="I673" s="188" t="str">
        <f t="shared" si="47"/>
        <v/>
      </c>
    </row>
    <row r="674" spans="1:9">
      <c r="A674">
        <v>671</v>
      </c>
      <c r="B674" s="46">
        <v>45871</v>
      </c>
      <c r="C674" s="166">
        <v>8.5812111465864288E-2</v>
      </c>
      <c r="D674" s="166">
        <v>14.606396891514056</v>
      </c>
      <c r="E674" s="166">
        <f t="shared" si="49"/>
        <v>8.5812111465864288E-2</v>
      </c>
      <c r="F674" s="188" t="str">
        <f t="shared" si="46"/>
        <v/>
      </c>
      <c r="H674" t="str">
        <f t="shared" si="48"/>
        <v/>
      </c>
      <c r="I674" s="188" t="str">
        <f t="shared" si="47"/>
        <v/>
      </c>
    </row>
    <row r="675" spans="1:9">
      <c r="A675">
        <v>672</v>
      </c>
      <c r="B675" s="46">
        <v>45872</v>
      </c>
      <c r="C675" s="166">
        <v>0.15275280546400608</v>
      </c>
      <c r="D675" s="166">
        <v>14.606396891514056</v>
      </c>
      <c r="E675" s="166">
        <f t="shared" si="49"/>
        <v>0.15275280546400608</v>
      </c>
      <c r="F675" s="188" t="str">
        <f t="shared" si="46"/>
        <v/>
      </c>
      <c r="H675" t="str">
        <f t="shared" si="48"/>
        <v/>
      </c>
      <c r="I675" s="188" t="str">
        <f t="shared" si="47"/>
        <v/>
      </c>
    </row>
    <row r="676" spans="1:9">
      <c r="A676">
        <v>673</v>
      </c>
      <c r="B676" s="46">
        <v>45873</v>
      </c>
      <c r="C676" s="166">
        <v>26.230543111465863</v>
      </c>
      <c r="D676" s="166">
        <v>14.606396891514056</v>
      </c>
      <c r="E676" s="166">
        <f t="shared" si="49"/>
        <v>14.606396891514056</v>
      </c>
      <c r="F676" s="188" t="str">
        <f t="shared" si="46"/>
        <v/>
      </c>
      <c r="H676" t="str">
        <f t="shared" si="48"/>
        <v/>
      </c>
      <c r="I676" s="188" t="str">
        <f t="shared" si="47"/>
        <v/>
      </c>
    </row>
    <row r="677" spans="1:9">
      <c r="A677">
        <v>674</v>
      </c>
      <c r="B677" s="46">
        <v>45874</v>
      </c>
      <c r="C677" s="166">
        <v>20.573646892469593</v>
      </c>
      <c r="D677" s="166">
        <v>14.606396891514056</v>
      </c>
      <c r="E677" s="166">
        <f t="shared" si="49"/>
        <v>14.606396891514056</v>
      </c>
      <c r="F677" s="188" t="str">
        <f t="shared" si="46"/>
        <v/>
      </c>
      <c r="H677" t="str">
        <f t="shared" si="48"/>
        <v/>
      </c>
      <c r="I677" s="188" t="str">
        <f t="shared" si="47"/>
        <v/>
      </c>
    </row>
    <row r="678" spans="1:9">
      <c r="A678">
        <v>675</v>
      </c>
      <c r="B678" s="46">
        <v>45875</v>
      </c>
      <c r="C678" s="166">
        <v>12.787871789703015</v>
      </c>
      <c r="D678" s="166">
        <v>14.606396891514056</v>
      </c>
      <c r="E678" s="166">
        <f t="shared" si="49"/>
        <v>12.787871789703015</v>
      </c>
      <c r="F678" s="188" t="str">
        <f t="shared" si="46"/>
        <v/>
      </c>
      <c r="H678" t="str">
        <f t="shared" si="48"/>
        <v/>
      </c>
      <c r="I678" s="188" t="str">
        <f t="shared" si="47"/>
        <v/>
      </c>
    </row>
    <row r="679" spans="1:9">
      <c r="A679">
        <v>676</v>
      </c>
      <c r="B679" s="46">
        <v>45876</v>
      </c>
      <c r="C679" s="166">
        <v>7.8448586297086003</v>
      </c>
      <c r="D679" s="166">
        <v>14.606396891514056</v>
      </c>
      <c r="E679" s="166">
        <f t="shared" si="49"/>
        <v>7.8448586297086003</v>
      </c>
      <c r="F679" s="188" t="str">
        <f t="shared" si="46"/>
        <v/>
      </c>
      <c r="H679" t="str">
        <f t="shared" si="48"/>
        <v/>
      </c>
      <c r="I679" s="188" t="str">
        <f t="shared" si="47"/>
        <v/>
      </c>
    </row>
    <row r="680" spans="1:9">
      <c r="A680">
        <v>677</v>
      </c>
      <c r="B680" s="46">
        <v>45877</v>
      </c>
      <c r="C680" s="166">
        <v>11.806797509703014</v>
      </c>
      <c r="D680" s="166">
        <v>14.606396891514056</v>
      </c>
      <c r="E680" s="166">
        <f t="shared" si="49"/>
        <v>11.806797509703014</v>
      </c>
      <c r="F680" s="188" t="str">
        <f t="shared" si="46"/>
        <v/>
      </c>
      <c r="H680" t="str">
        <f t="shared" si="48"/>
        <v/>
      </c>
      <c r="I680" s="188" t="str">
        <f t="shared" si="47"/>
        <v/>
      </c>
    </row>
    <row r="681" spans="1:9">
      <c r="A681">
        <v>678</v>
      </c>
      <c r="B681" s="46">
        <v>45878</v>
      </c>
      <c r="C681" s="166">
        <v>0.29030902171046907</v>
      </c>
      <c r="D681" s="166">
        <v>14.606396891514056</v>
      </c>
      <c r="E681" s="166">
        <f t="shared" si="49"/>
        <v>0.29030902171046907</v>
      </c>
      <c r="F681" s="188" t="str">
        <f t="shared" si="46"/>
        <v/>
      </c>
      <c r="H681" t="str">
        <f t="shared" si="48"/>
        <v/>
      </c>
      <c r="I681" s="188" t="str">
        <f t="shared" si="47"/>
        <v/>
      </c>
    </row>
    <row r="682" spans="1:9">
      <c r="A682">
        <v>679</v>
      </c>
      <c r="B682" s="46">
        <v>45879</v>
      </c>
      <c r="C682" s="166">
        <v>0.25155645370487761</v>
      </c>
      <c r="D682" s="166">
        <v>14.606396891514056</v>
      </c>
      <c r="E682" s="166">
        <f t="shared" si="49"/>
        <v>0.25155645370487761</v>
      </c>
      <c r="F682" s="188" t="str">
        <f t="shared" si="46"/>
        <v/>
      </c>
      <c r="H682" t="str">
        <f t="shared" si="48"/>
        <v/>
      </c>
      <c r="I682" s="188" t="str">
        <f t="shared" si="47"/>
        <v/>
      </c>
    </row>
    <row r="683" spans="1:9">
      <c r="A683">
        <v>680</v>
      </c>
      <c r="B683" s="46">
        <v>45880</v>
      </c>
      <c r="C683" s="166">
        <v>9.6037572017030186</v>
      </c>
      <c r="D683" s="166">
        <v>14.606396891514056</v>
      </c>
      <c r="E683" s="166">
        <f t="shared" si="49"/>
        <v>9.6037572017030186</v>
      </c>
      <c r="F683" s="188" t="str">
        <f t="shared" si="46"/>
        <v/>
      </c>
      <c r="H683" t="str">
        <f t="shared" si="48"/>
        <v/>
      </c>
      <c r="I683" s="188" t="str">
        <f t="shared" si="47"/>
        <v/>
      </c>
    </row>
    <row r="684" spans="1:9">
      <c r="A684">
        <v>681</v>
      </c>
      <c r="B684" s="46">
        <v>45881</v>
      </c>
      <c r="C684" s="166">
        <v>9.000305205708603</v>
      </c>
      <c r="D684" s="166">
        <v>14.606396891514056</v>
      </c>
      <c r="E684" s="166">
        <f t="shared" si="49"/>
        <v>9.000305205708603</v>
      </c>
      <c r="F684" s="188" t="str">
        <f t="shared" si="46"/>
        <v/>
      </c>
      <c r="H684" t="str">
        <f t="shared" si="48"/>
        <v/>
      </c>
      <c r="I684" s="188" t="str">
        <f t="shared" si="47"/>
        <v/>
      </c>
    </row>
    <row r="685" spans="1:9">
      <c r="A685">
        <v>682</v>
      </c>
      <c r="B685" s="46">
        <v>45882</v>
      </c>
      <c r="C685" s="166">
        <v>11.558907459160705</v>
      </c>
      <c r="D685" s="166">
        <v>14.606396891514056</v>
      </c>
      <c r="E685" s="166">
        <f t="shared" si="49"/>
        <v>11.558907459160705</v>
      </c>
      <c r="F685" s="188" t="str">
        <f t="shared" si="46"/>
        <v/>
      </c>
      <c r="H685" t="str">
        <f t="shared" si="48"/>
        <v/>
      </c>
      <c r="I685" s="188" t="str">
        <f t="shared" si="47"/>
        <v/>
      </c>
    </row>
    <row r="686" spans="1:9">
      <c r="A686">
        <v>683</v>
      </c>
      <c r="B686" s="46">
        <v>45883</v>
      </c>
      <c r="C686" s="166">
        <v>2.9691311511588427</v>
      </c>
      <c r="D686" s="166">
        <v>14.606396891514056</v>
      </c>
      <c r="E686" s="166">
        <f t="shared" si="49"/>
        <v>2.9691311511588427</v>
      </c>
      <c r="F686" s="188" t="str">
        <f t="shared" si="46"/>
        <v/>
      </c>
      <c r="H686" t="str">
        <f t="shared" si="48"/>
        <v/>
      </c>
      <c r="I686" s="188" t="str">
        <f t="shared" si="47"/>
        <v/>
      </c>
    </row>
    <row r="687" spans="1:9">
      <c r="A687">
        <v>684</v>
      </c>
      <c r="B687" s="46">
        <v>45884</v>
      </c>
      <c r="C687" s="166">
        <v>0.95445991916070494</v>
      </c>
      <c r="D687" s="166">
        <v>14.606396891514056</v>
      </c>
      <c r="E687" s="166">
        <f t="shared" si="49"/>
        <v>0.95445991916070494</v>
      </c>
      <c r="F687" s="188" t="str">
        <f t="shared" si="46"/>
        <v>A</v>
      </c>
      <c r="G687" s="189">
        <f>IF(DAY(B687)=15,D687,"")</f>
        <v>14.606396891514056</v>
      </c>
      <c r="H687" t="str">
        <f t="shared" si="48"/>
        <v/>
      </c>
      <c r="I687" s="188" t="str">
        <f t="shared" si="47"/>
        <v>A</v>
      </c>
    </row>
    <row r="688" spans="1:9">
      <c r="A688">
        <v>685</v>
      </c>
      <c r="B688" s="46">
        <v>45885</v>
      </c>
      <c r="C688" s="166">
        <v>1.2213465361607085</v>
      </c>
      <c r="D688" s="166">
        <v>14.606396891514056</v>
      </c>
      <c r="E688" s="166">
        <f t="shared" si="49"/>
        <v>1.2213465361607085</v>
      </c>
      <c r="F688" s="188" t="str">
        <f t="shared" si="46"/>
        <v/>
      </c>
      <c r="H688" t="str">
        <f t="shared" si="48"/>
        <v/>
      </c>
      <c r="I688" s="188" t="str">
        <f t="shared" si="47"/>
        <v/>
      </c>
    </row>
    <row r="689" spans="1:9">
      <c r="A689">
        <v>686</v>
      </c>
      <c r="B689" s="46">
        <v>45886</v>
      </c>
      <c r="C689" s="166">
        <v>0.7617259021625723</v>
      </c>
      <c r="D689" s="166">
        <v>14.606396891514056</v>
      </c>
      <c r="E689" s="166">
        <f t="shared" si="49"/>
        <v>0.7617259021625723</v>
      </c>
      <c r="F689" s="188" t="str">
        <f t="shared" si="46"/>
        <v/>
      </c>
      <c r="H689" t="str">
        <f t="shared" si="48"/>
        <v/>
      </c>
      <c r="I689" s="188" t="str">
        <f t="shared" si="47"/>
        <v/>
      </c>
    </row>
    <row r="690" spans="1:9">
      <c r="A690">
        <v>687</v>
      </c>
      <c r="B690" s="46">
        <v>45887</v>
      </c>
      <c r="C690" s="166">
        <v>0.99938219916071103</v>
      </c>
      <c r="D690" s="166">
        <v>14.606396891514056</v>
      </c>
      <c r="E690" s="166">
        <f t="shared" si="49"/>
        <v>0.99938219916071103</v>
      </c>
      <c r="F690" s="188" t="str">
        <f t="shared" si="46"/>
        <v/>
      </c>
      <c r="H690" t="str">
        <f t="shared" si="48"/>
        <v/>
      </c>
      <c r="I690" s="188" t="str">
        <f t="shared" si="47"/>
        <v/>
      </c>
    </row>
    <row r="691" spans="1:9">
      <c r="A691">
        <v>688</v>
      </c>
      <c r="B691" s="46">
        <v>45888</v>
      </c>
      <c r="C691" s="166">
        <v>1.1949965271569818</v>
      </c>
      <c r="D691" s="166">
        <v>14.606396891514056</v>
      </c>
      <c r="E691" s="166">
        <f t="shared" si="49"/>
        <v>1.1949965271569818</v>
      </c>
      <c r="F691" s="188" t="str">
        <f t="shared" si="46"/>
        <v/>
      </c>
      <c r="H691" t="str">
        <f t="shared" si="48"/>
        <v/>
      </c>
      <c r="I691" s="188" t="str">
        <f t="shared" si="47"/>
        <v/>
      </c>
    </row>
    <row r="692" spans="1:9">
      <c r="A692">
        <v>689</v>
      </c>
      <c r="B692" s="46">
        <v>45889</v>
      </c>
      <c r="C692" s="166">
        <v>7.6044234437322231</v>
      </c>
      <c r="D692" s="166">
        <v>14.606396891514056</v>
      </c>
      <c r="E692" s="166">
        <f t="shared" si="49"/>
        <v>7.6044234437322231</v>
      </c>
      <c r="F692" s="188" t="str">
        <f t="shared" si="46"/>
        <v/>
      </c>
      <c r="H692" t="str">
        <f t="shared" si="48"/>
        <v/>
      </c>
      <c r="I692" s="188" t="str">
        <f t="shared" si="47"/>
        <v/>
      </c>
    </row>
    <row r="693" spans="1:9">
      <c r="A693">
        <v>690</v>
      </c>
      <c r="B693" s="46">
        <v>45890</v>
      </c>
      <c r="C693" s="166">
        <v>8.306834943735943</v>
      </c>
      <c r="D693" s="166">
        <v>14.606396891514056</v>
      </c>
      <c r="E693" s="166">
        <f t="shared" si="49"/>
        <v>8.306834943735943</v>
      </c>
      <c r="F693" s="188" t="str">
        <f t="shared" si="46"/>
        <v/>
      </c>
      <c r="H693" t="str">
        <f t="shared" si="48"/>
        <v/>
      </c>
      <c r="I693" s="188" t="str">
        <f t="shared" si="47"/>
        <v/>
      </c>
    </row>
    <row r="694" spans="1:9">
      <c r="A694">
        <v>691</v>
      </c>
      <c r="B694" s="46">
        <v>45891</v>
      </c>
      <c r="C694" s="166">
        <v>10.12004469673222</v>
      </c>
      <c r="D694" s="166">
        <v>14.606396891514056</v>
      </c>
      <c r="E694" s="166">
        <f t="shared" si="49"/>
        <v>10.12004469673222</v>
      </c>
      <c r="F694" s="188" t="str">
        <f t="shared" si="46"/>
        <v/>
      </c>
      <c r="H694" t="str">
        <f t="shared" si="48"/>
        <v/>
      </c>
      <c r="I694" s="188" t="str">
        <f t="shared" si="47"/>
        <v/>
      </c>
    </row>
    <row r="695" spans="1:9">
      <c r="A695">
        <v>692</v>
      </c>
      <c r="B695" s="46">
        <v>45892</v>
      </c>
      <c r="C695" s="166">
        <v>18.177359034732216</v>
      </c>
      <c r="D695" s="166">
        <v>14.606396891514056</v>
      </c>
      <c r="E695" s="166">
        <f t="shared" si="49"/>
        <v>14.606396891514056</v>
      </c>
      <c r="F695" s="188" t="str">
        <f t="shared" si="46"/>
        <v/>
      </c>
      <c r="H695" t="str">
        <f t="shared" si="48"/>
        <v/>
      </c>
      <c r="I695" s="188" t="str">
        <f t="shared" si="47"/>
        <v/>
      </c>
    </row>
    <row r="696" spans="1:9">
      <c r="A696">
        <v>693</v>
      </c>
      <c r="B696" s="46">
        <v>45893</v>
      </c>
      <c r="C696" s="166">
        <v>13.580027154734081</v>
      </c>
      <c r="D696" s="166">
        <v>14.606396891514056</v>
      </c>
      <c r="E696" s="166">
        <f t="shared" si="49"/>
        <v>13.580027154734081</v>
      </c>
      <c r="F696" s="188" t="str">
        <f t="shared" si="46"/>
        <v/>
      </c>
      <c r="H696" t="str">
        <f t="shared" si="48"/>
        <v/>
      </c>
      <c r="I696" s="188" t="str">
        <f t="shared" si="47"/>
        <v/>
      </c>
    </row>
    <row r="697" spans="1:9">
      <c r="A697">
        <v>694</v>
      </c>
      <c r="B697" s="46">
        <v>45894</v>
      </c>
      <c r="C697" s="166">
        <v>8.3417917397322157</v>
      </c>
      <c r="D697" s="166">
        <v>14.606396891514056</v>
      </c>
      <c r="E697" s="166">
        <f t="shared" si="49"/>
        <v>8.3417917397322157</v>
      </c>
      <c r="F697" s="188" t="str">
        <f t="shared" si="46"/>
        <v/>
      </c>
      <c r="H697" t="str">
        <f t="shared" si="48"/>
        <v/>
      </c>
      <c r="I697" s="188" t="str">
        <f t="shared" si="47"/>
        <v/>
      </c>
    </row>
    <row r="698" spans="1:9">
      <c r="A698">
        <v>695</v>
      </c>
      <c r="B698" s="46">
        <v>45895</v>
      </c>
      <c r="C698" s="166">
        <v>8.6844866127322167</v>
      </c>
      <c r="D698" s="166">
        <v>14.606396891514056</v>
      </c>
      <c r="E698" s="166">
        <f t="shared" si="49"/>
        <v>8.6844866127322167</v>
      </c>
      <c r="F698" s="188" t="str">
        <f t="shared" si="46"/>
        <v/>
      </c>
      <c r="H698" t="str">
        <f t="shared" si="48"/>
        <v/>
      </c>
      <c r="I698" s="188" t="str">
        <f t="shared" si="47"/>
        <v/>
      </c>
    </row>
    <row r="699" spans="1:9">
      <c r="A699">
        <v>696</v>
      </c>
      <c r="B699" s="46">
        <v>45896</v>
      </c>
      <c r="C699" s="166">
        <v>12.330491062076938</v>
      </c>
      <c r="D699" s="166">
        <v>14.606396891514056</v>
      </c>
      <c r="E699" s="166">
        <f t="shared" si="49"/>
        <v>12.330491062076938</v>
      </c>
      <c r="F699" s="188" t="str">
        <f t="shared" si="46"/>
        <v/>
      </c>
      <c r="H699" t="str">
        <f t="shared" si="48"/>
        <v/>
      </c>
      <c r="I699" s="188" t="str">
        <f t="shared" si="47"/>
        <v/>
      </c>
    </row>
    <row r="700" spans="1:9">
      <c r="A700">
        <v>697</v>
      </c>
      <c r="B700" s="46">
        <v>45897</v>
      </c>
      <c r="C700" s="166">
        <v>1.4327027120769418</v>
      </c>
      <c r="D700" s="166">
        <v>14.606396891514056</v>
      </c>
      <c r="E700" s="166">
        <f t="shared" si="49"/>
        <v>1.4327027120769418</v>
      </c>
      <c r="F700" s="188" t="str">
        <f t="shared" si="46"/>
        <v/>
      </c>
      <c r="H700" t="str">
        <f t="shared" si="48"/>
        <v/>
      </c>
      <c r="I700" s="188" t="str">
        <f t="shared" si="47"/>
        <v/>
      </c>
    </row>
    <row r="701" spans="1:9">
      <c r="A701">
        <v>698</v>
      </c>
      <c r="B701" s="46">
        <v>45898</v>
      </c>
      <c r="C701" s="166">
        <v>8.5578855480750793</v>
      </c>
      <c r="D701" s="166">
        <v>14.606396891514056</v>
      </c>
      <c r="E701" s="166">
        <f t="shared" si="49"/>
        <v>8.5578855480750793</v>
      </c>
      <c r="F701" s="188" t="str">
        <f t="shared" si="46"/>
        <v/>
      </c>
      <c r="H701" t="str">
        <f t="shared" si="48"/>
        <v/>
      </c>
      <c r="I701" s="188" t="str">
        <f t="shared" si="47"/>
        <v/>
      </c>
    </row>
    <row r="702" spans="1:9">
      <c r="A702">
        <v>699</v>
      </c>
      <c r="B702" s="46">
        <v>45899</v>
      </c>
      <c r="C702" s="166">
        <v>11.674487226073216</v>
      </c>
      <c r="D702" s="166">
        <v>14.606396891514056</v>
      </c>
      <c r="E702" s="166">
        <f t="shared" si="49"/>
        <v>11.674487226073216</v>
      </c>
      <c r="F702" s="188" t="str">
        <f t="shared" si="46"/>
        <v/>
      </c>
      <c r="H702" t="str">
        <f t="shared" si="48"/>
        <v/>
      </c>
      <c r="I702" s="188" t="str">
        <f t="shared" si="47"/>
        <v/>
      </c>
    </row>
    <row r="703" spans="1:9">
      <c r="A703">
        <v>700</v>
      </c>
      <c r="B703" s="46">
        <v>45900</v>
      </c>
      <c r="C703" s="166">
        <v>5.8377010440769448</v>
      </c>
      <c r="D703" s="166">
        <v>14.606396891514056</v>
      </c>
      <c r="E703" s="166">
        <f t="shared" si="49"/>
        <v>5.8377010440769448</v>
      </c>
      <c r="F703" s="188" t="str">
        <f t="shared" si="46"/>
        <v/>
      </c>
      <c r="H703" t="str">
        <f t="shared" si="48"/>
        <v/>
      </c>
      <c r="I703" s="188" t="str">
        <f t="shared" si="47"/>
        <v/>
      </c>
    </row>
    <row r="704" spans="1:9">
      <c r="A704">
        <v>701</v>
      </c>
      <c r="B704" s="46">
        <v>45901</v>
      </c>
      <c r="C704" s="166">
        <v>5.3697709075080639E-2</v>
      </c>
      <c r="D704" s="166">
        <v>20.096931654918169</v>
      </c>
      <c r="E704" s="166">
        <f t="shared" si="49"/>
        <v>5.3697709075080639E-2</v>
      </c>
      <c r="F704" s="188" t="str">
        <f t="shared" si="46"/>
        <v/>
      </c>
      <c r="H704" t="str">
        <f t="shared" si="48"/>
        <v/>
      </c>
      <c r="I704" s="188" t="str">
        <f t="shared" si="47"/>
        <v/>
      </c>
    </row>
    <row r="705" spans="1:9">
      <c r="A705">
        <v>702</v>
      </c>
      <c r="B705" s="46">
        <v>45902</v>
      </c>
      <c r="C705" s="166">
        <v>0.36050568907507841</v>
      </c>
      <c r="D705" s="166">
        <v>20.096931654918169</v>
      </c>
      <c r="E705" s="166">
        <f t="shared" si="49"/>
        <v>0.36050568907507841</v>
      </c>
      <c r="F705" s="188" t="str">
        <f t="shared" si="46"/>
        <v/>
      </c>
      <c r="H705" t="str">
        <f t="shared" si="48"/>
        <v/>
      </c>
      <c r="I705" s="188" t="str">
        <f t="shared" si="47"/>
        <v/>
      </c>
    </row>
    <row r="706" spans="1:9">
      <c r="A706">
        <v>703</v>
      </c>
      <c r="B706" s="46">
        <v>45903</v>
      </c>
      <c r="C706" s="166">
        <v>3.8739321071034718</v>
      </c>
      <c r="D706" s="166">
        <v>20.096931654918169</v>
      </c>
      <c r="E706" s="166">
        <f t="shared" si="49"/>
        <v>3.8739321071034718</v>
      </c>
      <c r="F706" s="188" t="str">
        <f t="shared" si="46"/>
        <v/>
      </c>
      <c r="H706" t="str">
        <f t="shared" si="48"/>
        <v/>
      </c>
      <c r="I706" s="188" t="str">
        <f t="shared" si="47"/>
        <v/>
      </c>
    </row>
    <row r="707" spans="1:9">
      <c r="A707">
        <v>704</v>
      </c>
      <c r="B707" s="46">
        <v>45904</v>
      </c>
      <c r="C707" s="166">
        <v>19.066637347101612</v>
      </c>
      <c r="D707" s="166">
        <v>20.096931654918169</v>
      </c>
      <c r="E707" s="166">
        <f t="shared" si="49"/>
        <v>19.066637347101612</v>
      </c>
      <c r="F707" s="188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8" t="str">
        <f t="shared" si="47"/>
        <v/>
      </c>
    </row>
    <row r="708" spans="1:9">
      <c r="A708">
        <v>705</v>
      </c>
      <c r="B708" s="46">
        <v>45905</v>
      </c>
      <c r="C708" s="166">
        <v>24.277832320103474</v>
      </c>
      <c r="D708" s="166">
        <v>20.096931654918169</v>
      </c>
      <c r="E708" s="166">
        <f t="shared" si="49"/>
        <v>20.096931654918169</v>
      </c>
      <c r="F708" s="188" t="str">
        <f t="shared" si="50"/>
        <v/>
      </c>
      <c r="H708" t="str">
        <f t="shared" si="48"/>
        <v/>
      </c>
      <c r="I708" s="188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45906</v>
      </c>
      <c r="C709" s="166">
        <v>7.1113163381034754</v>
      </c>
      <c r="D709" s="166">
        <v>20.096931654918169</v>
      </c>
      <c r="E709" s="166">
        <f t="shared" si="49"/>
        <v>7.1113163381034754</v>
      </c>
      <c r="F709" s="188" t="str">
        <f t="shared" si="50"/>
        <v/>
      </c>
      <c r="H709" t="str">
        <f t="shared" ref="H709:H764" si="52">IF(MONTH(B709)=1,IF(DAY(B709)=1,YEAR(B709),""),"")</f>
        <v/>
      </c>
      <c r="I709" s="188" t="str">
        <f t="shared" si="51"/>
        <v/>
      </c>
    </row>
    <row r="710" spans="1:9">
      <c r="A710">
        <v>707</v>
      </c>
      <c r="B710" s="46">
        <v>45907</v>
      </c>
      <c r="C710" s="166">
        <v>14.431599771103473</v>
      </c>
      <c r="D710" s="166">
        <v>20.096931654918169</v>
      </c>
      <c r="E710" s="166">
        <f t="shared" si="49"/>
        <v>14.431599771103473</v>
      </c>
      <c r="F710" s="188" t="str">
        <f t="shared" si="50"/>
        <v/>
      </c>
      <c r="H710" t="str">
        <f t="shared" si="52"/>
        <v/>
      </c>
      <c r="I710" s="188" t="str">
        <f t="shared" si="51"/>
        <v/>
      </c>
    </row>
    <row r="711" spans="1:9">
      <c r="A711">
        <v>708</v>
      </c>
      <c r="B711" s="46">
        <v>45908</v>
      </c>
      <c r="C711" s="166">
        <v>35.067888651101612</v>
      </c>
      <c r="D711" s="166">
        <v>20.096931654918169</v>
      </c>
      <c r="E711" s="166">
        <f t="shared" si="49"/>
        <v>20.096931654918169</v>
      </c>
      <c r="F711" s="188" t="str">
        <f t="shared" si="50"/>
        <v/>
      </c>
      <c r="H711" t="str">
        <f t="shared" si="52"/>
        <v/>
      </c>
      <c r="I711" s="188" t="str">
        <f t="shared" si="51"/>
        <v/>
      </c>
    </row>
    <row r="712" spans="1:9">
      <c r="A712">
        <v>709</v>
      </c>
      <c r="B712" s="46">
        <v>45909</v>
      </c>
      <c r="C712" s="166">
        <v>31.536839963101606</v>
      </c>
      <c r="D712" s="166">
        <v>20.096931654918169</v>
      </c>
      <c r="E712" s="166">
        <f t="shared" si="49"/>
        <v>20.096931654918169</v>
      </c>
      <c r="F712" s="188" t="str">
        <f t="shared" si="50"/>
        <v/>
      </c>
      <c r="H712" t="str">
        <f t="shared" si="52"/>
        <v/>
      </c>
      <c r="I712" s="188" t="str">
        <f t="shared" si="51"/>
        <v/>
      </c>
    </row>
    <row r="713" spans="1:9">
      <c r="A713">
        <v>710</v>
      </c>
      <c r="B713" s="46">
        <v>45910</v>
      </c>
      <c r="C713" s="166">
        <v>12.969246855678655</v>
      </c>
      <c r="D713" s="166">
        <v>20.096931654918169</v>
      </c>
      <c r="E713" s="166">
        <f t="shared" si="49"/>
        <v>12.969246855678655</v>
      </c>
      <c r="F713" s="188" t="str">
        <f t="shared" si="50"/>
        <v/>
      </c>
      <c r="H713" t="str">
        <f t="shared" si="52"/>
        <v/>
      </c>
      <c r="I713" s="188" t="str">
        <f t="shared" si="51"/>
        <v/>
      </c>
    </row>
    <row r="714" spans="1:9">
      <c r="A714">
        <v>711</v>
      </c>
      <c r="B714" s="46">
        <v>45911</v>
      </c>
      <c r="C714" s="166">
        <v>15.327467231673065</v>
      </c>
      <c r="D714" s="166">
        <v>20.096931654918169</v>
      </c>
      <c r="E714" s="166">
        <f t="shared" si="49"/>
        <v>15.327467231673065</v>
      </c>
      <c r="F714" s="188" t="str">
        <f t="shared" si="50"/>
        <v/>
      </c>
      <c r="H714" t="str">
        <f t="shared" si="52"/>
        <v/>
      </c>
      <c r="I714" s="188" t="str">
        <f t="shared" si="51"/>
        <v/>
      </c>
    </row>
    <row r="715" spans="1:9">
      <c r="A715">
        <v>712</v>
      </c>
      <c r="B715" s="46">
        <v>45912</v>
      </c>
      <c r="C715" s="166">
        <v>34.588256312676791</v>
      </c>
      <c r="D715" s="166">
        <v>20.096931654918169</v>
      </c>
      <c r="E715" s="166">
        <f t="shared" si="49"/>
        <v>20.096931654918169</v>
      </c>
      <c r="F715" s="188" t="str">
        <f t="shared" si="50"/>
        <v/>
      </c>
      <c r="H715" t="str">
        <f t="shared" si="52"/>
        <v/>
      </c>
      <c r="I715" s="188" t="str">
        <f t="shared" si="51"/>
        <v/>
      </c>
    </row>
    <row r="716" spans="1:9">
      <c r="A716">
        <v>713</v>
      </c>
      <c r="B716" s="46">
        <v>45913</v>
      </c>
      <c r="C716" s="166">
        <v>21.264824958676794</v>
      </c>
      <c r="D716" s="166">
        <v>20.096931654918169</v>
      </c>
      <c r="E716" s="166">
        <f t="shared" si="49"/>
        <v>20.096931654918169</v>
      </c>
      <c r="F716" s="188" t="str">
        <f t="shared" si="50"/>
        <v/>
      </c>
      <c r="H716" t="str">
        <f t="shared" si="52"/>
        <v/>
      </c>
      <c r="I716" s="188" t="str">
        <f t="shared" si="51"/>
        <v/>
      </c>
    </row>
    <row r="717" spans="1:9">
      <c r="A717">
        <v>714</v>
      </c>
      <c r="B717" s="46">
        <v>45914</v>
      </c>
      <c r="C717" s="166">
        <v>13.399805775674926</v>
      </c>
      <c r="D717" s="166">
        <v>20.096931654918169</v>
      </c>
      <c r="E717" s="166">
        <f t="shared" si="49"/>
        <v>13.399805775674926</v>
      </c>
      <c r="F717" s="188" t="str">
        <f t="shared" si="50"/>
        <v/>
      </c>
      <c r="G717" s="189" t="str">
        <f>IF(DAY(B717)=15,D717,"")</f>
        <v/>
      </c>
      <c r="H717" t="str">
        <f t="shared" si="52"/>
        <v/>
      </c>
      <c r="I717" s="188" t="str">
        <f t="shared" si="51"/>
        <v/>
      </c>
    </row>
    <row r="718" spans="1:9">
      <c r="A718">
        <v>715</v>
      </c>
      <c r="B718" s="46">
        <v>45915</v>
      </c>
      <c r="C718" s="166">
        <v>18.213449891676792</v>
      </c>
      <c r="D718" s="166">
        <v>20.096931654918169</v>
      </c>
      <c r="E718" s="166">
        <f t="shared" si="49"/>
        <v>18.213449891676792</v>
      </c>
      <c r="F718" s="188" t="str">
        <f t="shared" si="50"/>
        <v>S</v>
      </c>
      <c r="H718" t="str">
        <f t="shared" si="52"/>
        <v/>
      </c>
      <c r="I718" s="188" t="str">
        <f t="shared" si="51"/>
        <v>S</v>
      </c>
    </row>
    <row r="719" spans="1:9">
      <c r="A719">
        <v>716</v>
      </c>
      <c r="B719" s="46">
        <v>45916</v>
      </c>
      <c r="C719" s="166">
        <v>19.13413580867493</v>
      </c>
      <c r="D719" s="166">
        <v>20.096931654918169</v>
      </c>
      <c r="E719" s="166">
        <f t="shared" ref="E719:E761" si="53">IF(C719&lt;D719,C719,D719)</f>
        <v>19.13413580867493</v>
      </c>
      <c r="F719" s="188" t="str">
        <f t="shared" si="50"/>
        <v/>
      </c>
      <c r="H719" t="str">
        <f t="shared" si="52"/>
        <v/>
      </c>
      <c r="I719" s="188" t="str">
        <f t="shared" si="51"/>
        <v/>
      </c>
    </row>
    <row r="720" spans="1:9">
      <c r="A720">
        <v>717</v>
      </c>
      <c r="B720" s="46">
        <v>45917</v>
      </c>
      <c r="C720" s="166">
        <v>13.690997182199659</v>
      </c>
      <c r="D720" s="166">
        <v>20.096931654918169</v>
      </c>
      <c r="E720" s="166">
        <f t="shared" si="53"/>
        <v>13.690997182199659</v>
      </c>
      <c r="F720" s="188" t="str">
        <f t="shared" si="50"/>
        <v/>
      </c>
      <c r="H720" t="str">
        <f t="shared" si="52"/>
        <v/>
      </c>
      <c r="I720" s="188" t="str">
        <f t="shared" si="51"/>
        <v/>
      </c>
    </row>
    <row r="721" spans="1:9">
      <c r="A721">
        <v>718</v>
      </c>
      <c r="B721" s="46">
        <v>45918</v>
      </c>
      <c r="C721" s="166">
        <v>9.2431778151996546</v>
      </c>
      <c r="D721" s="166">
        <v>20.096931654918169</v>
      </c>
      <c r="E721" s="166">
        <f t="shared" si="53"/>
        <v>9.2431778151996546</v>
      </c>
      <c r="F721" s="188" t="str">
        <f t="shared" si="50"/>
        <v/>
      </c>
      <c r="H721" t="str">
        <f t="shared" si="52"/>
        <v/>
      </c>
      <c r="I721" s="188" t="str">
        <f t="shared" si="51"/>
        <v/>
      </c>
    </row>
    <row r="722" spans="1:9">
      <c r="A722">
        <v>719</v>
      </c>
      <c r="B722" s="46">
        <v>45919</v>
      </c>
      <c r="C722" s="166">
        <v>6.2823044591977961</v>
      </c>
      <c r="D722" s="166">
        <v>20.096931654918169</v>
      </c>
      <c r="E722" s="166">
        <f t="shared" si="53"/>
        <v>6.2823044591977961</v>
      </c>
      <c r="F722" s="188" t="str">
        <f t="shared" si="50"/>
        <v/>
      </c>
      <c r="H722" t="str">
        <f t="shared" si="52"/>
        <v/>
      </c>
      <c r="I722" s="188" t="str">
        <f t="shared" si="51"/>
        <v/>
      </c>
    </row>
    <row r="723" spans="1:9">
      <c r="A723">
        <v>720</v>
      </c>
      <c r="B723" s="46">
        <v>45920</v>
      </c>
      <c r="C723" s="166">
        <v>3.1145610751977948</v>
      </c>
      <c r="D723" s="166">
        <v>20.096931654918169</v>
      </c>
      <c r="E723" s="166">
        <f t="shared" si="53"/>
        <v>3.1145610751977948</v>
      </c>
      <c r="F723" s="188" t="str">
        <f t="shared" si="50"/>
        <v/>
      </c>
      <c r="H723" t="str">
        <f t="shared" si="52"/>
        <v/>
      </c>
      <c r="I723" s="188" t="str">
        <f t="shared" si="51"/>
        <v/>
      </c>
    </row>
    <row r="724" spans="1:9">
      <c r="A724">
        <v>721</v>
      </c>
      <c r="B724" s="46">
        <v>45921</v>
      </c>
      <c r="C724" s="166">
        <v>2.5861794472015207</v>
      </c>
      <c r="D724" s="166">
        <v>20.096931654918169</v>
      </c>
      <c r="E724" s="166">
        <f t="shared" si="53"/>
        <v>2.5861794472015207</v>
      </c>
      <c r="F724" s="188" t="str">
        <f t="shared" si="50"/>
        <v/>
      </c>
      <c r="H724" t="str">
        <f t="shared" si="52"/>
        <v/>
      </c>
      <c r="I724" s="188" t="str">
        <f t="shared" si="51"/>
        <v/>
      </c>
    </row>
    <row r="725" spans="1:9">
      <c r="A725">
        <v>722</v>
      </c>
      <c r="B725" s="46">
        <v>45922</v>
      </c>
      <c r="C725" s="166">
        <v>1.4251420391977954</v>
      </c>
      <c r="D725" s="166">
        <v>20.096931654918169</v>
      </c>
      <c r="E725" s="166">
        <f t="shared" si="53"/>
        <v>1.4251420391977954</v>
      </c>
      <c r="F725" s="188" t="str">
        <f t="shared" si="50"/>
        <v/>
      </c>
      <c r="H725" t="str">
        <f t="shared" si="52"/>
        <v/>
      </c>
      <c r="I725" s="188" t="str">
        <f t="shared" si="51"/>
        <v/>
      </c>
    </row>
    <row r="726" spans="1:9">
      <c r="A726">
        <v>723</v>
      </c>
      <c r="B726" s="46">
        <v>45923</v>
      </c>
      <c r="C726" s="166">
        <v>1.7883082552015257</v>
      </c>
      <c r="D726" s="166">
        <v>20.096931654918169</v>
      </c>
      <c r="E726" s="166">
        <f t="shared" si="53"/>
        <v>1.7883082552015257</v>
      </c>
      <c r="F726" s="188" t="str">
        <f t="shared" si="50"/>
        <v/>
      </c>
      <c r="H726" t="str">
        <f t="shared" si="52"/>
        <v/>
      </c>
      <c r="I726" s="188" t="str">
        <f t="shared" si="51"/>
        <v/>
      </c>
    </row>
    <row r="727" spans="1:9">
      <c r="A727">
        <v>724</v>
      </c>
      <c r="B727" s="46">
        <v>45924</v>
      </c>
      <c r="C727" s="166">
        <v>11.920882709065394</v>
      </c>
      <c r="D727" s="166">
        <v>20.096931654918169</v>
      </c>
      <c r="E727" s="166">
        <f t="shared" si="53"/>
        <v>11.920882709065394</v>
      </c>
      <c r="F727" s="188" t="str">
        <f t="shared" si="50"/>
        <v/>
      </c>
      <c r="H727" t="str">
        <f t="shared" si="52"/>
        <v/>
      </c>
      <c r="I727" s="188" t="str">
        <f t="shared" si="51"/>
        <v/>
      </c>
    </row>
    <row r="728" spans="1:9">
      <c r="A728">
        <v>725</v>
      </c>
      <c r="B728" s="46">
        <v>45925</v>
      </c>
      <c r="C728" s="166">
        <v>29.771581229065394</v>
      </c>
      <c r="D728" s="166">
        <v>20.096931654918169</v>
      </c>
      <c r="E728" s="166">
        <f t="shared" si="53"/>
        <v>20.096931654918169</v>
      </c>
      <c r="F728" s="188" t="str">
        <f t="shared" si="50"/>
        <v/>
      </c>
      <c r="H728" t="str">
        <f t="shared" si="52"/>
        <v/>
      </c>
      <c r="I728" s="188" t="str">
        <f t="shared" si="51"/>
        <v/>
      </c>
    </row>
    <row r="729" spans="1:9">
      <c r="A729">
        <v>726</v>
      </c>
      <c r="B729" s="46">
        <v>45926</v>
      </c>
      <c r="C729" s="166">
        <v>37.543243065067259</v>
      </c>
      <c r="D729" s="166">
        <v>20.096931654918169</v>
      </c>
      <c r="E729" s="166">
        <f t="shared" si="53"/>
        <v>20.096931654918169</v>
      </c>
      <c r="F729" s="188" t="str">
        <f t="shared" si="50"/>
        <v/>
      </c>
      <c r="H729" t="str">
        <f t="shared" si="52"/>
        <v/>
      </c>
      <c r="I729" s="188" t="str">
        <f t="shared" si="51"/>
        <v/>
      </c>
    </row>
    <row r="730" spans="1:9">
      <c r="A730">
        <v>727</v>
      </c>
      <c r="B730" s="46">
        <v>45927</v>
      </c>
      <c r="C730" s="166">
        <v>26.490858717067262</v>
      </c>
      <c r="D730" s="166">
        <v>20.096931654918169</v>
      </c>
      <c r="E730" s="166">
        <f t="shared" si="53"/>
        <v>20.096931654918169</v>
      </c>
      <c r="F730" s="188" t="str">
        <f t="shared" si="50"/>
        <v/>
      </c>
      <c r="H730" t="str">
        <f t="shared" si="52"/>
        <v/>
      </c>
      <c r="I730" s="188" t="str">
        <f t="shared" si="51"/>
        <v/>
      </c>
    </row>
    <row r="731" spans="1:9">
      <c r="A731">
        <v>728</v>
      </c>
      <c r="B731" s="46">
        <v>45928</v>
      </c>
      <c r="C731" s="166">
        <v>5.630432829065394</v>
      </c>
      <c r="D731" s="166">
        <v>20.096931654918169</v>
      </c>
      <c r="E731" s="166">
        <f t="shared" si="53"/>
        <v>5.630432829065394</v>
      </c>
      <c r="F731" s="188" t="str">
        <f t="shared" si="50"/>
        <v/>
      </c>
      <c r="H731" t="str">
        <f t="shared" si="52"/>
        <v/>
      </c>
      <c r="I731" s="188" t="str">
        <f t="shared" si="51"/>
        <v/>
      </c>
    </row>
    <row r="732" spans="1:9">
      <c r="A732">
        <v>729</v>
      </c>
      <c r="B732" s="46">
        <v>45929</v>
      </c>
      <c r="C732" s="166">
        <v>17.630909821067259</v>
      </c>
      <c r="D732" s="166">
        <v>20.096931654918169</v>
      </c>
      <c r="E732" s="166">
        <f t="shared" si="53"/>
        <v>17.630909821067259</v>
      </c>
      <c r="F732" s="188" t="str">
        <f t="shared" si="50"/>
        <v/>
      </c>
      <c r="H732" t="str">
        <f t="shared" si="52"/>
        <v/>
      </c>
      <c r="I732" s="188" t="str">
        <f t="shared" si="51"/>
        <v/>
      </c>
    </row>
    <row r="733" spans="1:9">
      <c r="A733">
        <v>730</v>
      </c>
      <c r="B733" s="46">
        <v>45930</v>
      </c>
      <c r="C733" s="166">
        <v>30.835724041067259</v>
      </c>
      <c r="D733" s="166">
        <v>20.096931654918169</v>
      </c>
      <c r="E733" s="166">
        <f t="shared" si="53"/>
        <v>20.096931654918169</v>
      </c>
      <c r="F733" s="188" t="str">
        <f t="shared" si="50"/>
        <v/>
      </c>
      <c r="H733" t="str">
        <f t="shared" si="52"/>
        <v/>
      </c>
      <c r="I733" s="188" t="str">
        <f t="shared" si="51"/>
        <v/>
      </c>
    </row>
    <row r="734" spans="1:9">
      <c r="A734">
        <v>731</v>
      </c>
      <c r="B734" s="46">
        <v>45931</v>
      </c>
      <c r="C734" s="166">
        <v>27.612288014657359</v>
      </c>
      <c r="D734" s="166">
        <v>43.333737750551208</v>
      </c>
      <c r="E734" s="166">
        <f t="shared" si="53"/>
        <v>27.612288014657359</v>
      </c>
      <c r="F734" s="188" t="str">
        <f t="shared" si="50"/>
        <v/>
      </c>
      <c r="H734" t="str">
        <f t="shared" si="52"/>
        <v/>
      </c>
      <c r="I734" s="188" t="str">
        <f t="shared" si="51"/>
        <v/>
      </c>
    </row>
    <row r="735" spans="1:9">
      <c r="A735">
        <v>732</v>
      </c>
      <c r="B735" s="46">
        <v>45932</v>
      </c>
      <c r="C735" s="166">
        <v>29.546072014657359</v>
      </c>
      <c r="D735" s="166">
        <v>43.333737750551208</v>
      </c>
      <c r="E735" s="166">
        <f t="shared" si="53"/>
        <v>29.546072014657359</v>
      </c>
      <c r="F735" s="188" t="str">
        <f t="shared" si="50"/>
        <v/>
      </c>
      <c r="H735" t="str">
        <f t="shared" si="52"/>
        <v/>
      </c>
      <c r="I735" s="188" t="str">
        <f t="shared" si="51"/>
        <v/>
      </c>
    </row>
    <row r="736" spans="1:9">
      <c r="A736">
        <v>733</v>
      </c>
      <c r="B736" s="46">
        <v>45933</v>
      </c>
      <c r="C736" s="166">
        <v>31.593936014657395</v>
      </c>
      <c r="D736" s="166">
        <v>43.333737750551208</v>
      </c>
      <c r="E736" s="166">
        <f t="shared" si="53"/>
        <v>31.593936014657395</v>
      </c>
      <c r="F736" s="188" t="str">
        <f t="shared" si="50"/>
        <v/>
      </c>
      <c r="H736" t="str">
        <f t="shared" si="52"/>
        <v/>
      </c>
      <c r="I736" s="188" t="str">
        <f t="shared" si="51"/>
        <v/>
      </c>
    </row>
    <row r="737" spans="1:9">
      <c r="A737">
        <v>734</v>
      </c>
      <c r="B737" s="46">
        <v>45934</v>
      </c>
      <c r="C737" s="166">
        <v>0.85775501465736304</v>
      </c>
      <c r="D737" s="166">
        <v>43.333737750551208</v>
      </c>
      <c r="E737" s="166">
        <f t="shared" si="53"/>
        <v>0.85775501465736304</v>
      </c>
      <c r="F737" s="188" t="str">
        <f t="shared" si="50"/>
        <v/>
      </c>
      <c r="H737" t="str">
        <f t="shared" si="52"/>
        <v/>
      </c>
      <c r="I737" s="188" t="str">
        <f t="shared" si="51"/>
        <v/>
      </c>
    </row>
    <row r="738" spans="1:9">
      <c r="A738">
        <v>735</v>
      </c>
      <c r="B738" s="46">
        <v>45935</v>
      </c>
      <c r="C738" s="166">
        <v>3.6786500146573964</v>
      </c>
      <c r="D738" s="166">
        <v>43.333737750551208</v>
      </c>
      <c r="E738" s="166">
        <f t="shared" si="53"/>
        <v>3.6786500146573964</v>
      </c>
      <c r="F738" s="188" t="str">
        <f t="shared" si="50"/>
        <v/>
      </c>
      <c r="H738" t="str">
        <f t="shared" si="52"/>
        <v/>
      </c>
      <c r="I738" s="188" t="str">
        <f t="shared" si="51"/>
        <v/>
      </c>
    </row>
    <row r="739" spans="1:9">
      <c r="A739">
        <v>736</v>
      </c>
      <c r="B739" s="46">
        <v>45936</v>
      </c>
      <c r="C739" s="166">
        <v>17.845458014657392</v>
      </c>
      <c r="D739" s="166">
        <v>43.333737750551208</v>
      </c>
      <c r="E739" s="166">
        <f t="shared" si="53"/>
        <v>17.845458014657392</v>
      </c>
      <c r="F739" s="188" t="str">
        <f t="shared" si="50"/>
        <v/>
      </c>
      <c r="H739" t="str">
        <f t="shared" si="52"/>
        <v/>
      </c>
      <c r="I739" s="188" t="str">
        <f t="shared" si="51"/>
        <v/>
      </c>
    </row>
    <row r="740" spans="1:9">
      <c r="A740">
        <v>737</v>
      </c>
      <c r="B740" s="46">
        <v>45937</v>
      </c>
      <c r="C740" s="166">
        <v>42.799380014657366</v>
      </c>
      <c r="D740" s="166">
        <v>43.333737750551208</v>
      </c>
      <c r="E740" s="166">
        <f t="shared" si="53"/>
        <v>42.799380014657366</v>
      </c>
      <c r="F740" s="188" t="str">
        <f t="shared" si="50"/>
        <v/>
      </c>
      <c r="H740" t="str">
        <f t="shared" si="52"/>
        <v/>
      </c>
      <c r="I740" s="188" t="str">
        <f t="shared" si="51"/>
        <v/>
      </c>
    </row>
    <row r="741" spans="1:9">
      <c r="A741">
        <v>738</v>
      </c>
      <c r="B741" s="46">
        <v>45938</v>
      </c>
      <c r="C741" s="166">
        <v>37.039900689980414</v>
      </c>
      <c r="D741" s="166">
        <v>43.333737750551208</v>
      </c>
      <c r="E741" s="166">
        <f t="shared" si="53"/>
        <v>37.039900689980414</v>
      </c>
      <c r="F741" s="188" t="str">
        <f t="shared" si="50"/>
        <v/>
      </c>
      <c r="H741" t="str">
        <f t="shared" si="52"/>
        <v/>
      </c>
      <c r="I741" s="188" t="str">
        <f t="shared" si="51"/>
        <v/>
      </c>
    </row>
    <row r="742" spans="1:9">
      <c r="A742">
        <v>739</v>
      </c>
      <c r="B742" s="46">
        <v>45939</v>
      </c>
      <c r="C742" s="166">
        <v>8.5368846899804041</v>
      </c>
      <c r="D742" s="166">
        <v>43.333737750551208</v>
      </c>
      <c r="E742" s="166">
        <f t="shared" si="53"/>
        <v>8.5368846899804041</v>
      </c>
      <c r="F742" s="188" t="str">
        <f t="shared" si="50"/>
        <v/>
      </c>
      <c r="H742" t="str">
        <f t="shared" si="52"/>
        <v/>
      </c>
      <c r="I742" s="188" t="str">
        <f t="shared" si="51"/>
        <v/>
      </c>
    </row>
    <row r="743" spans="1:9">
      <c r="A743">
        <v>740</v>
      </c>
      <c r="B743" s="46">
        <v>45940</v>
      </c>
      <c r="C743" s="166">
        <v>5.6381446899804066</v>
      </c>
      <c r="D743" s="166">
        <v>43.333737750551208</v>
      </c>
      <c r="E743" s="166">
        <f t="shared" si="53"/>
        <v>5.6381446899804066</v>
      </c>
      <c r="F743" s="188" t="str">
        <f t="shared" si="50"/>
        <v/>
      </c>
      <c r="H743" t="str">
        <f t="shared" si="52"/>
        <v/>
      </c>
      <c r="I743" s="188" t="str">
        <f t="shared" si="51"/>
        <v/>
      </c>
    </row>
    <row r="744" spans="1:9">
      <c r="A744">
        <v>741</v>
      </c>
      <c r="B744" s="46">
        <v>45941</v>
      </c>
      <c r="C744" s="166">
        <v>4.5240996899804014</v>
      </c>
      <c r="D744" s="166">
        <v>43.333737750551208</v>
      </c>
      <c r="E744" s="166">
        <f t="shared" si="53"/>
        <v>4.5240996899804014</v>
      </c>
      <c r="F744" s="188" t="str">
        <f t="shared" si="50"/>
        <v/>
      </c>
      <c r="H744" t="str">
        <f t="shared" si="52"/>
        <v/>
      </c>
      <c r="I744" s="188" t="str">
        <f t="shared" si="51"/>
        <v/>
      </c>
    </row>
    <row r="745" spans="1:9">
      <c r="A745">
        <v>742</v>
      </c>
      <c r="B745" s="46">
        <v>45942</v>
      </c>
      <c r="C745" s="166">
        <v>1.9573636899804041</v>
      </c>
      <c r="D745" s="166">
        <v>43.333737750551208</v>
      </c>
      <c r="E745" s="166">
        <f t="shared" si="53"/>
        <v>1.9573636899804041</v>
      </c>
      <c r="F745" s="188" t="str">
        <f t="shared" si="50"/>
        <v/>
      </c>
      <c r="H745" t="str">
        <f t="shared" si="52"/>
        <v/>
      </c>
      <c r="I745" s="188" t="str">
        <f t="shared" si="51"/>
        <v/>
      </c>
    </row>
    <row r="746" spans="1:9">
      <c r="A746">
        <v>743</v>
      </c>
      <c r="B746" s="46">
        <v>45943</v>
      </c>
      <c r="C746" s="166">
        <v>12.225653689980405</v>
      </c>
      <c r="D746" s="166">
        <v>43.333737750551208</v>
      </c>
      <c r="E746" s="166">
        <f t="shared" si="53"/>
        <v>12.225653689980405</v>
      </c>
      <c r="F746" s="188" t="str">
        <f t="shared" si="50"/>
        <v/>
      </c>
      <c r="H746" t="str">
        <f t="shared" si="52"/>
        <v/>
      </c>
      <c r="I746" s="188" t="str">
        <f t="shared" si="51"/>
        <v/>
      </c>
    </row>
    <row r="747" spans="1:9">
      <c r="A747">
        <v>744</v>
      </c>
      <c r="B747" s="46">
        <v>45944</v>
      </c>
      <c r="C747" s="166">
        <v>16.737806689980395</v>
      </c>
      <c r="D747" s="166">
        <v>43.333737750551208</v>
      </c>
      <c r="E747" s="166">
        <f t="shared" si="53"/>
        <v>16.737806689980395</v>
      </c>
      <c r="F747" s="188" t="str">
        <f t="shared" si="50"/>
        <v/>
      </c>
      <c r="H747" t="str">
        <f t="shared" si="52"/>
        <v/>
      </c>
      <c r="I747" s="188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/>
      </c>
    </row>
    <row r="748" spans="1:9">
      <c r="A748">
        <v>745</v>
      </c>
      <c r="B748" s="46">
        <v>45945</v>
      </c>
      <c r="C748" s="166">
        <v>21.284614570018459</v>
      </c>
      <c r="D748" s="166">
        <v>43.333737750551208</v>
      </c>
      <c r="E748" s="166">
        <f t="shared" si="53"/>
        <v>21.284614570018459</v>
      </c>
      <c r="F748" s="188" t="str">
        <f t="shared" si="50"/>
        <v>O</v>
      </c>
      <c r="G748" s="189">
        <f>IF(DAY(B748)=15,D748,"")</f>
        <v>43.333737750551208</v>
      </c>
      <c r="H748" t="str">
        <f t="shared" si="52"/>
        <v/>
      </c>
      <c r="I748" s="188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>O</v>
      </c>
    </row>
    <row r="749" spans="1:9">
      <c r="A749">
        <v>746</v>
      </c>
      <c r="B749" s="46">
        <v>45946</v>
      </c>
      <c r="C749" s="166">
        <v>13.450961570018503</v>
      </c>
      <c r="D749" s="166">
        <v>43.333737750551208</v>
      </c>
      <c r="E749" s="166">
        <f t="shared" si="53"/>
        <v>13.450961570018503</v>
      </c>
      <c r="F749" s="188" t="str">
        <f t="shared" si="50"/>
        <v/>
      </c>
      <c r="H749" t="str">
        <f t="shared" si="52"/>
        <v/>
      </c>
      <c r="I749" s="188" t="str">
        <f t="shared" si="54"/>
        <v/>
      </c>
    </row>
    <row r="750" spans="1:9">
      <c r="A750">
        <v>747</v>
      </c>
      <c r="B750" s="46">
        <v>45947</v>
      </c>
      <c r="C750" s="166">
        <v>14.515561570018493</v>
      </c>
      <c r="D750" s="166">
        <v>43.333737750551208</v>
      </c>
      <c r="E750" s="166">
        <f t="shared" si="53"/>
        <v>14.515561570018493</v>
      </c>
      <c r="F750" s="188" t="str">
        <f t="shared" si="50"/>
        <v/>
      </c>
      <c r="H750" t="str">
        <f t="shared" si="52"/>
        <v/>
      </c>
      <c r="I750" s="188" t="str">
        <f t="shared" si="54"/>
        <v/>
      </c>
    </row>
    <row r="751" spans="1:9">
      <c r="A751">
        <v>748</v>
      </c>
      <c r="B751" s="46">
        <v>45948</v>
      </c>
      <c r="C751" s="166">
        <v>12.328661570018498</v>
      </c>
      <c r="D751" s="166">
        <v>43.333737750551208</v>
      </c>
      <c r="E751" s="166">
        <f t="shared" si="53"/>
        <v>12.328661570018498</v>
      </c>
      <c r="F751" s="188" t="str">
        <f t="shared" si="50"/>
        <v/>
      </c>
      <c r="H751" t="str">
        <f t="shared" si="52"/>
        <v/>
      </c>
      <c r="I751" s="188" t="str">
        <f t="shared" si="54"/>
        <v/>
      </c>
    </row>
    <row r="752" spans="1:9">
      <c r="A752">
        <v>749</v>
      </c>
      <c r="B752" s="46">
        <v>45949</v>
      </c>
      <c r="C752" s="166">
        <v>1.3023615700185001</v>
      </c>
      <c r="D752" s="166">
        <v>43.333737750551208</v>
      </c>
      <c r="E752" s="166">
        <f t="shared" si="53"/>
        <v>1.3023615700185001</v>
      </c>
      <c r="F752" s="188" t="str">
        <f t="shared" si="50"/>
        <v/>
      </c>
      <c r="H752" t="str">
        <f t="shared" si="52"/>
        <v/>
      </c>
      <c r="I752" s="188" t="str">
        <f t="shared" si="54"/>
        <v/>
      </c>
    </row>
    <row r="753" spans="1:9">
      <c r="A753">
        <v>750</v>
      </c>
      <c r="B753" s="46">
        <v>45950</v>
      </c>
      <c r="C753" s="166">
        <v>2.1778615700184965</v>
      </c>
      <c r="D753" s="166">
        <v>43.333737750551208</v>
      </c>
      <c r="E753" s="166">
        <f t="shared" si="53"/>
        <v>2.1778615700184965</v>
      </c>
      <c r="F753" s="188" t="str">
        <f t="shared" si="50"/>
        <v/>
      </c>
      <c r="H753" t="str">
        <f t="shared" si="52"/>
        <v/>
      </c>
      <c r="I753" s="188" t="str">
        <f t="shared" si="54"/>
        <v/>
      </c>
    </row>
    <row r="754" spans="1:9">
      <c r="A754">
        <v>751</v>
      </c>
      <c r="B754" s="46">
        <v>45951</v>
      </c>
      <c r="C754" s="166">
        <v>6.0851615700184993</v>
      </c>
      <c r="D754" s="166">
        <v>43.333737750551208</v>
      </c>
      <c r="E754" s="166">
        <f t="shared" si="53"/>
        <v>6.0851615700184993</v>
      </c>
      <c r="F754" s="188" t="str">
        <f t="shared" si="50"/>
        <v/>
      </c>
      <c r="H754" t="str">
        <f t="shared" si="52"/>
        <v/>
      </c>
      <c r="I754" s="188" t="str">
        <f t="shared" si="54"/>
        <v/>
      </c>
    </row>
    <row r="755" spans="1:9">
      <c r="A755">
        <v>752</v>
      </c>
      <c r="B755" s="46">
        <v>45952</v>
      </c>
      <c r="C755" s="166">
        <v>10.749830802430898</v>
      </c>
      <c r="D755" s="166">
        <v>43.333737750551208</v>
      </c>
      <c r="E755" s="166">
        <f t="shared" si="53"/>
        <v>10.749830802430898</v>
      </c>
      <c r="F755" s="188" t="str">
        <f t="shared" si="50"/>
        <v/>
      </c>
      <c r="H755" t="str">
        <f t="shared" si="52"/>
        <v/>
      </c>
      <c r="I755" s="188" t="str">
        <f t="shared" si="54"/>
        <v/>
      </c>
    </row>
    <row r="756" spans="1:9">
      <c r="A756">
        <v>753</v>
      </c>
      <c r="B756" s="46">
        <v>45953</v>
      </c>
      <c r="C756" s="166">
        <v>8.1420308024309023</v>
      </c>
      <c r="D756" s="166">
        <v>43.333737750551208</v>
      </c>
      <c r="E756" s="166">
        <f t="shared" si="53"/>
        <v>8.1420308024309023</v>
      </c>
      <c r="F756" s="188" t="str">
        <f t="shared" si="50"/>
        <v/>
      </c>
      <c r="H756" t="str">
        <f t="shared" si="52"/>
        <v/>
      </c>
      <c r="I756" s="188" t="str">
        <f t="shared" si="54"/>
        <v/>
      </c>
    </row>
    <row r="757" spans="1:9">
      <c r="A757">
        <v>754</v>
      </c>
      <c r="B757" s="46">
        <v>45954</v>
      </c>
      <c r="C757" s="166">
        <v>38.5486308024309</v>
      </c>
      <c r="D757" s="166">
        <v>43.333737750551208</v>
      </c>
      <c r="E757" s="166">
        <f t="shared" si="53"/>
        <v>38.5486308024309</v>
      </c>
      <c r="F757" s="188" t="str">
        <f t="shared" si="50"/>
        <v/>
      </c>
      <c r="H757" t="str">
        <f t="shared" si="52"/>
        <v/>
      </c>
      <c r="I757" s="188" t="str">
        <f t="shared" si="54"/>
        <v/>
      </c>
    </row>
    <row r="758" spans="1:9">
      <c r="A758">
        <v>755</v>
      </c>
      <c r="B758" s="46">
        <v>45955</v>
      </c>
      <c r="C758" s="166">
        <v>34.435730802430903</v>
      </c>
      <c r="D758" s="166">
        <v>43.333737750551208</v>
      </c>
      <c r="E758" s="166">
        <f t="shared" si="53"/>
        <v>34.435730802430903</v>
      </c>
      <c r="F758" s="188" t="str">
        <f t="shared" si="50"/>
        <v/>
      </c>
      <c r="H758" t="str">
        <f t="shared" si="52"/>
        <v/>
      </c>
      <c r="I758" s="188" t="str">
        <f t="shared" si="54"/>
        <v/>
      </c>
    </row>
    <row r="759" spans="1:9">
      <c r="A759">
        <v>756</v>
      </c>
      <c r="B759" s="46">
        <v>45956</v>
      </c>
      <c r="C759" s="166">
        <v>13.617730802430899</v>
      </c>
      <c r="D759" s="166">
        <v>43.333737750551208</v>
      </c>
      <c r="E759" s="166">
        <f t="shared" si="53"/>
        <v>13.617730802430899</v>
      </c>
      <c r="F759" s="188" t="str">
        <f t="shared" si="50"/>
        <v/>
      </c>
      <c r="H759" t="str">
        <f t="shared" si="52"/>
        <v/>
      </c>
      <c r="I759" s="188" t="str">
        <f t="shared" si="54"/>
        <v/>
      </c>
    </row>
    <row r="760" spans="1:9">
      <c r="A760">
        <v>757</v>
      </c>
      <c r="B760" s="46">
        <v>45957</v>
      </c>
      <c r="C760" s="166">
        <v>33.994730802430901</v>
      </c>
      <c r="D760" s="166">
        <v>43.333737750551208</v>
      </c>
      <c r="E760" s="166">
        <f t="shared" si="53"/>
        <v>33.994730802430901</v>
      </c>
      <c r="F760" s="188" t="str">
        <f t="shared" si="50"/>
        <v/>
      </c>
      <c r="H760" t="str">
        <f t="shared" si="52"/>
        <v/>
      </c>
      <c r="I760" s="188" t="str">
        <f t="shared" si="54"/>
        <v/>
      </c>
    </row>
    <row r="761" spans="1:9">
      <c r="A761">
        <v>758</v>
      </c>
      <c r="B761" s="46">
        <v>45958</v>
      </c>
      <c r="C761" s="166">
        <v>34.509230802430899</v>
      </c>
      <c r="D761" s="166">
        <v>43.333737750551208</v>
      </c>
      <c r="E761" s="166">
        <f t="shared" si="53"/>
        <v>34.509230802430899</v>
      </c>
      <c r="F761" s="188" t="str">
        <f t="shared" si="50"/>
        <v/>
      </c>
      <c r="H761" t="str">
        <f t="shared" si="52"/>
        <v/>
      </c>
      <c r="I761" s="188" t="str">
        <f t="shared" si="54"/>
        <v/>
      </c>
    </row>
    <row r="762" spans="1:9">
      <c r="A762">
        <v>759</v>
      </c>
      <c r="B762" s="46">
        <v>45959</v>
      </c>
      <c r="C762" s="166">
        <v>43.297759148791698</v>
      </c>
      <c r="D762" s="166">
        <v>43.333737750551208</v>
      </c>
      <c r="E762" s="166">
        <f t="shared" ref="E762:E763" si="55">IF(C762&lt;D762,C762,D762)</f>
        <v>43.297759148791698</v>
      </c>
      <c r="F762" s="188" t="str">
        <f t="shared" si="50"/>
        <v/>
      </c>
      <c r="H762" t="str">
        <f t="shared" si="52"/>
        <v/>
      </c>
      <c r="I762" s="188" t="str">
        <f t="shared" si="54"/>
        <v/>
      </c>
    </row>
    <row r="763" spans="1:9">
      <c r="A763">
        <v>760</v>
      </c>
      <c r="B763" s="46">
        <v>45960</v>
      </c>
      <c r="C763" s="166">
        <v>34.372259148791699</v>
      </c>
      <c r="D763" s="166">
        <v>43.333737750551208</v>
      </c>
      <c r="E763" s="166">
        <f t="shared" si="55"/>
        <v>34.372259148791699</v>
      </c>
      <c r="F763" s="188" t="str">
        <f t="shared" si="50"/>
        <v/>
      </c>
      <c r="H763" t="str">
        <f t="shared" si="52"/>
        <v/>
      </c>
      <c r="I763" s="188" t="str">
        <f t="shared" si="54"/>
        <v/>
      </c>
    </row>
    <row r="764" spans="1:9">
      <c r="A764">
        <v>761</v>
      </c>
      <c r="B764" s="46">
        <v>45961</v>
      </c>
      <c r="C764" s="166">
        <v>20.435559148791697</v>
      </c>
      <c r="D764" s="166">
        <v>43.333737750551208</v>
      </c>
      <c r="E764" s="166">
        <f t="shared" ref="E764" si="56">IF(C764&lt;D764,C764,D764)</f>
        <v>20.435559148791697</v>
      </c>
      <c r="F764" s="188" t="str">
        <f t="shared" si="50"/>
        <v/>
      </c>
      <c r="H764" t="str">
        <f t="shared" si="52"/>
        <v/>
      </c>
      <c r="I764" s="188" t="str">
        <f t="shared" si="54"/>
        <v/>
      </c>
    </row>
    <row r="765" spans="1:9">
      <c r="B765" s="46"/>
      <c r="C765" s="166"/>
      <c r="D765" s="166"/>
      <c r="E765" s="166"/>
    </row>
    <row r="766" spans="1:9">
      <c r="B766" s="46"/>
      <c r="C766" s="166"/>
      <c r="D766" s="166"/>
      <c r="E766" s="166"/>
    </row>
    <row r="767" spans="1:9">
      <c r="B767" s="46"/>
      <c r="C767" s="166"/>
      <c r="D767" s="166"/>
      <c r="E767" s="166"/>
    </row>
    <row r="768" spans="1:9">
      <c r="B768" s="46"/>
      <c r="C768" s="166"/>
      <c r="D768" s="166"/>
      <c r="E768" s="166"/>
    </row>
    <row r="769" spans="2:5">
      <c r="B769" s="46"/>
      <c r="C769" s="166"/>
      <c r="D769" s="166"/>
      <c r="E769" s="166"/>
    </row>
    <row r="770" spans="2:5">
      <c r="B770" s="46"/>
      <c r="C770" s="166"/>
      <c r="D770" s="166"/>
      <c r="E770" s="166"/>
    </row>
    <row r="771" spans="2:5">
      <c r="B771" s="46"/>
      <c r="C771" s="166"/>
      <c r="D771" s="166"/>
      <c r="E771" s="166"/>
    </row>
    <row r="772" spans="2:5">
      <c r="B772" s="46"/>
      <c r="C772" s="166"/>
      <c r="D772" s="166"/>
      <c r="E772" s="166"/>
    </row>
    <row r="773" spans="2:5">
      <c r="B773" s="46"/>
      <c r="C773" s="166"/>
      <c r="D773" s="166"/>
      <c r="E773" s="166"/>
    </row>
    <row r="774" spans="2:5">
      <c r="B774" s="46"/>
      <c r="C774" s="166"/>
      <c r="D774" s="166"/>
      <c r="E774" s="166"/>
    </row>
    <row r="775" spans="2:5">
      <c r="B775" s="46"/>
      <c r="C775" s="166"/>
      <c r="D775" s="166"/>
      <c r="E775" s="166"/>
    </row>
    <row r="776" spans="2:5">
      <c r="B776" s="46"/>
      <c r="C776" s="166"/>
      <c r="D776" s="166"/>
      <c r="E776" s="166"/>
    </row>
    <row r="777" spans="2:5">
      <c r="B777" s="46"/>
      <c r="C777" s="166"/>
      <c r="D777" s="166"/>
      <c r="E777" s="166"/>
    </row>
    <row r="778" spans="2:5">
      <c r="B778" s="46"/>
      <c r="C778" s="166"/>
      <c r="D778" s="166"/>
      <c r="E778" s="166"/>
    </row>
    <row r="779" spans="2:5">
      <c r="B779" s="46"/>
      <c r="C779" s="166"/>
      <c r="D779" s="166"/>
      <c r="E779" s="166"/>
    </row>
    <row r="780" spans="2:5">
      <c r="B780" s="46"/>
      <c r="C780" s="166"/>
      <c r="D780" s="166"/>
      <c r="E780" s="166"/>
    </row>
    <row r="781" spans="2:5">
      <c r="B781" s="46"/>
      <c r="C781" s="166"/>
      <c r="D781" s="166"/>
      <c r="E781" s="166"/>
    </row>
    <row r="782" spans="2:5">
      <c r="B782" s="46"/>
      <c r="C782" s="166"/>
      <c r="D782" s="166"/>
      <c r="E782" s="166"/>
    </row>
    <row r="783" spans="2:5">
      <c r="B783" s="46"/>
      <c r="C783" s="166"/>
      <c r="D783" s="166"/>
      <c r="E783" s="166"/>
    </row>
    <row r="784" spans="2:5">
      <c r="B784" s="46"/>
      <c r="C784" s="166"/>
      <c r="D784" s="166"/>
      <c r="E784" s="166"/>
    </row>
    <row r="785" spans="2:5">
      <c r="B785" s="46"/>
      <c r="C785" s="166"/>
      <c r="D785" s="166"/>
      <c r="E785" s="166"/>
    </row>
    <row r="786" spans="2:5">
      <c r="B786" s="46"/>
      <c r="C786" s="166"/>
      <c r="D786" s="166"/>
      <c r="E786" s="166"/>
    </row>
    <row r="787" spans="2:5">
      <c r="B787" s="46"/>
      <c r="C787" s="166"/>
      <c r="D787" s="166"/>
      <c r="E787" s="166"/>
    </row>
    <row r="788" spans="2:5">
      <c r="B788" s="46"/>
      <c r="C788" s="166"/>
      <c r="D788" s="166"/>
      <c r="E788" s="166"/>
    </row>
    <row r="789" spans="2:5">
      <c r="B789" s="46"/>
      <c r="C789" s="166"/>
      <c r="D789" s="166"/>
      <c r="E789" s="166"/>
    </row>
    <row r="790" spans="2:5">
      <c r="B790" s="46"/>
      <c r="C790" s="166"/>
      <c r="D790" s="166"/>
      <c r="E790" s="166"/>
    </row>
    <row r="791" spans="2:5">
      <c r="B791" s="46"/>
      <c r="C791" s="166"/>
      <c r="D791" s="166"/>
      <c r="E791" s="166"/>
    </row>
    <row r="792" spans="2:5">
      <c r="B792" s="46"/>
      <c r="C792" s="166"/>
      <c r="D792" s="166"/>
      <c r="E792" s="166"/>
    </row>
    <row r="793" spans="2:5">
      <c r="B793" s="46"/>
      <c r="C793" s="166"/>
      <c r="D793" s="166"/>
      <c r="E793" s="166"/>
    </row>
    <row r="794" spans="2:5">
      <c r="B794" s="46"/>
      <c r="C794" s="166"/>
      <c r="D794" s="166"/>
      <c r="E794" s="166"/>
    </row>
    <row r="795" spans="2:5">
      <c r="B795" s="46"/>
      <c r="C795" s="166"/>
      <c r="D795" s="166"/>
      <c r="E795" s="166"/>
    </row>
    <row r="796" spans="2:5">
      <c r="B796" s="46"/>
      <c r="C796" s="166"/>
      <c r="D796" s="166"/>
      <c r="E796" s="166"/>
    </row>
    <row r="797" spans="2:5">
      <c r="B797" s="46"/>
      <c r="C797" s="166"/>
      <c r="D797" s="166"/>
      <c r="E797" s="166"/>
    </row>
    <row r="798" spans="2:5">
      <c r="B798" s="46"/>
      <c r="C798" s="166"/>
      <c r="D798" s="166"/>
      <c r="E798" s="166"/>
    </row>
    <row r="799" spans="2:5">
      <c r="B799" s="46"/>
      <c r="C799" s="166"/>
      <c r="D799" s="166"/>
      <c r="E799" s="166"/>
    </row>
    <row r="800" spans="2:5">
      <c r="B800" s="46"/>
      <c r="C800" s="166"/>
      <c r="D800" s="166"/>
      <c r="E800" s="166"/>
    </row>
    <row r="801" spans="2:5">
      <c r="B801" s="46"/>
      <c r="C801" s="166"/>
      <c r="D801" s="166"/>
      <c r="E801" s="166"/>
    </row>
    <row r="802" spans="2:5">
      <c r="B802" s="46"/>
      <c r="C802" s="166"/>
      <c r="D802" s="166"/>
      <c r="E802" s="166"/>
    </row>
    <row r="803" spans="2:5">
      <c r="B803" s="46"/>
      <c r="C803" s="166"/>
      <c r="D803" s="166"/>
      <c r="E803" s="166"/>
    </row>
    <row r="804" spans="2:5">
      <c r="B804" s="46"/>
      <c r="C804" s="166"/>
      <c r="D804" s="166"/>
      <c r="E804" s="166"/>
    </row>
    <row r="805" spans="2:5">
      <c r="B805" s="46"/>
      <c r="C805" s="166"/>
      <c r="D805" s="166"/>
      <c r="E805" s="166"/>
    </row>
    <row r="806" spans="2:5">
      <c r="B806" s="46"/>
      <c r="C806" s="166"/>
      <c r="D806" s="166"/>
      <c r="E806" s="166"/>
    </row>
    <row r="807" spans="2:5">
      <c r="B807" s="46"/>
      <c r="C807" s="166"/>
      <c r="D807" s="166"/>
      <c r="E807" s="166"/>
    </row>
    <row r="808" spans="2:5">
      <c r="B808" s="46"/>
      <c r="C808" s="166"/>
      <c r="D808" s="166"/>
      <c r="E808" s="166"/>
    </row>
    <row r="809" spans="2:5">
      <c r="B809" s="46"/>
      <c r="C809" s="166"/>
      <c r="D809" s="166"/>
      <c r="E809" s="166"/>
    </row>
    <row r="810" spans="2:5">
      <c r="B810" s="46"/>
      <c r="C810" s="166"/>
      <c r="D810" s="166"/>
      <c r="E810" s="166"/>
    </row>
    <row r="811" spans="2:5">
      <c r="B811" s="46"/>
      <c r="C811" s="166"/>
      <c r="D811" s="166"/>
      <c r="E811" s="166"/>
    </row>
    <row r="812" spans="2:5">
      <c r="B812" s="46"/>
      <c r="C812" s="166"/>
      <c r="D812" s="166"/>
      <c r="E812" s="166"/>
    </row>
    <row r="813" spans="2:5">
      <c r="B813" s="46"/>
      <c r="C813" s="166"/>
      <c r="D813" s="166"/>
      <c r="E813" s="166"/>
    </row>
    <row r="814" spans="2:5">
      <c r="B814" s="46"/>
      <c r="C814" s="166"/>
      <c r="D814" s="166"/>
      <c r="E814" s="166"/>
    </row>
    <row r="815" spans="2:5">
      <c r="B815" s="46"/>
      <c r="C815" s="166"/>
      <c r="D815" s="166"/>
      <c r="E815" s="166"/>
    </row>
    <row r="816" spans="2:5">
      <c r="B816" s="46"/>
      <c r="C816" s="166"/>
      <c r="D816" s="166"/>
      <c r="E816" s="166"/>
    </row>
    <row r="817" spans="2:5">
      <c r="B817" s="46"/>
      <c r="C817" s="166"/>
      <c r="D817" s="166"/>
      <c r="E817" s="166"/>
    </row>
    <row r="818" spans="2:5">
      <c r="B818" s="46"/>
      <c r="C818" s="166"/>
      <c r="D818" s="166"/>
      <c r="E818" s="166"/>
    </row>
    <row r="819" spans="2:5">
      <c r="B819" s="46"/>
      <c r="C819" s="166"/>
      <c r="D819" s="166"/>
      <c r="E819" s="166"/>
    </row>
    <row r="820" spans="2:5">
      <c r="B820" s="46"/>
      <c r="C820" s="166"/>
      <c r="D820" s="166"/>
      <c r="E820" s="166"/>
    </row>
    <row r="821" spans="2:5">
      <c r="B821" s="46"/>
      <c r="C821" s="166"/>
      <c r="D821" s="166"/>
      <c r="E821" s="166"/>
    </row>
    <row r="822" spans="2:5">
      <c r="B822" s="46"/>
      <c r="C822" s="166"/>
      <c r="D822" s="166"/>
      <c r="E822" s="166"/>
    </row>
    <row r="823" spans="2:5">
      <c r="B823" s="46"/>
      <c r="C823" s="166"/>
      <c r="D823" s="166"/>
      <c r="E823" s="166"/>
    </row>
    <row r="824" spans="2:5">
      <c r="B824" s="46"/>
      <c r="C824" s="166"/>
      <c r="D824" s="166"/>
      <c r="E824" s="166"/>
    </row>
    <row r="825" spans="2:5">
      <c r="B825" s="46"/>
      <c r="C825" s="166"/>
      <c r="D825" s="166"/>
      <c r="E825" s="166"/>
    </row>
    <row r="826" spans="2:5">
      <c r="B826" s="46"/>
      <c r="C826" s="166"/>
      <c r="D826" s="166"/>
      <c r="E826" s="166"/>
    </row>
    <row r="827" spans="2:5">
      <c r="B827" s="46"/>
      <c r="C827" s="166"/>
      <c r="D827" s="166"/>
      <c r="E827" s="166"/>
    </row>
    <row r="828" spans="2:5">
      <c r="B828" s="46"/>
      <c r="C828" s="166"/>
      <c r="D828" s="166"/>
      <c r="E828" s="166"/>
    </row>
    <row r="829" spans="2:5">
      <c r="B829" s="46"/>
      <c r="C829" s="166"/>
      <c r="D829" s="166"/>
      <c r="E829" s="166"/>
    </row>
    <row r="830" spans="2:5">
      <c r="B830" s="46"/>
      <c r="C830" s="166"/>
      <c r="D830" s="166"/>
      <c r="E830" s="166"/>
    </row>
    <row r="831" spans="2:5">
      <c r="B831" s="46"/>
      <c r="C831" s="166"/>
      <c r="D831" s="166"/>
      <c r="E831" s="166"/>
    </row>
    <row r="832" spans="2:5">
      <c r="B832" s="46"/>
      <c r="C832" s="166"/>
      <c r="D832" s="166"/>
      <c r="E832" s="166"/>
    </row>
    <row r="833" spans="2:5">
      <c r="B833" s="46"/>
      <c r="C833" s="166"/>
      <c r="D833" s="166"/>
      <c r="E833" s="166"/>
    </row>
    <row r="834" spans="2:5">
      <c r="B834" s="46"/>
      <c r="C834" s="166"/>
      <c r="D834" s="166"/>
      <c r="E834" s="166"/>
    </row>
    <row r="835" spans="2:5">
      <c r="B835" s="46"/>
      <c r="C835" s="166"/>
      <c r="D835" s="166"/>
      <c r="E835" s="166"/>
    </row>
    <row r="836" spans="2:5">
      <c r="B836" s="46"/>
      <c r="C836" s="166"/>
      <c r="D836" s="166"/>
      <c r="E836" s="166"/>
    </row>
    <row r="837" spans="2:5">
      <c r="B837" s="46"/>
      <c r="C837" s="166"/>
      <c r="D837" s="166"/>
      <c r="E837" s="166"/>
    </row>
    <row r="838" spans="2:5">
      <c r="B838" s="46"/>
      <c r="C838" s="166"/>
      <c r="D838" s="166"/>
      <c r="E838" s="166"/>
    </row>
    <row r="839" spans="2:5">
      <c r="B839" s="46"/>
      <c r="C839" s="166"/>
      <c r="D839" s="166"/>
      <c r="E839" s="166"/>
    </row>
    <row r="840" spans="2:5">
      <c r="B840" s="46"/>
      <c r="C840" s="166"/>
      <c r="D840" s="166"/>
      <c r="E840" s="166"/>
    </row>
    <row r="841" spans="2:5">
      <c r="B841" s="46"/>
      <c r="C841" s="166"/>
      <c r="D841" s="166"/>
      <c r="E841" s="166"/>
    </row>
    <row r="842" spans="2:5">
      <c r="B842" s="46"/>
      <c r="C842" s="166"/>
      <c r="D842" s="166"/>
      <c r="E842" s="166"/>
    </row>
    <row r="843" spans="2:5">
      <c r="B843" s="46"/>
      <c r="C843" s="166"/>
      <c r="D843" s="166"/>
      <c r="E843" s="166"/>
    </row>
    <row r="844" spans="2:5">
      <c r="B844" s="46"/>
      <c r="C844" s="166"/>
      <c r="D844" s="166"/>
      <c r="E844" s="166"/>
    </row>
    <row r="845" spans="2:5">
      <c r="B845" s="46"/>
      <c r="C845" s="166"/>
      <c r="D845" s="166"/>
      <c r="E845" s="166"/>
    </row>
    <row r="846" spans="2:5">
      <c r="B846" s="46"/>
      <c r="C846" s="166"/>
      <c r="D846" s="166"/>
      <c r="E846" s="166"/>
    </row>
    <row r="847" spans="2:5">
      <c r="B847" s="46"/>
      <c r="C847" s="166"/>
      <c r="D847" s="166"/>
      <c r="E847" s="166"/>
    </row>
    <row r="848" spans="2:5">
      <c r="B848" s="46"/>
      <c r="C848" s="166"/>
      <c r="D848" s="166"/>
      <c r="E848" s="166"/>
    </row>
    <row r="849" spans="2:5">
      <c r="B849" s="46"/>
      <c r="C849" s="166"/>
      <c r="D849" s="166"/>
      <c r="E849" s="166"/>
    </row>
    <row r="850" spans="2:5">
      <c r="B850" s="46"/>
      <c r="C850" s="166"/>
      <c r="D850" s="166"/>
      <c r="E850" s="166"/>
    </row>
    <row r="851" spans="2:5">
      <c r="B851" s="46"/>
      <c r="C851" s="166"/>
      <c r="D851" s="166"/>
      <c r="E851" s="166"/>
    </row>
    <row r="852" spans="2:5">
      <c r="B852" s="46"/>
      <c r="C852" s="166"/>
      <c r="D852" s="166"/>
      <c r="E852" s="166"/>
    </row>
    <row r="853" spans="2:5">
      <c r="B853" s="46"/>
      <c r="C853" s="166"/>
      <c r="D853" s="166"/>
      <c r="E853" s="166"/>
    </row>
    <row r="854" spans="2:5">
      <c r="B854" s="46"/>
      <c r="C854" s="166"/>
      <c r="D854" s="166"/>
      <c r="E854" s="166"/>
    </row>
    <row r="855" spans="2:5">
      <c r="B855" s="46"/>
      <c r="C855" s="166"/>
      <c r="D855" s="166"/>
      <c r="E855" s="166"/>
    </row>
    <row r="856" spans="2:5">
      <c r="B856" s="46"/>
      <c r="C856" s="166"/>
      <c r="D856" s="166"/>
      <c r="E856" s="166"/>
    </row>
    <row r="857" spans="2:5">
      <c r="B857" s="46"/>
      <c r="C857" s="166"/>
      <c r="D857" s="166"/>
      <c r="E857" s="166"/>
    </row>
    <row r="858" spans="2:5">
      <c r="B858" s="46"/>
      <c r="C858" s="166"/>
      <c r="D858" s="166"/>
      <c r="E858" s="166"/>
    </row>
    <row r="859" spans="2:5">
      <c r="B859" s="46"/>
      <c r="C859" s="166"/>
      <c r="D859" s="166"/>
      <c r="E859" s="166"/>
    </row>
    <row r="860" spans="2:5">
      <c r="B860" s="46"/>
      <c r="C860" s="166"/>
      <c r="D860" s="166"/>
      <c r="E860" s="166"/>
    </row>
    <row r="861" spans="2:5">
      <c r="B861" s="46"/>
      <c r="C861" s="166"/>
      <c r="D861" s="166"/>
      <c r="E861" s="166"/>
    </row>
    <row r="862" spans="2:5">
      <c r="B862" s="46"/>
      <c r="C862" s="166"/>
      <c r="D862" s="166"/>
      <c r="E862" s="166"/>
    </row>
    <row r="863" spans="2:5">
      <c r="B863" s="46"/>
      <c r="C863" s="166"/>
      <c r="D863" s="166"/>
      <c r="E863" s="166"/>
    </row>
    <row r="864" spans="2:5">
      <c r="B864" s="46"/>
      <c r="C864" s="166"/>
      <c r="D864" s="166"/>
      <c r="E864" s="166"/>
    </row>
    <row r="865" spans="2:5">
      <c r="B865" s="46"/>
      <c r="C865" s="166"/>
      <c r="D865" s="166"/>
      <c r="E865" s="166"/>
    </row>
    <row r="866" spans="2:5">
      <c r="B866" s="46"/>
      <c r="C866" s="166"/>
      <c r="D866" s="166"/>
      <c r="E866" s="166"/>
    </row>
    <row r="867" spans="2:5">
      <c r="B867" s="46"/>
      <c r="C867" s="166"/>
      <c r="D867" s="166"/>
      <c r="E867" s="166"/>
    </row>
    <row r="868" spans="2:5">
      <c r="B868" s="46"/>
      <c r="C868" s="166"/>
      <c r="D868" s="166"/>
      <c r="E868" s="166"/>
    </row>
    <row r="869" spans="2:5">
      <c r="B869" s="46"/>
      <c r="C869" s="166"/>
      <c r="D869" s="166"/>
      <c r="E869" s="166"/>
    </row>
    <row r="870" spans="2:5">
      <c r="B870" s="46"/>
      <c r="C870" s="166"/>
      <c r="D870" s="166"/>
      <c r="E870" s="166"/>
    </row>
    <row r="871" spans="2:5">
      <c r="B871" s="46"/>
      <c r="C871" s="166"/>
      <c r="D871" s="166"/>
      <c r="E871" s="166"/>
    </row>
    <row r="872" spans="2:5">
      <c r="B872" s="46"/>
      <c r="C872" s="166"/>
      <c r="D872" s="166"/>
      <c r="E872" s="166"/>
    </row>
    <row r="873" spans="2:5">
      <c r="B873" s="46"/>
      <c r="C873" s="166"/>
      <c r="D873" s="166"/>
      <c r="E873" s="166"/>
    </row>
    <row r="874" spans="2:5">
      <c r="B874" s="46"/>
      <c r="C874" s="166"/>
      <c r="D874" s="166"/>
      <c r="E874" s="166"/>
    </row>
    <row r="875" spans="2:5">
      <c r="B875" s="46"/>
      <c r="C875" s="166"/>
      <c r="D875" s="166"/>
      <c r="E875" s="166"/>
    </row>
    <row r="876" spans="2:5">
      <c r="B876" s="46"/>
      <c r="C876" s="166"/>
      <c r="D876" s="166"/>
      <c r="E876" s="166"/>
    </row>
    <row r="877" spans="2:5">
      <c r="B877" s="46"/>
      <c r="C877" s="166"/>
      <c r="D877" s="166"/>
      <c r="E877" s="166"/>
    </row>
    <row r="878" spans="2:5">
      <c r="B878" s="46"/>
      <c r="C878" s="166"/>
      <c r="D878" s="166"/>
      <c r="E878" s="166"/>
    </row>
    <row r="879" spans="2:5">
      <c r="B879" s="46"/>
      <c r="C879" s="166"/>
      <c r="D879" s="166"/>
      <c r="E879" s="166"/>
    </row>
    <row r="880" spans="2:5">
      <c r="B880" s="46"/>
      <c r="C880" s="166"/>
      <c r="D880" s="166"/>
      <c r="E880" s="166"/>
    </row>
    <row r="881" spans="2:5">
      <c r="B881" s="46"/>
      <c r="C881" s="166"/>
      <c r="D881" s="166"/>
      <c r="E881" s="166"/>
    </row>
    <row r="882" spans="2:5">
      <c r="B882" s="46"/>
      <c r="C882" s="166"/>
      <c r="D882" s="166"/>
      <c r="E882" s="166"/>
    </row>
    <row r="883" spans="2:5">
      <c r="B883" s="46"/>
      <c r="C883" s="166"/>
      <c r="D883" s="166"/>
      <c r="E883" s="166"/>
    </row>
    <row r="884" spans="2:5">
      <c r="B884" s="46"/>
      <c r="C884" s="166"/>
      <c r="D884" s="166"/>
      <c r="E884" s="166"/>
    </row>
    <row r="885" spans="2:5">
      <c r="B885" s="46"/>
      <c r="C885" s="166"/>
      <c r="D885" s="166"/>
      <c r="E885" s="166"/>
    </row>
    <row r="886" spans="2:5">
      <c r="B886" s="46"/>
      <c r="C886" s="166"/>
      <c r="D886" s="166"/>
      <c r="E886" s="166"/>
    </row>
    <row r="887" spans="2:5">
      <c r="B887" s="46"/>
      <c r="C887" s="166"/>
      <c r="D887" s="166"/>
      <c r="E887" s="166"/>
    </row>
    <row r="888" spans="2:5">
      <c r="B888" s="46"/>
      <c r="C888" s="166"/>
      <c r="D888" s="166"/>
      <c r="E888" s="166"/>
    </row>
    <row r="889" spans="2:5">
      <c r="B889" s="46"/>
      <c r="C889" s="166"/>
      <c r="D889" s="166"/>
      <c r="E889" s="166"/>
    </row>
    <row r="890" spans="2:5">
      <c r="B890" s="46"/>
      <c r="C890" s="166"/>
      <c r="D890" s="166"/>
      <c r="E890" s="166"/>
    </row>
    <row r="891" spans="2:5">
      <c r="B891" s="46"/>
      <c r="C891" s="166"/>
      <c r="D891" s="166"/>
      <c r="E891" s="166"/>
    </row>
    <row r="892" spans="2:5">
      <c r="B892" s="46"/>
      <c r="C892" s="166"/>
      <c r="D892" s="166"/>
      <c r="E892" s="166"/>
    </row>
    <row r="893" spans="2:5">
      <c r="B893" s="46"/>
      <c r="C893" s="166"/>
      <c r="D893" s="166"/>
      <c r="E893" s="166"/>
    </row>
    <row r="894" spans="2:5">
      <c r="B894" s="46"/>
      <c r="C894" s="166"/>
      <c r="D894" s="166"/>
      <c r="E894" s="166"/>
    </row>
    <row r="895" spans="2:5">
      <c r="B895" s="46"/>
      <c r="C895" s="166"/>
      <c r="D895" s="166"/>
      <c r="E895" s="166"/>
    </row>
    <row r="896" spans="2:5">
      <c r="B896" s="46"/>
      <c r="C896" s="166"/>
      <c r="D896" s="166"/>
      <c r="E896" s="166"/>
    </row>
    <row r="897" spans="2:5">
      <c r="B897" s="46"/>
      <c r="C897" s="166"/>
      <c r="D897" s="166"/>
      <c r="E897" s="166"/>
    </row>
    <row r="898" spans="2:5">
      <c r="B898" s="46"/>
      <c r="C898" s="166"/>
      <c r="D898" s="166"/>
      <c r="E898" s="166"/>
    </row>
    <row r="899" spans="2:5">
      <c r="B899" s="46"/>
      <c r="C899" s="166"/>
      <c r="D899" s="166"/>
      <c r="E899" s="166"/>
    </row>
    <row r="900" spans="2:5">
      <c r="B900" s="46"/>
      <c r="C900" s="166"/>
      <c r="D900" s="166"/>
      <c r="E900" s="166"/>
    </row>
    <row r="901" spans="2:5">
      <c r="B901" s="46"/>
      <c r="C901" s="166"/>
      <c r="D901" s="166"/>
      <c r="E901" s="166"/>
    </row>
    <row r="902" spans="2:5">
      <c r="B902" s="46"/>
      <c r="C902" s="166"/>
      <c r="D902" s="166"/>
      <c r="E902" s="166"/>
    </row>
    <row r="903" spans="2:5">
      <c r="B903" s="46"/>
      <c r="C903" s="166"/>
      <c r="D903" s="166"/>
      <c r="E903" s="166"/>
    </row>
    <row r="904" spans="2:5">
      <c r="B904" s="46"/>
      <c r="C904" s="166"/>
      <c r="D904" s="166"/>
      <c r="E904" s="166"/>
    </row>
    <row r="905" spans="2:5">
      <c r="B905" s="46"/>
      <c r="C905" s="166"/>
      <c r="D905" s="166"/>
      <c r="E905" s="166"/>
    </row>
    <row r="906" spans="2:5">
      <c r="B906" s="46"/>
      <c r="C906" s="166"/>
      <c r="D906" s="166"/>
      <c r="E906" s="166"/>
    </row>
    <row r="907" spans="2:5">
      <c r="B907" s="46"/>
      <c r="C907" s="166"/>
      <c r="D907" s="166"/>
      <c r="E907" s="166"/>
    </row>
    <row r="908" spans="2:5">
      <c r="B908" s="46"/>
      <c r="C908" s="166"/>
      <c r="D908" s="166"/>
      <c r="E908" s="166"/>
    </row>
    <row r="909" spans="2:5">
      <c r="B909" s="46"/>
      <c r="C909" s="166"/>
      <c r="D909" s="166"/>
      <c r="E909" s="166"/>
    </row>
    <row r="910" spans="2:5">
      <c r="B910" s="46"/>
      <c r="C910" s="166"/>
      <c r="D910" s="166"/>
      <c r="E910" s="166"/>
    </row>
    <row r="911" spans="2:5">
      <c r="B911" s="46"/>
      <c r="C911" s="166"/>
      <c r="D911" s="166"/>
      <c r="E911" s="166"/>
    </row>
    <row r="912" spans="2:5">
      <c r="B912" s="46"/>
      <c r="C912" s="166"/>
      <c r="D912" s="166"/>
      <c r="E912" s="166"/>
    </row>
    <row r="913" spans="2:5">
      <c r="B913" s="46"/>
      <c r="C913" s="166"/>
      <c r="D913" s="166"/>
      <c r="E913" s="166"/>
    </row>
    <row r="914" spans="2:5">
      <c r="B914" s="46"/>
      <c r="C914" s="166"/>
      <c r="D914" s="166"/>
      <c r="E914" s="166"/>
    </row>
    <row r="915" spans="2:5">
      <c r="B915" s="46"/>
      <c r="C915" s="166"/>
      <c r="D915" s="166"/>
      <c r="E915" s="166"/>
    </row>
    <row r="916" spans="2:5">
      <c r="B916" s="46"/>
      <c r="C916" s="166"/>
      <c r="D916" s="166"/>
      <c r="E916" s="166"/>
    </row>
    <row r="917" spans="2:5">
      <c r="B917" s="46"/>
      <c r="C917" s="166"/>
      <c r="D917" s="166"/>
      <c r="E917" s="166"/>
    </row>
    <row r="918" spans="2:5">
      <c r="B918" s="46"/>
      <c r="C918" s="166"/>
      <c r="D918" s="166"/>
      <c r="E918" s="166"/>
    </row>
    <row r="919" spans="2:5">
      <c r="B919" s="46"/>
      <c r="C919" s="166"/>
      <c r="D919" s="166"/>
      <c r="E919" s="166"/>
    </row>
    <row r="920" spans="2:5">
      <c r="B920" s="46"/>
      <c r="C920" s="166"/>
      <c r="D920" s="166"/>
      <c r="E920" s="166"/>
    </row>
    <row r="921" spans="2:5">
      <c r="B921" s="46"/>
      <c r="C921" s="166"/>
      <c r="D921" s="166"/>
      <c r="E921" s="166"/>
    </row>
    <row r="922" spans="2:5">
      <c r="B922" s="46"/>
      <c r="C922" s="166"/>
      <c r="D922" s="166"/>
      <c r="E922" s="166"/>
    </row>
    <row r="923" spans="2:5">
      <c r="B923" s="46"/>
      <c r="C923" s="166"/>
      <c r="D923" s="166"/>
      <c r="E923" s="166"/>
    </row>
    <row r="924" spans="2:5">
      <c r="B924" s="46"/>
      <c r="C924" s="166"/>
      <c r="D924" s="166"/>
      <c r="E924" s="166"/>
    </row>
    <row r="925" spans="2:5">
      <c r="B925" s="46"/>
      <c r="C925" s="166"/>
      <c r="D925" s="166"/>
      <c r="E925" s="166"/>
    </row>
    <row r="926" spans="2:5">
      <c r="B926" s="46"/>
      <c r="C926" s="166"/>
      <c r="D926" s="166"/>
      <c r="E926" s="166"/>
    </row>
    <row r="927" spans="2:5">
      <c r="B927" s="46"/>
      <c r="C927" s="166"/>
      <c r="D927" s="166"/>
      <c r="E927" s="166"/>
    </row>
    <row r="928" spans="2:5">
      <c r="B928" s="46"/>
      <c r="C928" s="166"/>
      <c r="D928" s="166"/>
      <c r="E928" s="166"/>
    </row>
    <row r="929" spans="2:5">
      <c r="B929" s="46"/>
      <c r="C929" s="166"/>
      <c r="D929" s="166"/>
      <c r="E929" s="166"/>
    </row>
    <row r="930" spans="2:5">
      <c r="B930" s="46"/>
      <c r="C930" s="166"/>
      <c r="D930" s="166"/>
      <c r="E930" s="166"/>
    </row>
    <row r="931" spans="2:5">
      <c r="B931" s="46"/>
      <c r="C931" s="166"/>
      <c r="D931" s="166"/>
      <c r="E931" s="166"/>
    </row>
    <row r="932" spans="2:5">
      <c r="B932" s="46"/>
      <c r="C932" s="166"/>
      <c r="D932" s="166"/>
      <c r="E932" s="166"/>
    </row>
    <row r="933" spans="2:5">
      <c r="B933" s="46"/>
      <c r="C933" s="166"/>
      <c r="D933" s="166"/>
      <c r="E933" s="166"/>
    </row>
    <row r="934" spans="2:5">
      <c r="B934" s="46"/>
      <c r="C934" s="166"/>
      <c r="D934" s="166"/>
      <c r="E934" s="166"/>
    </row>
    <row r="935" spans="2:5">
      <c r="B935" s="46"/>
      <c r="C935" s="166"/>
      <c r="D935" s="166"/>
      <c r="E935" s="166"/>
    </row>
    <row r="936" spans="2:5">
      <c r="B936" s="46"/>
      <c r="C936" s="166"/>
      <c r="D936" s="166"/>
      <c r="E936" s="166"/>
    </row>
    <row r="937" spans="2:5">
      <c r="B937" s="46"/>
      <c r="C937" s="166"/>
      <c r="D937" s="166"/>
      <c r="E937" s="166"/>
    </row>
    <row r="938" spans="2:5">
      <c r="B938" s="46"/>
      <c r="C938" s="166"/>
      <c r="D938" s="166"/>
      <c r="E938" s="166"/>
    </row>
    <row r="939" spans="2:5">
      <c r="B939" s="46"/>
      <c r="C939" s="166"/>
      <c r="D939" s="166"/>
      <c r="E939" s="166"/>
    </row>
    <row r="940" spans="2:5">
      <c r="B940" s="46"/>
      <c r="C940" s="166"/>
      <c r="D940" s="166"/>
      <c r="E940" s="166"/>
    </row>
    <row r="941" spans="2:5">
      <c r="B941" s="46"/>
      <c r="C941" s="166"/>
      <c r="D941" s="166"/>
      <c r="E941" s="166"/>
    </row>
    <row r="942" spans="2:5">
      <c r="B942" s="46"/>
      <c r="C942" s="166"/>
      <c r="D942" s="166"/>
      <c r="E942" s="166"/>
    </row>
    <row r="943" spans="2:5">
      <c r="B943" s="46"/>
      <c r="C943" s="166"/>
      <c r="D943" s="166"/>
      <c r="E943" s="166"/>
    </row>
    <row r="944" spans="2:5">
      <c r="B944" s="46"/>
      <c r="C944" s="166"/>
      <c r="D944" s="166"/>
      <c r="E944" s="166"/>
    </row>
    <row r="945" spans="2:5">
      <c r="B945" s="46"/>
      <c r="C945" s="166"/>
      <c r="D945" s="166"/>
      <c r="E945" s="166"/>
    </row>
    <row r="946" spans="2:5">
      <c r="B946" s="46"/>
      <c r="C946" s="166"/>
      <c r="D946" s="166"/>
      <c r="E946" s="166"/>
    </row>
    <row r="947" spans="2:5">
      <c r="B947" s="46"/>
      <c r="C947" s="166"/>
      <c r="D947" s="166"/>
      <c r="E947" s="166"/>
    </row>
    <row r="948" spans="2:5">
      <c r="B948" s="46"/>
      <c r="C948" s="166"/>
      <c r="D948" s="166"/>
      <c r="E948" s="166"/>
    </row>
    <row r="949" spans="2:5">
      <c r="B949" s="46"/>
      <c r="C949" s="166"/>
      <c r="D949" s="166"/>
      <c r="E949" s="166"/>
    </row>
    <row r="950" spans="2:5">
      <c r="B950" s="46"/>
      <c r="C950" s="166"/>
      <c r="D950" s="166"/>
      <c r="E950" s="166"/>
    </row>
    <row r="951" spans="2:5">
      <c r="B951" s="46"/>
      <c r="C951" s="166"/>
      <c r="D951" s="166"/>
      <c r="E951" s="166"/>
    </row>
    <row r="952" spans="2:5">
      <c r="B952" s="46"/>
      <c r="C952" s="166"/>
      <c r="D952" s="166"/>
      <c r="E952" s="166"/>
    </row>
    <row r="953" spans="2:5">
      <c r="B953" s="46"/>
      <c r="C953" s="166"/>
      <c r="D953" s="166"/>
      <c r="E953" s="166"/>
    </row>
    <row r="954" spans="2:5">
      <c r="B954" s="46"/>
      <c r="C954" s="166"/>
      <c r="D954" s="166"/>
      <c r="E954" s="166"/>
    </row>
    <row r="955" spans="2:5">
      <c r="B955" s="46"/>
      <c r="C955" s="166"/>
      <c r="D955" s="166"/>
      <c r="E955" s="166"/>
    </row>
    <row r="956" spans="2:5">
      <c r="B956" s="46"/>
      <c r="C956" s="166"/>
      <c r="D956" s="166"/>
      <c r="E956" s="166"/>
    </row>
    <row r="957" spans="2:5">
      <c r="B957" s="46"/>
      <c r="C957" s="166"/>
      <c r="D957" s="166"/>
      <c r="E957" s="166"/>
    </row>
    <row r="958" spans="2:5">
      <c r="B958" s="46"/>
      <c r="C958" s="166"/>
      <c r="D958" s="166"/>
      <c r="E958" s="166"/>
    </row>
    <row r="959" spans="2:5">
      <c r="B959" s="46"/>
      <c r="C959" s="166"/>
      <c r="D959" s="166"/>
      <c r="E959" s="166"/>
    </row>
    <row r="960" spans="2:5">
      <c r="B960" s="46"/>
      <c r="C960" s="166"/>
      <c r="D960" s="166"/>
      <c r="E960" s="166"/>
    </row>
    <row r="961" spans="2:5">
      <c r="B961" s="46"/>
      <c r="C961" s="166"/>
      <c r="D961" s="166"/>
      <c r="E961" s="166"/>
    </row>
    <row r="962" spans="2:5">
      <c r="B962" s="46"/>
      <c r="C962" s="166"/>
      <c r="D962" s="166"/>
      <c r="E962" s="166"/>
    </row>
    <row r="963" spans="2:5">
      <c r="B963" s="46"/>
      <c r="C963" s="166"/>
      <c r="D963" s="166"/>
      <c r="E963" s="166"/>
    </row>
    <row r="964" spans="2:5">
      <c r="B964" s="46"/>
      <c r="C964" s="166"/>
      <c r="D964" s="166"/>
      <c r="E964" s="166"/>
    </row>
    <row r="965" spans="2:5">
      <c r="B965" s="46"/>
      <c r="C965" s="166"/>
      <c r="D965" s="166"/>
      <c r="E965" s="166"/>
    </row>
    <row r="966" spans="2:5">
      <c r="B966" s="46"/>
      <c r="C966" s="166"/>
      <c r="D966" s="166"/>
      <c r="E966" s="166"/>
    </row>
    <row r="967" spans="2:5">
      <c r="B967" s="46"/>
      <c r="C967" s="166"/>
      <c r="D967" s="166"/>
      <c r="E967" s="166"/>
    </row>
    <row r="968" spans="2:5">
      <c r="B968" s="46"/>
      <c r="C968" s="166"/>
      <c r="D968" s="166"/>
      <c r="E968" s="166"/>
    </row>
    <row r="969" spans="2:5">
      <c r="B969" s="46"/>
      <c r="C969" s="166"/>
      <c r="D969" s="166"/>
      <c r="E969" s="166"/>
    </row>
    <row r="970" spans="2:5">
      <c r="B970" s="46"/>
      <c r="C970" s="166"/>
      <c r="D970" s="166"/>
      <c r="E970" s="166"/>
    </row>
    <row r="971" spans="2:5">
      <c r="B971" s="46"/>
      <c r="C971" s="166"/>
      <c r="D971" s="166"/>
      <c r="E971" s="166"/>
    </row>
    <row r="972" spans="2:5">
      <c r="B972" s="46"/>
      <c r="C972" s="166"/>
      <c r="D972" s="166"/>
      <c r="E972" s="166"/>
    </row>
    <row r="973" spans="2:5">
      <c r="B973" s="46"/>
      <c r="C973" s="166"/>
      <c r="D973" s="166"/>
      <c r="E973" s="166"/>
    </row>
    <row r="974" spans="2:5">
      <c r="B974" s="46"/>
      <c r="C974" s="166"/>
      <c r="D974" s="166"/>
      <c r="E974" s="166"/>
    </row>
    <row r="975" spans="2:5">
      <c r="B975" s="46"/>
      <c r="C975" s="166"/>
      <c r="D975" s="166"/>
      <c r="E975" s="166"/>
    </row>
    <row r="976" spans="2:5">
      <c r="B976" s="46"/>
      <c r="C976" s="166"/>
      <c r="D976" s="166"/>
      <c r="E976" s="166"/>
    </row>
    <row r="977" spans="2:5">
      <c r="B977" s="46"/>
      <c r="C977" s="166"/>
      <c r="D977" s="166"/>
      <c r="E977" s="166"/>
    </row>
    <row r="978" spans="2:5">
      <c r="B978" s="46"/>
      <c r="C978" s="166"/>
      <c r="D978" s="166"/>
      <c r="E978" s="166"/>
    </row>
    <row r="979" spans="2:5">
      <c r="B979" s="46"/>
      <c r="C979" s="166"/>
      <c r="D979" s="166"/>
      <c r="E979" s="166"/>
    </row>
    <row r="980" spans="2:5">
      <c r="B980" s="46"/>
      <c r="C980" s="166"/>
      <c r="D980" s="166"/>
      <c r="E980" s="166"/>
    </row>
    <row r="981" spans="2:5">
      <c r="B981" s="46"/>
      <c r="C981" s="166"/>
      <c r="D981" s="166"/>
      <c r="E981" s="166"/>
    </row>
    <row r="982" spans="2:5">
      <c r="B982" s="46"/>
      <c r="C982" s="166"/>
      <c r="D982" s="166"/>
      <c r="E982" s="166"/>
    </row>
    <row r="983" spans="2:5">
      <c r="B983" s="46"/>
      <c r="C983" s="166"/>
      <c r="D983" s="166"/>
      <c r="E983" s="166"/>
    </row>
    <row r="984" spans="2:5">
      <c r="B984" s="46"/>
      <c r="C984" s="166"/>
      <c r="D984" s="166"/>
      <c r="E984" s="166"/>
    </row>
    <row r="985" spans="2:5">
      <c r="B985" s="46"/>
      <c r="C985" s="166"/>
      <c r="D985" s="166"/>
      <c r="E985" s="166"/>
    </row>
    <row r="986" spans="2:5">
      <c r="B986" s="46"/>
      <c r="C986" s="166"/>
      <c r="D986" s="166"/>
      <c r="E986" s="166"/>
    </row>
    <row r="987" spans="2:5">
      <c r="B987" s="46"/>
      <c r="C987" s="166"/>
      <c r="D987" s="166"/>
      <c r="E987" s="166"/>
    </row>
    <row r="988" spans="2:5">
      <c r="B988" s="46"/>
      <c r="C988" s="166"/>
      <c r="D988" s="166"/>
      <c r="E988" s="166"/>
    </row>
    <row r="989" spans="2:5">
      <c r="B989" s="46"/>
      <c r="C989" s="166"/>
      <c r="D989" s="166"/>
      <c r="E989" s="166"/>
    </row>
    <row r="990" spans="2:5">
      <c r="B990" s="46"/>
      <c r="C990" s="166"/>
      <c r="D990" s="166"/>
      <c r="E990" s="166"/>
    </row>
    <row r="991" spans="2:5">
      <c r="B991" s="46"/>
      <c r="C991" s="166"/>
      <c r="D991" s="166"/>
      <c r="E991" s="166"/>
    </row>
    <row r="992" spans="2:5">
      <c r="B992" s="46"/>
      <c r="C992" s="166"/>
      <c r="D992" s="166"/>
      <c r="E992" s="166"/>
    </row>
    <row r="993" spans="2:5">
      <c r="B993" s="46"/>
      <c r="C993" s="166"/>
      <c r="D993" s="166"/>
      <c r="E993" s="166"/>
    </row>
    <row r="994" spans="2:5">
      <c r="B994" s="46"/>
      <c r="C994" s="166"/>
      <c r="D994" s="166"/>
      <c r="E994" s="166"/>
    </row>
    <row r="995" spans="2:5">
      <c r="B995" s="46"/>
      <c r="C995" s="166"/>
      <c r="D995" s="166"/>
      <c r="E995" s="166"/>
    </row>
    <row r="996" spans="2:5">
      <c r="B996" s="46"/>
      <c r="C996" s="166"/>
      <c r="D996" s="166"/>
      <c r="E996" s="166"/>
    </row>
    <row r="997" spans="2:5">
      <c r="B997" s="46"/>
      <c r="C997" s="166"/>
      <c r="D997" s="166"/>
      <c r="E997" s="166"/>
    </row>
    <row r="998" spans="2:5">
      <c r="B998" s="46"/>
      <c r="C998" s="166"/>
      <c r="D998" s="166"/>
      <c r="E998" s="166"/>
    </row>
    <row r="999" spans="2:5">
      <c r="B999" s="46"/>
      <c r="C999" s="166"/>
      <c r="D999" s="166"/>
      <c r="E999" s="166"/>
    </row>
    <row r="1000" spans="2:5">
      <c r="B1000" s="46"/>
      <c r="C1000" s="166"/>
      <c r="D1000" s="166"/>
      <c r="E1000" s="166"/>
    </row>
    <row r="1001" spans="2:5">
      <c r="B1001" s="46"/>
      <c r="C1001" s="166"/>
      <c r="D1001" s="166"/>
      <c r="E1001" s="166"/>
    </row>
    <row r="1002" spans="2:5">
      <c r="B1002" s="46"/>
      <c r="C1002" s="166"/>
      <c r="D1002" s="166"/>
      <c r="E1002" s="166"/>
    </row>
    <row r="1003" spans="2:5">
      <c r="B1003" s="46"/>
      <c r="C1003" s="166"/>
      <c r="D1003" s="166"/>
      <c r="E1003" s="166"/>
    </row>
    <row r="1004" spans="2:5">
      <c r="B1004" s="46"/>
      <c r="C1004" s="166"/>
      <c r="D1004" s="166"/>
      <c r="E1004" s="166"/>
    </row>
    <row r="1005" spans="2:5">
      <c r="B1005" s="46"/>
      <c r="C1005" s="166"/>
      <c r="D1005" s="166"/>
      <c r="E1005" s="166"/>
    </row>
    <row r="1006" spans="2:5">
      <c r="B1006" s="46"/>
      <c r="C1006" s="166"/>
      <c r="D1006" s="166"/>
      <c r="E1006" s="166"/>
    </row>
    <row r="1007" spans="2:5">
      <c r="B1007" s="46"/>
      <c r="C1007" s="166"/>
      <c r="D1007" s="166"/>
      <c r="E1007" s="166"/>
    </row>
    <row r="1008" spans="2:5">
      <c r="B1008" s="46"/>
      <c r="C1008" s="166"/>
      <c r="D1008" s="166"/>
      <c r="E1008" s="166"/>
    </row>
    <row r="1009" spans="2:5">
      <c r="B1009" s="46"/>
      <c r="C1009" s="166"/>
      <c r="D1009" s="166"/>
      <c r="E1009" s="166"/>
    </row>
    <row r="1010" spans="2:5">
      <c r="B1010" s="46"/>
      <c r="C1010" s="166"/>
      <c r="D1010" s="166"/>
      <c r="E1010" s="166"/>
    </row>
    <row r="1011" spans="2:5">
      <c r="B1011" s="46"/>
      <c r="C1011" s="166"/>
      <c r="D1011" s="166"/>
      <c r="E1011" s="166"/>
    </row>
    <row r="1012" spans="2:5">
      <c r="B1012" s="46"/>
      <c r="C1012" s="166"/>
      <c r="D1012" s="166"/>
      <c r="E1012" s="166"/>
    </row>
    <row r="1013" spans="2:5">
      <c r="B1013" s="46"/>
      <c r="C1013" s="166"/>
      <c r="D1013" s="166"/>
      <c r="E1013" s="166"/>
    </row>
    <row r="1014" spans="2:5">
      <c r="B1014" s="46"/>
      <c r="C1014" s="166"/>
      <c r="D1014" s="166"/>
      <c r="E1014" s="166"/>
    </row>
    <row r="1015" spans="2:5">
      <c r="B1015" s="46"/>
      <c r="C1015" s="166"/>
      <c r="D1015" s="166"/>
      <c r="E1015" s="166"/>
    </row>
    <row r="1016" spans="2:5">
      <c r="B1016" s="46"/>
      <c r="C1016" s="166"/>
      <c r="D1016" s="166"/>
      <c r="E1016" s="166"/>
    </row>
    <row r="1017" spans="2:5">
      <c r="B1017" s="46"/>
      <c r="C1017" s="166"/>
      <c r="D1017" s="166"/>
      <c r="E1017" s="166"/>
    </row>
    <row r="1018" spans="2:5">
      <c r="B1018" s="46"/>
      <c r="C1018" s="166"/>
      <c r="D1018" s="166"/>
      <c r="E1018" s="166"/>
    </row>
    <row r="1019" spans="2:5">
      <c r="B1019" s="46"/>
      <c r="C1019" s="166"/>
      <c r="D1019" s="166"/>
      <c r="E1019" s="166"/>
    </row>
    <row r="1020" spans="2:5">
      <c r="B1020" s="46"/>
      <c r="C1020" s="166"/>
      <c r="D1020" s="166"/>
      <c r="E1020" s="166"/>
    </row>
    <row r="1021" spans="2:5">
      <c r="B1021" s="46"/>
      <c r="C1021" s="166"/>
      <c r="D1021" s="166"/>
      <c r="E1021" s="166"/>
    </row>
    <row r="1022" spans="2:5">
      <c r="B1022" s="46"/>
      <c r="C1022" s="166"/>
      <c r="D1022" s="166"/>
      <c r="E1022" s="166"/>
    </row>
    <row r="1023" spans="2:5">
      <c r="B1023" s="46"/>
      <c r="C1023" s="166"/>
      <c r="D1023" s="166"/>
      <c r="E1023" s="166"/>
    </row>
    <row r="1024" spans="2:5">
      <c r="B1024" s="46"/>
      <c r="C1024" s="166"/>
      <c r="D1024" s="166"/>
      <c r="E1024" s="166"/>
    </row>
    <row r="1025" spans="2:5">
      <c r="B1025" s="46"/>
      <c r="C1025" s="166"/>
      <c r="D1025" s="166"/>
      <c r="E1025" s="166"/>
    </row>
    <row r="1026" spans="2:5">
      <c r="B1026" s="46"/>
      <c r="C1026" s="166"/>
      <c r="D1026" s="166"/>
      <c r="E1026" s="166"/>
    </row>
    <row r="1027" spans="2:5">
      <c r="B1027" s="46"/>
      <c r="C1027" s="166"/>
      <c r="D1027" s="166"/>
      <c r="E1027" s="166"/>
    </row>
    <row r="1028" spans="2:5">
      <c r="B1028" s="46"/>
      <c r="C1028" s="166"/>
      <c r="D1028" s="166"/>
      <c r="E1028" s="166"/>
    </row>
    <row r="1029" spans="2:5">
      <c r="B1029" s="46"/>
      <c r="C1029" s="166"/>
      <c r="D1029" s="166"/>
      <c r="E1029" s="166"/>
    </row>
    <row r="1030" spans="2:5">
      <c r="B1030" s="46"/>
      <c r="C1030" s="166"/>
      <c r="D1030" s="166"/>
      <c r="E1030" s="166"/>
    </row>
    <row r="1031" spans="2:5">
      <c r="B1031" s="46"/>
      <c r="C1031" s="166"/>
      <c r="D1031" s="166"/>
      <c r="E1031" s="166"/>
    </row>
    <row r="1032" spans="2:5">
      <c r="B1032" s="46"/>
      <c r="C1032" s="166"/>
      <c r="D1032" s="166"/>
      <c r="E1032" s="166"/>
    </row>
    <row r="1033" spans="2:5">
      <c r="B1033" s="46"/>
      <c r="C1033" s="166"/>
      <c r="D1033" s="166"/>
      <c r="E1033" s="166"/>
    </row>
    <row r="1034" spans="2:5">
      <c r="B1034" s="46"/>
      <c r="C1034" s="166"/>
      <c r="D1034" s="166"/>
      <c r="E1034" s="166"/>
    </row>
    <row r="1035" spans="2:5">
      <c r="B1035" s="46"/>
      <c r="C1035" s="166"/>
      <c r="D1035" s="166"/>
      <c r="E1035" s="166"/>
    </row>
    <row r="1036" spans="2:5">
      <c r="B1036" s="46"/>
      <c r="C1036" s="166"/>
      <c r="D1036" s="166"/>
      <c r="E1036" s="166"/>
    </row>
    <row r="1037" spans="2:5">
      <c r="B1037" s="46"/>
      <c r="C1037" s="166"/>
      <c r="D1037" s="166"/>
      <c r="E1037" s="166"/>
    </row>
    <row r="1038" spans="2:5">
      <c r="B1038" s="46"/>
      <c r="C1038" s="166"/>
      <c r="D1038" s="166"/>
      <c r="E1038" s="166"/>
    </row>
    <row r="1039" spans="2:5">
      <c r="B1039" s="46"/>
      <c r="C1039" s="166"/>
      <c r="D1039" s="166"/>
      <c r="E1039" s="166"/>
    </row>
    <row r="1040" spans="2:5">
      <c r="B1040" s="46"/>
      <c r="C1040" s="166"/>
      <c r="D1040" s="166"/>
      <c r="E1040" s="166"/>
    </row>
    <row r="1041" spans="2:5">
      <c r="B1041" s="46"/>
      <c r="C1041" s="166"/>
      <c r="D1041" s="166"/>
      <c r="E1041" s="166"/>
    </row>
    <row r="1042" spans="2:5">
      <c r="B1042" s="46"/>
      <c r="C1042" s="166"/>
      <c r="D1042" s="166"/>
      <c r="E1042" s="166"/>
    </row>
    <row r="1043" spans="2:5">
      <c r="B1043" s="46"/>
      <c r="C1043" s="166"/>
      <c r="D1043" s="166"/>
      <c r="E1043" s="166"/>
    </row>
    <row r="1044" spans="2:5">
      <c r="B1044" s="46"/>
      <c r="C1044" s="166"/>
      <c r="D1044" s="166"/>
      <c r="E1044" s="166"/>
    </row>
    <row r="1045" spans="2:5">
      <c r="B1045" s="46"/>
      <c r="C1045" s="166"/>
      <c r="D1045" s="166"/>
      <c r="E1045" s="166"/>
    </row>
    <row r="1046" spans="2:5">
      <c r="B1046" s="46"/>
      <c r="C1046" s="166"/>
      <c r="D1046" s="166"/>
      <c r="E1046" s="166"/>
    </row>
    <row r="1047" spans="2:5">
      <c r="B1047" s="46"/>
      <c r="C1047" s="166"/>
      <c r="D1047" s="166"/>
      <c r="E1047" s="166"/>
    </row>
    <row r="1048" spans="2:5">
      <c r="B1048" s="46"/>
      <c r="C1048" s="166"/>
      <c r="D1048" s="166"/>
      <c r="E1048" s="166"/>
    </row>
    <row r="1049" spans="2:5">
      <c r="B1049" s="46"/>
      <c r="C1049" s="166"/>
      <c r="D1049" s="166"/>
      <c r="E1049" s="166"/>
    </row>
    <row r="1050" spans="2:5">
      <c r="B1050" s="46"/>
      <c r="C1050" s="166"/>
      <c r="D1050" s="166"/>
      <c r="E1050" s="166"/>
    </row>
    <row r="1051" spans="2:5">
      <c r="B1051" s="46"/>
      <c r="C1051" s="166"/>
      <c r="D1051" s="166"/>
      <c r="E1051" s="166"/>
    </row>
    <row r="1052" spans="2:5">
      <c r="B1052" s="46"/>
      <c r="C1052" s="166"/>
      <c r="D1052" s="166"/>
      <c r="E1052" s="166"/>
    </row>
    <row r="1053" spans="2:5">
      <c r="B1053" s="46"/>
      <c r="C1053" s="166"/>
      <c r="D1053" s="166"/>
      <c r="E1053" s="166"/>
    </row>
    <row r="1054" spans="2:5">
      <c r="B1054" s="46"/>
      <c r="C1054" s="166"/>
      <c r="D1054" s="166"/>
      <c r="E1054" s="166"/>
    </row>
    <row r="1055" spans="2:5">
      <c r="B1055" s="46"/>
      <c r="C1055" s="166"/>
      <c r="D1055" s="166"/>
      <c r="E1055" s="166"/>
    </row>
    <row r="1056" spans="2:5">
      <c r="B1056" s="46"/>
      <c r="C1056" s="166"/>
      <c r="D1056" s="166"/>
      <c r="E1056" s="166"/>
    </row>
    <row r="1057" spans="2:5">
      <c r="B1057" s="46"/>
      <c r="C1057" s="166"/>
      <c r="D1057" s="166"/>
      <c r="E1057" s="166"/>
    </row>
    <row r="1058" spans="2:5">
      <c r="B1058" s="46"/>
      <c r="C1058" s="166"/>
      <c r="D1058" s="166"/>
      <c r="E1058" s="166"/>
    </row>
    <row r="1059" spans="2:5">
      <c r="B1059" s="46"/>
      <c r="C1059" s="166"/>
      <c r="D1059" s="166"/>
      <c r="E1059" s="166"/>
    </row>
    <row r="1060" spans="2:5">
      <c r="B1060" s="46"/>
      <c r="C1060" s="166"/>
      <c r="D1060" s="166"/>
      <c r="E1060" s="166"/>
    </row>
    <row r="1061" spans="2:5">
      <c r="B1061" s="46"/>
      <c r="C1061" s="166"/>
      <c r="D1061" s="166"/>
      <c r="E1061" s="166"/>
    </row>
    <row r="1062" spans="2:5">
      <c r="B1062" s="46"/>
      <c r="C1062" s="166"/>
      <c r="D1062" s="166"/>
      <c r="E1062" s="166"/>
    </row>
    <row r="1063" spans="2:5">
      <c r="B1063" s="46"/>
      <c r="C1063" s="166"/>
      <c r="D1063" s="166"/>
      <c r="E1063" s="166"/>
    </row>
    <row r="1064" spans="2:5">
      <c r="B1064" s="46"/>
      <c r="C1064" s="166"/>
      <c r="D1064" s="166"/>
      <c r="E1064" s="166"/>
    </row>
    <row r="1065" spans="2:5">
      <c r="B1065" s="46"/>
      <c r="C1065" s="166"/>
      <c r="D1065" s="166"/>
      <c r="E1065" s="166"/>
    </row>
    <row r="1066" spans="2:5">
      <c r="B1066" s="46"/>
      <c r="C1066" s="166"/>
      <c r="D1066" s="166"/>
      <c r="E1066" s="166"/>
    </row>
    <row r="1067" spans="2:5">
      <c r="B1067" s="46"/>
      <c r="C1067" s="166"/>
      <c r="D1067" s="166"/>
      <c r="E1067" s="166"/>
    </row>
    <row r="1068" spans="2:5">
      <c r="B1068" s="46"/>
      <c r="C1068" s="166"/>
      <c r="D1068" s="166"/>
      <c r="E1068" s="166"/>
    </row>
    <row r="1069" spans="2:5">
      <c r="B1069" s="46"/>
      <c r="C1069" s="166"/>
      <c r="D1069" s="166"/>
      <c r="E1069" s="166"/>
    </row>
    <row r="1070" spans="2:5">
      <c r="B1070" s="46"/>
      <c r="C1070" s="166"/>
      <c r="D1070" s="166"/>
      <c r="E1070" s="166"/>
    </row>
    <row r="1071" spans="2:5">
      <c r="B1071" s="46"/>
      <c r="C1071" s="166"/>
      <c r="D1071" s="166"/>
      <c r="E1071" s="166"/>
    </row>
    <row r="1072" spans="2:5">
      <c r="B1072" s="46"/>
      <c r="C1072" s="166"/>
      <c r="D1072" s="166"/>
      <c r="E1072" s="166"/>
    </row>
    <row r="1073" spans="2:5">
      <c r="B1073" s="46"/>
      <c r="C1073" s="166"/>
      <c r="D1073" s="166"/>
      <c r="E1073" s="166"/>
    </row>
    <row r="1074" spans="2:5">
      <c r="B1074" s="46"/>
      <c r="C1074" s="166"/>
      <c r="D1074" s="166"/>
      <c r="E1074" s="166"/>
    </row>
    <row r="1075" spans="2:5">
      <c r="B1075" s="46"/>
      <c r="C1075" s="166"/>
      <c r="D1075" s="166"/>
      <c r="E1075" s="166"/>
    </row>
    <row r="1076" spans="2:5">
      <c r="B1076" s="46"/>
      <c r="C1076" s="166"/>
      <c r="D1076" s="166"/>
      <c r="E1076" s="166"/>
    </row>
    <row r="1077" spans="2:5">
      <c r="B1077" s="46"/>
      <c r="C1077" s="166"/>
      <c r="D1077" s="166"/>
      <c r="E1077" s="166"/>
    </row>
    <row r="1078" spans="2:5">
      <c r="B1078" s="46"/>
      <c r="C1078" s="166"/>
      <c r="D1078" s="166"/>
      <c r="E1078" s="166"/>
    </row>
    <row r="1079" spans="2:5">
      <c r="B1079" s="46"/>
      <c r="C1079" s="166"/>
      <c r="D1079" s="166"/>
      <c r="E1079" s="166"/>
    </row>
    <row r="1080" spans="2:5">
      <c r="B1080" s="46"/>
      <c r="C1080" s="166"/>
      <c r="D1080" s="166"/>
      <c r="E1080" s="166"/>
    </row>
    <row r="1081" spans="2:5">
      <c r="B1081" s="46"/>
      <c r="C1081" s="166"/>
      <c r="D1081" s="166"/>
      <c r="E1081" s="166"/>
    </row>
    <row r="1082" spans="2:5">
      <c r="B1082" s="46"/>
      <c r="C1082" s="166"/>
      <c r="D1082" s="166"/>
      <c r="E1082" s="166"/>
    </row>
    <row r="1083" spans="2:5">
      <c r="B1083" s="46"/>
      <c r="C1083" s="166"/>
      <c r="D1083" s="166"/>
      <c r="E1083" s="166"/>
    </row>
    <row r="1084" spans="2:5">
      <c r="B1084" s="46"/>
      <c r="C1084" s="166"/>
      <c r="D1084" s="166"/>
      <c r="E1084" s="166"/>
    </row>
    <row r="1085" spans="2:5">
      <c r="B1085" s="46"/>
      <c r="C1085" s="166"/>
      <c r="D1085" s="166"/>
      <c r="E1085" s="166"/>
    </row>
    <row r="1086" spans="2:5">
      <c r="B1086" s="46"/>
      <c r="C1086" s="166"/>
      <c r="D1086" s="166"/>
      <c r="E1086" s="166"/>
    </row>
    <row r="1087" spans="2:5">
      <c r="B1087" s="46"/>
      <c r="C1087" s="166"/>
      <c r="D1087" s="166"/>
      <c r="E1087" s="166"/>
    </row>
    <row r="1088" spans="2:5">
      <c r="B1088" s="46"/>
      <c r="C1088" s="166"/>
      <c r="D1088" s="166"/>
      <c r="E1088" s="166"/>
    </row>
    <row r="1089" spans="2:5">
      <c r="B1089" s="46"/>
      <c r="C1089" s="166"/>
      <c r="D1089" s="166"/>
      <c r="E1089" s="166"/>
    </row>
    <row r="1090" spans="2:5">
      <c r="B1090" s="46"/>
      <c r="C1090" s="166"/>
      <c r="D1090" s="166"/>
      <c r="E1090" s="166"/>
    </row>
    <row r="1091" spans="2:5">
      <c r="B1091" s="46"/>
      <c r="C1091" s="166"/>
      <c r="D1091" s="166"/>
      <c r="E1091" s="166"/>
    </row>
    <row r="1092" spans="2:5">
      <c r="B1092" s="46"/>
      <c r="C1092" s="166"/>
      <c r="D1092" s="166"/>
      <c r="E1092" s="166"/>
    </row>
    <row r="1093" spans="2:5">
      <c r="B1093" s="46"/>
      <c r="C1093" s="166"/>
      <c r="D1093" s="166"/>
      <c r="E1093" s="166"/>
    </row>
    <row r="1094" spans="2:5">
      <c r="B1094" s="46"/>
      <c r="C1094" s="166"/>
      <c r="D1094" s="166"/>
      <c r="E1094" s="166"/>
    </row>
    <row r="1095" spans="2:5">
      <c r="B1095" s="46"/>
      <c r="C1095" s="166"/>
      <c r="D1095" s="166"/>
      <c r="E1095" s="166"/>
    </row>
    <row r="1096" spans="2:5">
      <c r="B1096" s="46"/>
      <c r="C1096" s="166"/>
      <c r="D1096" s="166"/>
      <c r="E1096" s="166"/>
    </row>
    <row r="1097" spans="2:5">
      <c r="B1097" s="46"/>
      <c r="C1097" s="166"/>
      <c r="D1097" s="166"/>
      <c r="E1097" s="166"/>
    </row>
    <row r="1098" spans="2:5">
      <c r="B1098" s="46"/>
      <c r="C1098" s="166"/>
      <c r="D1098" s="166"/>
      <c r="E1098" s="166"/>
    </row>
    <row r="1099" spans="2:5">
      <c r="B1099" s="46"/>
      <c r="C1099" s="166"/>
      <c r="D1099" s="166"/>
      <c r="E1099" s="166"/>
    </row>
    <row r="1100" spans="2:5">
      <c r="B1100" s="46"/>
      <c r="C1100" s="166"/>
      <c r="D1100" s="166"/>
      <c r="E1100" s="166"/>
    </row>
    <row r="1101" spans="2:5">
      <c r="B1101" s="46"/>
      <c r="C1101" s="166"/>
      <c r="D1101" s="166"/>
      <c r="E1101" s="166"/>
    </row>
    <row r="1102" spans="2:5">
      <c r="B1102" s="46"/>
      <c r="C1102" s="166"/>
      <c r="D1102" s="166"/>
      <c r="E1102" s="166"/>
    </row>
    <row r="1103" spans="2:5">
      <c r="B1103" s="46"/>
      <c r="C1103" s="166"/>
      <c r="D1103" s="166"/>
      <c r="E1103" s="166"/>
    </row>
    <row r="1104" spans="2:5">
      <c r="B1104" s="46"/>
      <c r="C1104" s="166"/>
      <c r="D1104" s="166"/>
      <c r="E1104" s="166"/>
    </row>
    <row r="1105" spans="2:5">
      <c r="B1105" s="46"/>
      <c r="C1105" s="166"/>
      <c r="D1105" s="166"/>
      <c r="E1105" s="166"/>
    </row>
    <row r="1106" spans="2:5">
      <c r="B1106" s="46"/>
      <c r="C1106" s="166"/>
      <c r="D1106" s="166"/>
      <c r="E1106" s="166"/>
    </row>
    <row r="1107" spans="2:5">
      <c r="B1107" s="46"/>
      <c r="C1107" s="166"/>
      <c r="D1107" s="166"/>
      <c r="E1107" s="166"/>
    </row>
    <row r="1108" spans="2:5">
      <c r="B1108" s="46"/>
      <c r="C1108" s="166"/>
      <c r="D1108" s="166"/>
      <c r="E1108" s="166"/>
    </row>
    <row r="1109" spans="2:5">
      <c r="B1109" s="46"/>
      <c r="C1109" s="166"/>
      <c r="D1109" s="166"/>
      <c r="E1109" s="166"/>
    </row>
    <row r="1110" spans="2:5">
      <c r="B1110" s="46"/>
      <c r="C1110" s="166"/>
      <c r="D1110" s="166"/>
      <c r="E1110" s="166"/>
    </row>
    <row r="1111" spans="2:5">
      <c r="B1111" s="46"/>
      <c r="C1111" s="166"/>
      <c r="D1111" s="166"/>
      <c r="E1111" s="166"/>
    </row>
    <row r="1112" spans="2:5">
      <c r="B1112" s="46"/>
      <c r="C1112" s="166"/>
      <c r="D1112" s="166"/>
      <c r="E1112" s="166"/>
    </row>
    <row r="1113" spans="2:5">
      <c r="B1113" s="46"/>
      <c r="C1113" s="166"/>
      <c r="D1113" s="166"/>
      <c r="E1113" s="166"/>
    </row>
    <row r="1114" spans="2:5">
      <c r="B1114" s="46"/>
      <c r="C1114" s="166"/>
      <c r="D1114" s="166"/>
      <c r="E1114" s="166"/>
    </row>
    <row r="1115" spans="2:5">
      <c r="B1115" s="46"/>
      <c r="C1115" s="166"/>
      <c r="D1115" s="166"/>
      <c r="E1115" s="166"/>
    </row>
    <row r="1116" spans="2:5">
      <c r="B1116" s="46"/>
      <c r="C1116" s="166"/>
      <c r="D1116" s="166"/>
      <c r="E1116" s="166"/>
    </row>
    <row r="1117" spans="2:5">
      <c r="B1117" s="46"/>
      <c r="C1117" s="166"/>
      <c r="D1117" s="166"/>
      <c r="E1117" s="166"/>
    </row>
    <row r="1118" spans="2:5">
      <c r="B1118" s="46"/>
      <c r="C1118" s="166"/>
      <c r="D1118" s="166"/>
      <c r="E1118" s="166"/>
    </row>
    <row r="1119" spans="2:5">
      <c r="B1119" s="46"/>
      <c r="C1119" s="166"/>
      <c r="D1119" s="166"/>
      <c r="E1119" s="166"/>
    </row>
    <row r="1120" spans="2:5">
      <c r="B1120" s="46"/>
      <c r="C1120" s="166"/>
      <c r="D1120" s="166"/>
      <c r="E1120" s="166"/>
    </row>
    <row r="1121" spans="2:5">
      <c r="B1121" s="46"/>
      <c r="C1121" s="166"/>
      <c r="D1121" s="166"/>
      <c r="E1121" s="166"/>
    </row>
    <row r="1122" spans="2:5">
      <c r="B1122" s="46"/>
      <c r="C1122" s="166"/>
      <c r="D1122" s="166"/>
      <c r="E1122" s="166"/>
    </row>
    <row r="1123" spans="2:5">
      <c r="B1123" s="46"/>
      <c r="C1123" s="166"/>
      <c r="D1123" s="166"/>
      <c r="E1123" s="166"/>
    </row>
    <row r="1124" spans="2:5">
      <c r="B1124" s="46"/>
      <c r="C1124" s="166"/>
      <c r="D1124" s="166"/>
      <c r="E1124" s="166"/>
    </row>
    <row r="1125" spans="2:5">
      <c r="B1125" s="46"/>
      <c r="C1125" s="166"/>
      <c r="D1125" s="166"/>
      <c r="E1125" s="166"/>
    </row>
    <row r="1126" spans="2:5">
      <c r="B1126" s="46"/>
      <c r="C1126" s="166"/>
      <c r="D1126" s="166"/>
      <c r="E1126" s="166"/>
    </row>
    <row r="1127" spans="2:5">
      <c r="B1127" s="46"/>
      <c r="C1127" s="166"/>
      <c r="D1127" s="166"/>
      <c r="E1127" s="166"/>
    </row>
    <row r="1128" spans="2:5">
      <c r="B1128" s="46"/>
      <c r="C1128" s="166"/>
      <c r="D1128" s="166"/>
      <c r="E1128" s="166"/>
    </row>
    <row r="1129" spans="2:5">
      <c r="B1129" s="46"/>
      <c r="C1129" s="166"/>
      <c r="D1129" s="166"/>
      <c r="E1129" s="166"/>
    </row>
    <row r="1130" spans="2:5">
      <c r="B1130" s="46"/>
      <c r="C1130" s="166"/>
      <c r="D1130" s="166"/>
      <c r="E1130" s="166"/>
    </row>
    <row r="1131" spans="2:5">
      <c r="B1131" s="46"/>
      <c r="C1131" s="166"/>
      <c r="D1131" s="166"/>
      <c r="E1131" s="166"/>
    </row>
    <row r="1132" spans="2:5">
      <c r="B1132" s="46"/>
      <c r="C1132" s="166"/>
      <c r="D1132" s="166"/>
      <c r="E1132" s="166"/>
    </row>
    <row r="1133" spans="2:5">
      <c r="B1133" s="46"/>
      <c r="C1133" s="166"/>
      <c r="D1133" s="166"/>
      <c r="E1133" s="166"/>
    </row>
    <row r="1134" spans="2:5">
      <c r="B1134" s="46"/>
      <c r="C1134" s="166"/>
      <c r="D1134" s="166"/>
      <c r="E1134" s="166"/>
    </row>
    <row r="1135" spans="2:5">
      <c r="B1135" s="46"/>
      <c r="C1135" s="166"/>
      <c r="D1135" s="166"/>
      <c r="E1135" s="166"/>
    </row>
    <row r="1136" spans="2:5">
      <c r="B1136" s="46"/>
      <c r="C1136" s="166"/>
      <c r="D1136" s="166"/>
      <c r="E1136" s="166"/>
    </row>
    <row r="1137" spans="2:5">
      <c r="B1137" s="46"/>
      <c r="C1137" s="166"/>
      <c r="D1137" s="166"/>
      <c r="E1137" s="166"/>
    </row>
    <row r="1138" spans="2:5">
      <c r="B1138" s="46"/>
      <c r="C1138" s="166"/>
      <c r="D1138" s="166"/>
      <c r="E1138" s="166"/>
    </row>
    <row r="1139" spans="2:5">
      <c r="B1139" s="46"/>
      <c r="C1139" s="166"/>
      <c r="D1139" s="166"/>
      <c r="E1139" s="166"/>
    </row>
    <row r="1140" spans="2:5">
      <c r="B1140" s="46"/>
      <c r="C1140" s="166"/>
      <c r="D1140" s="166"/>
      <c r="E1140" s="166"/>
    </row>
    <row r="1141" spans="2:5">
      <c r="B1141" s="46"/>
      <c r="C1141" s="166"/>
      <c r="D1141" s="166"/>
      <c r="E1141" s="166"/>
    </row>
    <row r="1142" spans="2:5">
      <c r="B1142" s="46"/>
      <c r="C1142" s="166"/>
      <c r="D1142" s="166"/>
      <c r="E1142" s="166"/>
    </row>
    <row r="1143" spans="2:5">
      <c r="B1143" s="46"/>
      <c r="C1143" s="166"/>
      <c r="D1143" s="166"/>
      <c r="E1143" s="166"/>
    </row>
    <row r="1144" spans="2:5">
      <c r="B1144" s="46"/>
      <c r="C1144" s="166"/>
      <c r="D1144" s="166"/>
      <c r="E1144" s="166"/>
    </row>
    <row r="1145" spans="2:5">
      <c r="B1145" s="46"/>
      <c r="C1145" s="166"/>
      <c r="D1145" s="166"/>
      <c r="E1145" s="166"/>
    </row>
    <row r="1146" spans="2:5">
      <c r="B1146" s="46"/>
      <c r="C1146" s="166"/>
      <c r="D1146" s="166"/>
      <c r="E1146" s="166"/>
    </row>
    <row r="1147" spans="2:5">
      <c r="B1147" s="46"/>
      <c r="C1147" s="166"/>
      <c r="D1147" s="166"/>
      <c r="E1147" s="166"/>
    </row>
    <row r="1148" spans="2:5">
      <c r="B1148" s="46"/>
      <c r="C1148" s="166"/>
      <c r="D1148" s="166"/>
      <c r="E1148" s="166"/>
    </row>
    <row r="1149" spans="2:5">
      <c r="B1149" s="46"/>
      <c r="C1149" s="166"/>
      <c r="D1149" s="166"/>
      <c r="E1149" s="166"/>
    </row>
    <row r="1150" spans="2:5">
      <c r="B1150" s="46"/>
      <c r="C1150" s="166"/>
      <c r="D1150" s="166"/>
      <c r="E1150" s="166"/>
    </row>
    <row r="1151" spans="2:5">
      <c r="B1151" s="46"/>
      <c r="C1151" s="166"/>
      <c r="D1151" s="166"/>
      <c r="E1151" s="166"/>
    </row>
    <row r="1152" spans="2:5">
      <c r="B1152" s="46"/>
      <c r="C1152" s="166"/>
      <c r="D1152" s="166"/>
      <c r="E1152" s="166"/>
    </row>
    <row r="1153" spans="2:5">
      <c r="B1153" s="46"/>
      <c r="C1153" s="166"/>
      <c r="D1153" s="166"/>
      <c r="E1153" s="166"/>
    </row>
    <row r="1154" spans="2:5">
      <c r="B1154" s="46"/>
      <c r="C1154" s="166"/>
      <c r="D1154" s="166"/>
      <c r="E1154" s="166"/>
    </row>
    <row r="1155" spans="2:5">
      <c r="B1155" s="46"/>
      <c r="C1155" s="166"/>
      <c r="D1155" s="166"/>
      <c r="E1155" s="166"/>
    </row>
    <row r="1156" spans="2:5">
      <c r="B1156" s="46"/>
      <c r="C1156" s="166"/>
      <c r="D1156" s="166"/>
      <c r="E1156" s="166"/>
    </row>
    <row r="1157" spans="2:5">
      <c r="B1157" s="46"/>
      <c r="C1157" s="166"/>
      <c r="D1157" s="166"/>
      <c r="E1157" s="166"/>
    </row>
    <row r="1158" spans="2:5">
      <c r="B1158" s="46"/>
      <c r="C1158" s="166"/>
      <c r="D1158" s="166"/>
      <c r="E1158" s="166"/>
    </row>
    <row r="1159" spans="2:5">
      <c r="B1159" s="46"/>
      <c r="C1159" s="166"/>
      <c r="D1159" s="166"/>
      <c r="E1159" s="166"/>
    </row>
    <row r="1160" spans="2:5">
      <c r="B1160" s="46"/>
      <c r="C1160" s="166"/>
      <c r="D1160" s="166"/>
      <c r="E1160" s="166"/>
    </row>
    <row r="1161" spans="2:5">
      <c r="B1161" s="46"/>
      <c r="C1161" s="166"/>
      <c r="D1161" s="166"/>
      <c r="E1161" s="166"/>
    </row>
    <row r="1162" spans="2:5">
      <c r="B1162" s="46"/>
      <c r="C1162" s="166"/>
      <c r="D1162" s="166"/>
      <c r="E1162" s="166"/>
    </row>
    <row r="1163" spans="2:5">
      <c r="B1163" s="46"/>
      <c r="C1163" s="166"/>
      <c r="D1163" s="166"/>
      <c r="E1163" s="166"/>
    </row>
    <row r="1164" spans="2:5">
      <c r="B1164" s="46"/>
      <c r="C1164" s="166"/>
      <c r="D1164" s="166"/>
      <c r="E1164" s="166"/>
    </row>
    <row r="1165" spans="2:5">
      <c r="B1165" s="46"/>
      <c r="C1165" s="166"/>
      <c r="D1165" s="166"/>
      <c r="E1165" s="166"/>
    </row>
    <row r="1166" spans="2:5">
      <c r="B1166" s="46"/>
      <c r="C1166" s="166"/>
      <c r="D1166" s="166"/>
      <c r="E1166" s="166"/>
    </row>
    <row r="1167" spans="2:5">
      <c r="B1167" s="46"/>
      <c r="C1167" s="166"/>
      <c r="D1167" s="166"/>
      <c r="E1167" s="166"/>
    </row>
    <row r="1168" spans="2:5">
      <c r="B1168" s="46"/>
      <c r="C1168" s="166"/>
      <c r="D1168" s="166"/>
      <c r="E1168" s="166"/>
    </row>
    <row r="1169" spans="2:5">
      <c r="B1169" s="46"/>
      <c r="C1169" s="166"/>
      <c r="D1169" s="166"/>
      <c r="E1169" s="166"/>
    </row>
    <row r="1170" spans="2:5">
      <c r="B1170" s="46"/>
      <c r="C1170" s="166"/>
      <c r="D1170" s="166"/>
      <c r="E1170" s="166"/>
    </row>
    <row r="1171" spans="2:5">
      <c r="B1171" s="46"/>
      <c r="C1171" s="166"/>
      <c r="D1171" s="166"/>
      <c r="E1171" s="166"/>
    </row>
    <row r="1172" spans="2:5">
      <c r="B1172" s="46"/>
      <c r="C1172" s="166"/>
      <c r="D1172" s="166"/>
      <c r="E1172" s="166"/>
    </row>
    <row r="1173" spans="2:5">
      <c r="B1173" s="46"/>
      <c r="C1173" s="166"/>
      <c r="D1173" s="166"/>
      <c r="E1173" s="166"/>
    </row>
    <row r="1174" spans="2:5">
      <c r="B1174" s="46"/>
      <c r="C1174" s="166"/>
      <c r="D1174" s="166"/>
      <c r="E1174" s="166"/>
    </row>
    <row r="1175" spans="2:5">
      <c r="B1175" s="46"/>
      <c r="C1175" s="166"/>
      <c r="D1175" s="166"/>
      <c r="E1175" s="166"/>
    </row>
    <row r="1176" spans="2:5">
      <c r="B1176" s="46"/>
      <c r="C1176" s="166"/>
      <c r="D1176" s="166"/>
      <c r="E1176" s="166"/>
    </row>
    <row r="1177" spans="2:5">
      <c r="B1177" s="46"/>
      <c r="C1177" s="166"/>
      <c r="D1177" s="166"/>
      <c r="E1177" s="166"/>
    </row>
    <row r="1178" spans="2:5">
      <c r="B1178" s="46"/>
      <c r="C1178" s="166"/>
      <c r="D1178" s="166"/>
      <c r="E1178" s="166"/>
    </row>
    <row r="1179" spans="2:5">
      <c r="B1179" s="46"/>
      <c r="C1179" s="166"/>
      <c r="D1179" s="166"/>
      <c r="E1179" s="166"/>
    </row>
    <row r="1180" spans="2:5">
      <c r="B1180" s="46"/>
      <c r="C1180" s="166"/>
      <c r="D1180" s="166"/>
      <c r="E1180" s="166"/>
    </row>
    <row r="1181" spans="2:5">
      <c r="B1181" s="46"/>
      <c r="C1181" s="166"/>
      <c r="D1181" s="166"/>
      <c r="E1181" s="166"/>
    </row>
    <row r="1182" spans="2:5">
      <c r="B1182" s="46"/>
      <c r="C1182" s="166"/>
      <c r="D1182" s="166"/>
      <c r="E1182" s="166"/>
    </row>
    <row r="1183" spans="2:5">
      <c r="B1183" s="46"/>
      <c r="C1183" s="166"/>
      <c r="D1183" s="166"/>
      <c r="E1183" s="166"/>
    </row>
    <row r="1184" spans="2:5">
      <c r="B1184" s="46"/>
      <c r="C1184" s="166"/>
      <c r="D1184" s="166"/>
      <c r="E1184" s="166"/>
    </row>
    <row r="1185" spans="2:5">
      <c r="B1185" s="46"/>
      <c r="C1185" s="166"/>
      <c r="D1185" s="166"/>
      <c r="E1185" s="166"/>
    </row>
    <row r="1186" spans="2:5">
      <c r="B1186" s="46"/>
      <c r="C1186" s="166"/>
      <c r="D1186" s="166"/>
      <c r="E1186" s="166"/>
    </row>
    <row r="1187" spans="2:5">
      <c r="B1187" s="46"/>
      <c r="C1187" s="166"/>
      <c r="D1187" s="166"/>
      <c r="E1187" s="166"/>
    </row>
    <row r="1188" spans="2:5">
      <c r="B1188" s="46"/>
      <c r="C1188" s="166"/>
      <c r="D1188" s="166"/>
      <c r="E1188" s="166"/>
    </row>
    <row r="1189" spans="2:5">
      <c r="B1189" s="46"/>
      <c r="C1189" s="166"/>
      <c r="D1189" s="166"/>
      <c r="E1189" s="166"/>
    </row>
    <row r="1190" spans="2:5">
      <c r="B1190" s="46"/>
      <c r="C1190" s="166"/>
      <c r="D1190" s="166"/>
      <c r="E1190" s="166"/>
    </row>
    <row r="1191" spans="2:5">
      <c r="B1191" s="46"/>
      <c r="C1191" s="166"/>
      <c r="D1191" s="166"/>
      <c r="E1191" s="166"/>
    </row>
    <row r="1192" spans="2:5">
      <c r="B1192" s="46"/>
      <c r="C1192" s="166"/>
      <c r="D1192" s="166"/>
      <c r="E1192" s="166"/>
    </row>
    <row r="1193" spans="2:5">
      <c r="B1193" s="46"/>
      <c r="C1193" s="166"/>
      <c r="D1193" s="166"/>
      <c r="E1193" s="166"/>
    </row>
    <row r="1194" spans="2:5">
      <c r="B1194" s="46"/>
      <c r="C1194" s="166"/>
      <c r="D1194" s="166"/>
      <c r="E1194" s="166"/>
    </row>
    <row r="1195" spans="2:5">
      <c r="B1195" s="46"/>
      <c r="C1195" s="166"/>
      <c r="D1195" s="166"/>
      <c r="E1195" s="166"/>
    </row>
    <row r="1196" spans="2:5">
      <c r="B1196" s="46"/>
      <c r="C1196" s="166"/>
      <c r="D1196" s="166"/>
      <c r="E1196" s="166"/>
    </row>
    <row r="1197" spans="2:5">
      <c r="B1197" s="46"/>
      <c r="C1197" s="166"/>
      <c r="D1197" s="166"/>
      <c r="E1197" s="166"/>
    </row>
    <row r="1198" spans="2:5">
      <c r="B1198" s="46"/>
      <c r="C1198" s="166"/>
      <c r="D1198" s="166"/>
      <c r="E1198" s="166"/>
    </row>
    <row r="1199" spans="2:5">
      <c r="B1199" s="46"/>
      <c r="C1199" s="166"/>
      <c r="D1199" s="166"/>
      <c r="E1199" s="166"/>
    </row>
    <row r="1200" spans="2:5">
      <c r="B1200" s="46"/>
      <c r="C1200" s="166"/>
      <c r="D1200" s="166"/>
      <c r="E1200" s="166"/>
    </row>
    <row r="1201" spans="2:5">
      <c r="B1201" s="46"/>
      <c r="C1201" s="166"/>
      <c r="D1201" s="166"/>
      <c r="E1201" s="166"/>
    </row>
    <row r="1202" spans="2:5">
      <c r="B1202" s="46"/>
      <c r="C1202" s="166"/>
      <c r="D1202" s="166"/>
      <c r="E1202" s="166"/>
    </row>
    <row r="1203" spans="2:5">
      <c r="B1203" s="46"/>
      <c r="C1203" s="166"/>
      <c r="D1203" s="166"/>
      <c r="E1203" s="166"/>
    </row>
    <row r="1204" spans="2:5">
      <c r="B1204" s="46"/>
      <c r="C1204" s="166"/>
      <c r="D1204" s="166"/>
      <c r="E1204" s="166"/>
    </row>
    <row r="1205" spans="2:5">
      <c r="B1205" s="46"/>
      <c r="C1205" s="166"/>
      <c r="D1205" s="166"/>
      <c r="E1205" s="166"/>
    </row>
    <row r="1206" spans="2:5">
      <c r="B1206" s="46"/>
      <c r="C1206" s="166"/>
      <c r="D1206" s="166"/>
      <c r="E1206" s="166"/>
    </row>
    <row r="1207" spans="2:5">
      <c r="B1207" s="46"/>
      <c r="C1207" s="166"/>
      <c r="D1207" s="166"/>
      <c r="E1207" s="166"/>
    </row>
    <row r="1208" spans="2:5">
      <c r="B1208" s="46"/>
      <c r="C1208" s="166"/>
      <c r="D1208" s="166"/>
      <c r="E1208" s="166"/>
    </row>
    <row r="1209" spans="2:5">
      <c r="B1209" s="46"/>
      <c r="C1209" s="166"/>
      <c r="D1209" s="166"/>
      <c r="E1209" s="166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192"/>
    <col min="11" max="16384" width="11.42578125" style="104"/>
  </cols>
  <sheetData>
    <row r="2" spans="2:11">
      <c r="B2" s="142" t="s">
        <v>24</v>
      </c>
    </row>
    <row r="3" spans="2:11" ht="22.5">
      <c r="B3" s="193" t="s">
        <v>28</v>
      </c>
      <c r="C3" s="194" t="s">
        <v>29</v>
      </c>
      <c r="D3" s="208"/>
      <c r="E3" s="195" t="s">
        <v>30</v>
      </c>
      <c r="F3" s="195" t="s">
        <v>31</v>
      </c>
      <c r="G3" s="194" t="s">
        <v>32</v>
      </c>
      <c r="H3" s="196"/>
      <c r="I3" s="197"/>
      <c r="J3" s="147"/>
    </row>
    <row r="4" spans="2:11">
      <c r="B4" s="198" t="s">
        <v>162</v>
      </c>
      <c r="C4" s="199">
        <f>Dat_02!B3</f>
        <v>45200</v>
      </c>
      <c r="D4" s="198"/>
      <c r="E4" s="200">
        <f>Dat_02!C3</f>
        <v>2.1056485495590422</v>
      </c>
      <c r="F4" s="200">
        <f>Dat_02!D3</f>
        <v>40.400211353346023</v>
      </c>
      <c r="G4" s="200">
        <f>Dat_02!E3</f>
        <v>2.1056485495590422</v>
      </c>
      <c r="I4" s="201">
        <f>Dat_02!G3</f>
        <v>0</v>
      </c>
      <c r="J4" s="207">
        <f>IF(Dat_02!H3=0,"",Dat_02!H3)</f>
        <v>2023</v>
      </c>
      <c r="K4" s="104">
        <f>IF(J4=0,"",J4)</f>
        <v>2023</v>
      </c>
    </row>
    <row r="5" spans="2:11">
      <c r="B5" s="198"/>
      <c r="C5" s="199">
        <f>Dat_02!B4</f>
        <v>45201</v>
      </c>
      <c r="D5" s="198"/>
      <c r="E5" s="200">
        <f>Dat_02!C4</f>
        <v>2.635984137558109</v>
      </c>
      <c r="F5" s="200">
        <f>Dat_02!D4</f>
        <v>40.400211353346023</v>
      </c>
      <c r="G5" s="200">
        <f>Dat_02!E4</f>
        <v>2.635984137558109</v>
      </c>
      <c r="I5" s="201">
        <f>Dat_02!G4</f>
        <v>0</v>
      </c>
      <c r="J5" s="207" t="str">
        <f>IF(Dat_02!H4=0,"",Dat_02!H4)</f>
        <v/>
      </c>
    </row>
    <row r="6" spans="2:11">
      <c r="B6" s="198"/>
      <c r="C6" s="199">
        <f>Dat_02!B5</f>
        <v>45202</v>
      </c>
      <c r="D6" s="198"/>
      <c r="E6" s="200">
        <f>Dat_02!C5</f>
        <v>3.8150691695590395</v>
      </c>
      <c r="F6" s="200">
        <f>Dat_02!D5</f>
        <v>40.400211353346023</v>
      </c>
      <c r="G6" s="200">
        <f>Dat_02!E5</f>
        <v>3.8150691695590395</v>
      </c>
      <c r="I6" s="201">
        <f>Dat_02!G5</f>
        <v>0</v>
      </c>
      <c r="J6" s="207" t="str">
        <f>IF(Dat_02!H5=0,"",Dat_02!H5)</f>
        <v/>
      </c>
    </row>
    <row r="7" spans="2:11">
      <c r="B7" s="198"/>
      <c r="C7" s="199">
        <f>Dat_02!B6</f>
        <v>45203</v>
      </c>
      <c r="D7" s="198"/>
      <c r="E7" s="200">
        <f>Dat_02!C6</f>
        <v>8.2569853218427092</v>
      </c>
      <c r="F7" s="200">
        <f>Dat_02!D6</f>
        <v>40.400211353346023</v>
      </c>
      <c r="G7" s="200">
        <f>Dat_02!E6</f>
        <v>8.2569853218427092</v>
      </c>
      <c r="I7" s="201">
        <f>Dat_02!G6</f>
        <v>0</v>
      </c>
      <c r="J7" s="207" t="str">
        <f>IF(Dat_02!H6=0,"",Dat_02!H6)</f>
        <v/>
      </c>
    </row>
    <row r="8" spans="2:11">
      <c r="B8" s="198"/>
      <c r="C8" s="199">
        <f>Dat_02!B7</f>
        <v>45204</v>
      </c>
      <c r="D8" s="198"/>
      <c r="E8" s="200">
        <f>Dat_02!C7</f>
        <v>20.672574646844573</v>
      </c>
      <c r="F8" s="200">
        <f>Dat_02!D7</f>
        <v>40.400211353346023</v>
      </c>
      <c r="G8" s="200">
        <f>Dat_02!E7</f>
        <v>20.672574646844573</v>
      </c>
      <c r="I8" s="201">
        <f>Dat_02!G7</f>
        <v>0</v>
      </c>
      <c r="J8" s="207" t="str">
        <f>IF(Dat_02!H7=0,"",Dat_02!H7)</f>
        <v/>
      </c>
    </row>
    <row r="9" spans="2:11">
      <c r="B9" s="198"/>
      <c r="C9" s="199">
        <f>Dat_02!B8</f>
        <v>45205</v>
      </c>
      <c r="D9" s="198"/>
      <c r="E9" s="200">
        <f>Dat_02!C8</f>
        <v>22.144515225843644</v>
      </c>
      <c r="F9" s="200">
        <f>Dat_02!D8</f>
        <v>40.400211353346023</v>
      </c>
      <c r="G9" s="200">
        <f>Dat_02!E8</f>
        <v>22.144515225843644</v>
      </c>
      <c r="I9" s="201">
        <f>Dat_02!G8</f>
        <v>0</v>
      </c>
      <c r="J9" s="207" t="str">
        <f>IF(Dat_02!H8=0,"",Dat_02!H8)</f>
        <v/>
      </c>
    </row>
    <row r="10" spans="2:11">
      <c r="B10" s="198"/>
      <c r="C10" s="199">
        <f>Dat_02!B9</f>
        <v>45206</v>
      </c>
      <c r="D10" s="198"/>
      <c r="E10" s="200">
        <f>Dat_02!C9</f>
        <v>5.1140933218445719</v>
      </c>
      <c r="F10" s="200">
        <f>Dat_02!D9</f>
        <v>40.400211353346023</v>
      </c>
      <c r="G10" s="200">
        <f>Dat_02!E9</f>
        <v>5.1140933218445719</v>
      </c>
      <c r="I10" s="201">
        <f>Dat_02!G9</f>
        <v>0</v>
      </c>
      <c r="J10" s="207" t="str">
        <f>IF(Dat_02!H9=0,"",Dat_02!H9)</f>
        <v/>
      </c>
    </row>
    <row r="11" spans="2:11">
      <c r="B11" s="198"/>
      <c r="C11" s="199">
        <f>Dat_02!B10</f>
        <v>45207</v>
      </c>
      <c r="D11" s="198"/>
      <c r="E11" s="200">
        <f>Dat_02!C10</f>
        <v>3.4750962828436425</v>
      </c>
      <c r="F11" s="200">
        <f>Dat_02!D10</f>
        <v>40.400211353346023</v>
      </c>
      <c r="G11" s="200">
        <f>Dat_02!E10</f>
        <v>3.4750962828436425</v>
      </c>
      <c r="I11" s="201">
        <f>Dat_02!G10</f>
        <v>0</v>
      </c>
      <c r="J11" s="207" t="str">
        <f>IF(Dat_02!H10=0,"",Dat_02!H10)</f>
        <v/>
      </c>
    </row>
    <row r="12" spans="2:11">
      <c r="B12" s="198"/>
      <c r="C12" s="199">
        <f>Dat_02!B11</f>
        <v>45208</v>
      </c>
      <c r="D12" s="198"/>
      <c r="E12" s="200">
        <f>Dat_02!C11</f>
        <v>22.509661284844572</v>
      </c>
      <c r="F12" s="200">
        <f>Dat_02!D11</f>
        <v>40.400211353346023</v>
      </c>
      <c r="G12" s="200">
        <f>Dat_02!E11</f>
        <v>22.509661284844572</v>
      </c>
      <c r="I12" s="201">
        <f>Dat_02!G11</f>
        <v>0</v>
      </c>
      <c r="J12" s="207" t="str">
        <f>IF(Dat_02!H11=0,"",Dat_02!H11)</f>
        <v/>
      </c>
    </row>
    <row r="13" spans="2:11">
      <c r="B13" s="198"/>
      <c r="C13" s="199">
        <f>Dat_02!B12</f>
        <v>45209</v>
      </c>
      <c r="D13" s="198"/>
      <c r="E13" s="200">
        <f>Dat_02!C12</f>
        <v>24.315748561843641</v>
      </c>
      <c r="F13" s="200">
        <f>Dat_02!D12</f>
        <v>40.400211353346023</v>
      </c>
      <c r="G13" s="200">
        <f>Dat_02!E12</f>
        <v>24.315748561843641</v>
      </c>
      <c r="I13" s="201">
        <f>Dat_02!G12</f>
        <v>0</v>
      </c>
      <c r="J13" s="207" t="str">
        <f>IF(Dat_02!H12=0,"",Dat_02!H12)</f>
        <v/>
      </c>
    </row>
    <row r="14" spans="2:11">
      <c r="B14" s="198"/>
      <c r="C14" s="199">
        <f>Dat_02!B13</f>
        <v>45210</v>
      </c>
      <c r="D14" s="198"/>
      <c r="E14" s="200">
        <f>Dat_02!C13</f>
        <v>16.618847536526957</v>
      </c>
      <c r="F14" s="200">
        <f>Dat_02!D13</f>
        <v>40.400211353346023</v>
      </c>
      <c r="G14" s="200">
        <f>Dat_02!E13</f>
        <v>16.618847536526957</v>
      </c>
      <c r="I14" s="201">
        <f>Dat_02!G13</f>
        <v>0</v>
      </c>
      <c r="J14" s="207" t="str">
        <f>IF(Dat_02!H13=0,"",Dat_02!H13)</f>
        <v/>
      </c>
    </row>
    <row r="15" spans="2:11">
      <c r="B15" s="198"/>
      <c r="C15" s="199">
        <f>Dat_02!B14</f>
        <v>45211</v>
      </c>
      <c r="D15" s="198"/>
      <c r="E15" s="200">
        <f>Dat_02!C14</f>
        <v>8.7665859895250904</v>
      </c>
      <c r="F15" s="200">
        <f>Dat_02!D14</f>
        <v>40.400211353346023</v>
      </c>
      <c r="G15" s="200">
        <f>Dat_02!E14</f>
        <v>8.7665859895250904</v>
      </c>
      <c r="I15" s="201">
        <f>Dat_02!G14</f>
        <v>0</v>
      </c>
      <c r="J15" s="207" t="str">
        <f>IF(Dat_02!H14=0,"",Dat_02!H14)</f>
        <v/>
      </c>
    </row>
    <row r="16" spans="2:11">
      <c r="B16" s="198"/>
      <c r="C16" s="199">
        <f>Dat_02!B15</f>
        <v>45212</v>
      </c>
      <c r="D16" s="198"/>
      <c r="E16" s="200">
        <f>Dat_02!C15</f>
        <v>4.0539202715278808</v>
      </c>
      <c r="F16" s="200">
        <f>Dat_02!D15</f>
        <v>40.400211353346023</v>
      </c>
      <c r="G16" s="200">
        <f>Dat_02!E15</f>
        <v>4.0539202715278808</v>
      </c>
      <c r="I16" s="201">
        <f>Dat_02!G15</f>
        <v>0</v>
      </c>
      <c r="J16" s="207" t="str">
        <f>IF(Dat_02!H15=0,"",Dat_02!H15)</f>
        <v/>
      </c>
    </row>
    <row r="17" spans="2:10">
      <c r="B17" s="198"/>
      <c r="C17" s="199">
        <f>Dat_02!B16</f>
        <v>45213</v>
      </c>
      <c r="D17" s="198"/>
      <c r="E17" s="200">
        <f>Dat_02!C16</f>
        <v>11.487250864526956</v>
      </c>
      <c r="F17" s="200">
        <f>Dat_02!D16</f>
        <v>40.400211353346023</v>
      </c>
      <c r="G17" s="200">
        <f>Dat_02!E16</f>
        <v>11.487250864526956</v>
      </c>
      <c r="I17" s="201">
        <f>Dat_02!G16</f>
        <v>0</v>
      </c>
      <c r="J17" s="207" t="str">
        <f>IF(Dat_02!H16=0,"",Dat_02!H16)</f>
        <v/>
      </c>
    </row>
    <row r="18" spans="2:10">
      <c r="B18" s="198"/>
      <c r="C18" s="199">
        <f>Dat_02!B17</f>
        <v>45214</v>
      </c>
      <c r="D18" s="198"/>
      <c r="E18" s="200">
        <f>Dat_02!C17</f>
        <v>5.1308790605269534</v>
      </c>
      <c r="F18" s="200">
        <f>Dat_02!D17</f>
        <v>40.400211353346023</v>
      </c>
      <c r="G18" s="200">
        <f>Dat_02!E17</f>
        <v>5.1308790605269534</v>
      </c>
      <c r="I18" s="201">
        <f>Dat_02!G17</f>
        <v>40.400211353346023</v>
      </c>
      <c r="J18" s="207" t="str">
        <f>IF(Dat_02!H17=0,"",Dat_02!H17)</f>
        <v/>
      </c>
    </row>
    <row r="19" spans="2:10">
      <c r="B19" s="198"/>
      <c r="C19" s="199">
        <f>Dat_02!B18</f>
        <v>45215</v>
      </c>
      <c r="D19" s="198"/>
      <c r="E19" s="200">
        <f>Dat_02!C18</f>
        <v>27.555892200526948</v>
      </c>
      <c r="F19" s="200">
        <f>Dat_02!D18</f>
        <v>40.400211353346023</v>
      </c>
      <c r="G19" s="200">
        <f>Dat_02!E18</f>
        <v>27.555892200526948</v>
      </c>
      <c r="I19" s="201">
        <f>Dat_02!G18</f>
        <v>0</v>
      </c>
      <c r="J19" s="207" t="str">
        <f>IF(Dat_02!H18=0,"",Dat_02!H18)</f>
        <v/>
      </c>
    </row>
    <row r="20" spans="2:10">
      <c r="B20" s="198"/>
      <c r="C20" s="199">
        <f>Dat_02!B19</f>
        <v>45216</v>
      </c>
      <c r="D20" s="198"/>
      <c r="E20" s="200">
        <f>Dat_02!C19</f>
        <v>5.8518849325269544</v>
      </c>
      <c r="F20" s="200">
        <f>Dat_02!D19</f>
        <v>40.400211353346023</v>
      </c>
      <c r="G20" s="200">
        <f>Dat_02!E19</f>
        <v>5.8518849325269544</v>
      </c>
      <c r="I20" s="201">
        <f>Dat_02!G19</f>
        <v>0</v>
      </c>
      <c r="J20" s="207" t="str">
        <f>IF(Dat_02!H19=0,"",Dat_02!H19)</f>
        <v/>
      </c>
    </row>
    <row r="21" spans="2:10">
      <c r="B21" s="198"/>
      <c r="C21" s="199">
        <f>Dat_02!B20</f>
        <v>45217</v>
      </c>
      <c r="D21" s="198"/>
      <c r="E21" s="200">
        <f>Dat_02!C20</f>
        <v>70.60312873297741</v>
      </c>
      <c r="F21" s="200">
        <f>Dat_02!D20</f>
        <v>40.400211353346023</v>
      </c>
      <c r="G21" s="200">
        <f>Dat_02!E20</f>
        <v>40.400211353346023</v>
      </c>
      <c r="I21" s="201">
        <f>Dat_02!G20</f>
        <v>0</v>
      </c>
      <c r="J21" s="207" t="str">
        <f>IF(Dat_02!H20=0,"",Dat_02!H20)</f>
        <v/>
      </c>
    </row>
    <row r="22" spans="2:10">
      <c r="B22" s="198"/>
      <c r="C22" s="199">
        <f>Dat_02!B21</f>
        <v>45218</v>
      </c>
      <c r="D22" s="198"/>
      <c r="E22" s="200">
        <f>Dat_02!C21</f>
        <v>78.534630715978338</v>
      </c>
      <c r="F22" s="200">
        <f>Dat_02!D21</f>
        <v>40.400211353346023</v>
      </c>
      <c r="G22" s="200">
        <f>Dat_02!E21</f>
        <v>40.400211353346023</v>
      </c>
      <c r="I22" s="201">
        <f>Dat_02!G21</f>
        <v>0</v>
      </c>
      <c r="J22" s="207" t="str">
        <f>IF(Dat_02!H21=0,"",Dat_02!H21)</f>
        <v/>
      </c>
    </row>
    <row r="23" spans="2:10">
      <c r="B23" s="198"/>
      <c r="C23" s="199">
        <f>Dat_02!B22</f>
        <v>45219</v>
      </c>
      <c r="D23" s="198"/>
      <c r="E23" s="200">
        <f>Dat_02!C22</f>
        <v>90.890940400979275</v>
      </c>
      <c r="F23" s="200">
        <f>Dat_02!D22</f>
        <v>40.400211353346023</v>
      </c>
      <c r="G23" s="200">
        <f>Dat_02!E22</f>
        <v>40.400211353346023</v>
      </c>
      <c r="I23" s="201">
        <f>Dat_02!G22</f>
        <v>0</v>
      </c>
      <c r="J23" s="207" t="str">
        <f>IF(Dat_02!H22=0,"",Dat_02!H22)</f>
        <v/>
      </c>
    </row>
    <row r="24" spans="2:10">
      <c r="B24" s="198"/>
      <c r="C24" s="199">
        <f>Dat_02!B23</f>
        <v>45220</v>
      </c>
      <c r="D24" s="198"/>
      <c r="E24" s="200">
        <f>Dat_02!C23</f>
        <v>96.171797856979282</v>
      </c>
      <c r="F24" s="200">
        <f>Dat_02!D23</f>
        <v>40.400211353346023</v>
      </c>
      <c r="G24" s="200">
        <f>Dat_02!E23</f>
        <v>40.400211353346023</v>
      </c>
      <c r="I24" s="201">
        <f>Dat_02!G23</f>
        <v>0</v>
      </c>
      <c r="J24" s="207" t="str">
        <f>IF(Dat_02!H23=0,"",Dat_02!H23)</f>
        <v/>
      </c>
    </row>
    <row r="25" spans="2:10">
      <c r="B25" s="198"/>
      <c r="C25" s="199">
        <f>Dat_02!B24</f>
        <v>45221</v>
      </c>
      <c r="D25" s="198"/>
      <c r="E25" s="200">
        <f>Dat_02!C24</f>
        <v>104.0859269489774</v>
      </c>
      <c r="F25" s="200">
        <f>Dat_02!D24</f>
        <v>40.400211353346023</v>
      </c>
      <c r="G25" s="200">
        <f>Dat_02!E24</f>
        <v>40.400211353346023</v>
      </c>
      <c r="I25" s="201">
        <f>Dat_02!G24</f>
        <v>0</v>
      </c>
      <c r="J25" s="207" t="str">
        <f>IF(Dat_02!H24=0,"",Dat_02!H24)</f>
        <v/>
      </c>
    </row>
    <row r="26" spans="2:10">
      <c r="B26" s="198"/>
      <c r="C26" s="199">
        <f>Dat_02!B25</f>
        <v>45222</v>
      </c>
      <c r="D26" s="198"/>
      <c r="E26" s="200">
        <f>Dat_02!C25</f>
        <v>122.76917567297927</v>
      </c>
      <c r="F26" s="200">
        <f>Dat_02!D25</f>
        <v>40.400211353346023</v>
      </c>
      <c r="G26" s="200">
        <f>Dat_02!E25</f>
        <v>40.400211353346023</v>
      </c>
      <c r="I26" s="201">
        <f>Dat_02!G25</f>
        <v>0</v>
      </c>
      <c r="J26" s="207" t="str">
        <f>IF(Dat_02!H25=0,"",Dat_02!H25)</f>
        <v/>
      </c>
    </row>
    <row r="27" spans="2:10">
      <c r="B27" s="198"/>
      <c r="C27" s="199">
        <f>Dat_02!B26</f>
        <v>45223</v>
      </c>
      <c r="D27" s="198"/>
      <c r="E27" s="200">
        <f>Dat_02!C26</f>
        <v>101.42940740097833</v>
      </c>
      <c r="F27" s="200">
        <f>Dat_02!D26</f>
        <v>40.400211353346023</v>
      </c>
      <c r="G27" s="200">
        <f>Dat_02!E26</f>
        <v>40.400211353346023</v>
      </c>
      <c r="I27" s="201">
        <f>Dat_02!G26</f>
        <v>0</v>
      </c>
      <c r="J27" s="207" t="str">
        <f>IF(Dat_02!H26=0,"",Dat_02!H26)</f>
        <v/>
      </c>
    </row>
    <row r="28" spans="2:10">
      <c r="B28" s="198"/>
      <c r="C28" s="199">
        <f>Dat_02!B27</f>
        <v>45224</v>
      </c>
      <c r="D28" s="198"/>
      <c r="E28" s="200">
        <f>Dat_02!C27</f>
        <v>155.50635443682236</v>
      </c>
      <c r="F28" s="200">
        <f>Dat_02!D27</f>
        <v>40.400211353346023</v>
      </c>
      <c r="G28" s="200">
        <f>Dat_02!E27</f>
        <v>40.400211353346023</v>
      </c>
      <c r="I28" s="201">
        <f>Dat_02!G27</f>
        <v>0</v>
      </c>
      <c r="J28" s="207" t="str">
        <f>IF(Dat_02!H27=0,"",Dat_02!H27)</f>
        <v/>
      </c>
    </row>
    <row r="29" spans="2:10">
      <c r="B29" s="198"/>
      <c r="C29" s="199">
        <f>Dat_02!B28</f>
        <v>45225</v>
      </c>
      <c r="D29" s="198"/>
      <c r="E29" s="200">
        <f>Dat_02!C28</f>
        <v>161.22304439982139</v>
      </c>
      <c r="F29" s="200">
        <f>Dat_02!D28</f>
        <v>40.400211353346023</v>
      </c>
      <c r="G29" s="200">
        <f>Dat_02!E28</f>
        <v>40.400211353346023</v>
      </c>
      <c r="I29" s="201">
        <f>Dat_02!G28</f>
        <v>0</v>
      </c>
      <c r="J29" s="207" t="str">
        <f>IF(Dat_02!H28=0,"",Dat_02!H28)</f>
        <v/>
      </c>
    </row>
    <row r="30" spans="2:10">
      <c r="B30" s="198"/>
      <c r="C30" s="199">
        <f>Dat_02!B29</f>
        <v>45226</v>
      </c>
      <c r="D30" s="198"/>
      <c r="E30" s="200">
        <f>Dat_02!C29</f>
        <v>173.31285210182233</v>
      </c>
      <c r="F30" s="200">
        <f>Dat_02!D29</f>
        <v>40.400211353346023</v>
      </c>
      <c r="G30" s="200">
        <f>Dat_02!E29</f>
        <v>40.400211353346023</v>
      </c>
      <c r="I30" s="201">
        <f>Dat_02!G29</f>
        <v>0</v>
      </c>
      <c r="J30" s="207" t="str">
        <f>IF(Dat_02!H29=0,"",Dat_02!H29)</f>
        <v/>
      </c>
    </row>
    <row r="31" spans="2:10">
      <c r="B31" s="198"/>
      <c r="C31" s="199">
        <f>Dat_02!B30</f>
        <v>45227</v>
      </c>
      <c r="D31" s="198"/>
      <c r="E31" s="200">
        <f>Dat_02!C30</f>
        <v>167.54062048382141</v>
      </c>
      <c r="F31" s="200">
        <f>Dat_02!D30</f>
        <v>40.400211353346023</v>
      </c>
      <c r="G31" s="200">
        <f>Dat_02!E30</f>
        <v>40.400211353346023</v>
      </c>
      <c r="I31" s="201">
        <f>Dat_02!G30</f>
        <v>0</v>
      </c>
      <c r="J31" s="207" t="str">
        <f>IF(Dat_02!H30=0,"",Dat_02!H30)</f>
        <v/>
      </c>
    </row>
    <row r="32" spans="2:10">
      <c r="B32" s="198"/>
      <c r="C32" s="199">
        <f>Dat_02!B31</f>
        <v>45228</v>
      </c>
      <c r="D32" s="198"/>
      <c r="E32" s="200">
        <f>Dat_02!C31</f>
        <v>177.79013328882235</v>
      </c>
      <c r="F32" s="200">
        <f>Dat_02!D31</f>
        <v>40.400211353346023</v>
      </c>
      <c r="G32" s="200">
        <f>Dat_02!E31</f>
        <v>40.400211353346023</v>
      </c>
      <c r="I32" s="201">
        <f>Dat_02!G31</f>
        <v>0</v>
      </c>
      <c r="J32" s="207" t="str">
        <f>IF(Dat_02!H31=0,"",Dat_02!H31)</f>
        <v/>
      </c>
    </row>
    <row r="33" spans="2:10">
      <c r="B33" s="198"/>
      <c r="C33" s="199">
        <f>Dat_02!B32</f>
        <v>45229</v>
      </c>
      <c r="D33" s="198"/>
      <c r="E33" s="200">
        <f>Dat_02!C32</f>
        <v>178.86842101782236</v>
      </c>
      <c r="F33" s="200">
        <f>Dat_02!D32</f>
        <v>40.400211353346023</v>
      </c>
      <c r="G33" s="200">
        <f>Dat_02!E32</f>
        <v>40.400211353346023</v>
      </c>
      <c r="I33" s="201">
        <f>Dat_02!G32</f>
        <v>0</v>
      </c>
      <c r="J33" s="207" t="str">
        <f>IF(Dat_02!H32=0,"",Dat_02!H32)</f>
        <v/>
      </c>
    </row>
    <row r="34" spans="2:10">
      <c r="B34" s="198"/>
      <c r="C34" s="199">
        <f>Dat_02!B33</f>
        <v>45230</v>
      </c>
      <c r="D34" s="198"/>
      <c r="E34" s="200">
        <f>Dat_02!C33</f>
        <v>219.01297562782048</v>
      </c>
      <c r="F34" s="200">
        <f>Dat_02!D33</f>
        <v>40.400211353346023</v>
      </c>
      <c r="G34" s="200">
        <f>Dat_02!E33</f>
        <v>40.400211353346023</v>
      </c>
      <c r="I34" s="201">
        <f>Dat_02!G33</f>
        <v>0</v>
      </c>
      <c r="J34" s="207" t="str">
        <f>IF(Dat_02!H33=0,"",Dat_02!H33)</f>
        <v/>
      </c>
    </row>
    <row r="35" spans="2:10">
      <c r="B35" s="198" t="s">
        <v>168</v>
      </c>
      <c r="C35" s="199">
        <f>Dat_02!B34</f>
        <v>45231</v>
      </c>
      <c r="D35" s="198"/>
      <c r="E35" s="200">
        <f>Dat_02!C34</f>
        <v>253.6148215318982</v>
      </c>
      <c r="F35" s="200">
        <f>Dat_02!D34</f>
        <v>80.938788836501317</v>
      </c>
      <c r="G35" s="200">
        <f>Dat_02!E34</f>
        <v>80.938788836501317</v>
      </c>
      <c r="I35" s="201">
        <f>Dat_02!G34</f>
        <v>0</v>
      </c>
      <c r="J35" s="207" t="str">
        <f>IF(Dat_02!H34=0,"",Dat_02!H34)</f>
        <v/>
      </c>
    </row>
    <row r="36" spans="2:10">
      <c r="B36" s="198"/>
      <c r="C36" s="199">
        <f>Dat_02!B35</f>
        <v>45232</v>
      </c>
      <c r="D36" s="198"/>
      <c r="E36" s="200">
        <f>Dat_02!C35</f>
        <v>254.10288048389819</v>
      </c>
      <c r="F36" s="200">
        <f>Dat_02!D35</f>
        <v>80.938788836501317</v>
      </c>
      <c r="G36" s="200">
        <f>Dat_02!E35</f>
        <v>80.938788836501317</v>
      </c>
      <c r="I36" s="201">
        <f>Dat_02!G35</f>
        <v>0</v>
      </c>
      <c r="J36" s="207" t="str">
        <f>IF(Dat_02!H35=0,"",Dat_02!H35)</f>
        <v/>
      </c>
    </row>
    <row r="37" spans="2:10">
      <c r="B37" s="198"/>
      <c r="C37" s="199">
        <f>Dat_02!B36</f>
        <v>45233</v>
      </c>
      <c r="D37" s="198"/>
      <c r="E37" s="200">
        <f>Dat_02!C36</f>
        <v>263.87942528789819</v>
      </c>
      <c r="F37" s="200">
        <f>Dat_02!D36</f>
        <v>80.938788836501317</v>
      </c>
      <c r="G37" s="200">
        <f>Dat_02!E36</f>
        <v>80.938788836501317</v>
      </c>
      <c r="I37" s="201">
        <f>Dat_02!G36</f>
        <v>0</v>
      </c>
      <c r="J37" s="207" t="str">
        <f>IF(Dat_02!H36=0,"",Dat_02!H36)</f>
        <v/>
      </c>
    </row>
    <row r="38" spans="2:10">
      <c r="B38" s="198"/>
      <c r="C38" s="199">
        <f>Dat_02!B37</f>
        <v>45234</v>
      </c>
      <c r="D38" s="198"/>
      <c r="E38" s="200">
        <f>Dat_02!C37</f>
        <v>260.97814761189818</v>
      </c>
      <c r="F38" s="200">
        <f>Dat_02!D37</f>
        <v>80.938788836501317</v>
      </c>
      <c r="G38" s="200">
        <f>Dat_02!E37</f>
        <v>80.938788836501317</v>
      </c>
      <c r="I38" s="201">
        <f>Dat_02!G37</f>
        <v>0</v>
      </c>
      <c r="J38" s="207" t="str">
        <f>IF(Dat_02!H37=0,"",Dat_02!H37)</f>
        <v/>
      </c>
    </row>
    <row r="39" spans="2:10">
      <c r="B39" s="198"/>
      <c r="C39" s="199">
        <f>Dat_02!B38</f>
        <v>45235</v>
      </c>
      <c r="D39" s="198"/>
      <c r="E39" s="200">
        <f>Dat_02!C38</f>
        <v>260.26990864389916</v>
      </c>
      <c r="F39" s="200">
        <f>Dat_02!D38</f>
        <v>80.938788836501317</v>
      </c>
      <c r="G39" s="200">
        <f>Dat_02!E38</f>
        <v>80.938788836501317</v>
      </c>
      <c r="I39" s="201">
        <f>Dat_02!G38</f>
        <v>0</v>
      </c>
      <c r="J39" s="207" t="str">
        <f>IF(Dat_02!H38=0,"",Dat_02!H38)</f>
        <v/>
      </c>
    </row>
    <row r="40" spans="2:10">
      <c r="B40" s="198"/>
      <c r="C40" s="199">
        <f>Dat_02!B39</f>
        <v>45236</v>
      </c>
      <c r="D40" s="198"/>
      <c r="E40" s="200">
        <f>Dat_02!C39</f>
        <v>271.86419665289731</v>
      </c>
      <c r="F40" s="200">
        <f>Dat_02!D39</f>
        <v>80.938788836501317</v>
      </c>
      <c r="G40" s="200">
        <f>Dat_02!E39</f>
        <v>80.938788836501317</v>
      </c>
      <c r="I40" s="201">
        <f>Dat_02!G39</f>
        <v>0</v>
      </c>
      <c r="J40" s="207" t="str">
        <f>IF(Dat_02!H39=0,"",Dat_02!H39)</f>
        <v/>
      </c>
    </row>
    <row r="41" spans="2:10">
      <c r="B41" s="198"/>
      <c r="C41" s="199">
        <f>Dat_02!B40</f>
        <v>45237</v>
      </c>
      <c r="D41" s="198"/>
      <c r="E41" s="200">
        <f>Dat_02!C40</f>
        <v>288.43707496989913</v>
      </c>
      <c r="F41" s="200">
        <f>Dat_02!D40</f>
        <v>80.938788836501317</v>
      </c>
      <c r="G41" s="200">
        <f>Dat_02!E40</f>
        <v>80.938788836501317</v>
      </c>
      <c r="I41" s="201">
        <f>Dat_02!G40</f>
        <v>0</v>
      </c>
      <c r="J41" s="207" t="str">
        <f>IF(Dat_02!H40=0,"",Dat_02!H40)</f>
        <v/>
      </c>
    </row>
    <row r="42" spans="2:10">
      <c r="B42" s="198"/>
      <c r="C42" s="199">
        <f>Dat_02!B41</f>
        <v>45238</v>
      </c>
      <c r="D42" s="198"/>
      <c r="E42" s="200">
        <f>Dat_02!C41</f>
        <v>201.7189202797035</v>
      </c>
      <c r="F42" s="200">
        <f>Dat_02!D41</f>
        <v>80.938788836501317</v>
      </c>
      <c r="G42" s="200">
        <f>Dat_02!E41</f>
        <v>80.938788836501317</v>
      </c>
      <c r="I42" s="201">
        <f>Dat_02!G41</f>
        <v>0</v>
      </c>
      <c r="J42" s="207" t="str">
        <f>IF(Dat_02!H41=0,"",Dat_02!H41)</f>
        <v/>
      </c>
    </row>
    <row r="43" spans="2:10">
      <c r="B43" s="198"/>
      <c r="C43" s="199">
        <f>Dat_02!B42</f>
        <v>45239</v>
      </c>
      <c r="D43" s="198"/>
      <c r="E43" s="200">
        <f>Dat_02!C42</f>
        <v>192.57401201370166</v>
      </c>
      <c r="F43" s="200">
        <f>Dat_02!D42</f>
        <v>80.938788836501317</v>
      </c>
      <c r="G43" s="200">
        <f>Dat_02!E42</f>
        <v>80.938788836501317</v>
      </c>
      <c r="I43" s="201">
        <f>Dat_02!G42</f>
        <v>0</v>
      </c>
      <c r="J43" s="207" t="str">
        <f>IF(Dat_02!H42=0,"",Dat_02!H42)</f>
        <v/>
      </c>
    </row>
    <row r="44" spans="2:10">
      <c r="B44" s="198"/>
      <c r="C44" s="199">
        <f>Dat_02!B43</f>
        <v>45240</v>
      </c>
      <c r="D44" s="198"/>
      <c r="E44" s="200">
        <f>Dat_02!C43</f>
        <v>190.53594786770165</v>
      </c>
      <c r="F44" s="200">
        <f>Dat_02!D43</f>
        <v>80.938788836501317</v>
      </c>
      <c r="G44" s="200">
        <f>Dat_02!E43</f>
        <v>80.938788836501317</v>
      </c>
      <c r="I44" s="201">
        <f>Dat_02!G43</f>
        <v>0</v>
      </c>
      <c r="J44" s="207" t="str">
        <f>IF(Dat_02!H43=0,"",Dat_02!H43)</f>
        <v/>
      </c>
    </row>
    <row r="45" spans="2:10">
      <c r="B45" s="198"/>
      <c r="C45" s="199">
        <f>Dat_02!B44</f>
        <v>45241</v>
      </c>
      <c r="D45" s="198"/>
      <c r="E45" s="200">
        <f>Dat_02!C44</f>
        <v>165.43634698970351</v>
      </c>
      <c r="F45" s="200">
        <f>Dat_02!D44</f>
        <v>80.938788836501317</v>
      </c>
      <c r="G45" s="200">
        <f>Dat_02!E44</f>
        <v>80.938788836501317</v>
      </c>
      <c r="I45" s="201">
        <f>Dat_02!G44</f>
        <v>0</v>
      </c>
      <c r="J45" s="207" t="str">
        <f>IF(Dat_02!H44=0,"",Dat_02!H44)</f>
        <v/>
      </c>
    </row>
    <row r="46" spans="2:10">
      <c r="B46" s="198"/>
      <c r="C46" s="199">
        <f>Dat_02!B45</f>
        <v>45242</v>
      </c>
      <c r="D46" s="198"/>
      <c r="E46" s="200">
        <f>Dat_02!C45</f>
        <v>171.5012587987035</v>
      </c>
      <c r="F46" s="200">
        <f>Dat_02!D45</f>
        <v>80.938788836501317</v>
      </c>
      <c r="G46" s="200">
        <f>Dat_02!E45</f>
        <v>80.938788836501317</v>
      </c>
      <c r="I46" s="201">
        <f>Dat_02!G45</f>
        <v>0</v>
      </c>
      <c r="J46" s="207" t="str">
        <f>IF(Dat_02!H45=0,"",Dat_02!H45)</f>
        <v/>
      </c>
    </row>
    <row r="47" spans="2:10">
      <c r="B47" s="198"/>
      <c r="C47" s="199">
        <f>Dat_02!B46</f>
        <v>45243</v>
      </c>
      <c r="D47" s="198"/>
      <c r="E47" s="200">
        <f>Dat_02!C46</f>
        <v>186.9203967267035</v>
      </c>
      <c r="F47" s="200">
        <f>Dat_02!D46</f>
        <v>80.938788836501317</v>
      </c>
      <c r="G47" s="200">
        <f>Dat_02!E46</f>
        <v>80.938788836501317</v>
      </c>
      <c r="I47" s="201">
        <f>Dat_02!G46</f>
        <v>0</v>
      </c>
      <c r="J47" s="207" t="str">
        <f>IF(Dat_02!H46=0,"",Dat_02!H46)</f>
        <v/>
      </c>
    </row>
    <row r="48" spans="2:10">
      <c r="B48" s="198"/>
      <c r="C48" s="199">
        <f>Dat_02!B47</f>
        <v>45244</v>
      </c>
      <c r="D48" s="198"/>
      <c r="E48" s="200">
        <f>Dat_02!C47</f>
        <v>195.15432373870163</v>
      </c>
      <c r="F48" s="200">
        <f>Dat_02!D47</f>
        <v>80.938788836501317</v>
      </c>
      <c r="G48" s="200">
        <f>Dat_02!E47</f>
        <v>80.938788836501317</v>
      </c>
      <c r="I48" s="201">
        <f>Dat_02!G47</f>
        <v>0</v>
      </c>
      <c r="J48" s="207" t="str">
        <f>IF(Dat_02!H47=0,"",Dat_02!H47)</f>
        <v/>
      </c>
    </row>
    <row r="49" spans="2:10">
      <c r="B49" s="198"/>
      <c r="C49" s="199">
        <f>Dat_02!B48</f>
        <v>45245</v>
      </c>
      <c r="D49" s="198"/>
      <c r="E49" s="200">
        <f>Dat_02!C48</f>
        <v>136.88150827041906</v>
      </c>
      <c r="F49" s="200">
        <f>Dat_02!D48</f>
        <v>80.938788836501317</v>
      </c>
      <c r="G49" s="200">
        <f>Dat_02!E48</f>
        <v>80.938788836501317</v>
      </c>
      <c r="I49" s="201">
        <f>Dat_02!G48</f>
        <v>80.938788836501317</v>
      </c>
      <c r="J49" s="207" t="str">
        <f>IF(Dat_02!H48=0,"",Dat_02!H48)</f>
        <v/>
      </c>
    </row>
    <row r="50" spans="2:10">
      <c r="B50" s="198"/>
      <c r="C50" s="199">
        <f>Dat_02!B49</f>
        <v>45246</v>
      </c>
      <c r="D50" s="198"/>
      <c r="E50" s="200">
        <f>Dat_02!C49</f>
        <v>137.88263202641906</v>
      </c>
      <c r="F50" s="200">
        <f>Dat_02!D49</f>
        <v>80.938788836501317</v>
      </c>
      <c r="G50" s="200">
        <f>Dat_02!E49</f>
        <v>80.938788836501317</v>
      </c>
      <c r="I50" s="201">
        <f>Dat_02!G49</f>
        <v>0</v>
      </c>
      <c r="J50" s="207" t="str">
        <f>IF(Dat_02!H49=0,"",Dat_02!H49)</f>
        <v/>
      </c>
    </row>
    <row r="51" spans="2:10">
      <c r="B51" s="198"/>
      <c r="C51" s="199">
        <f>Dat_02!B50</f>
        <v>45247</v>
      </c>
      <c r="D51" s="198"/>
      <c r="E51" s="200">
        <f>Dat_02!C50</f>
        <v>154.00726435041909</v>
      </c>
      <c r="F51" s="200">
        <f>Dat_02!D50</f>
        <v>80.938788836501317</v>
      </c>
      <c r="G51" s="200">
        <f>Dat_02!E50</f>
        <v>80.938788836501317</v>
      </c>
      <c r="I51" s="201">
        <f>Dat_02!G50</f>
        <v>0</v>
      </c>
      <c r="J51" s="207" t="str">
        <f>IF(Dat_02!H50=0,"",Dat_02!H50)</f>
        <v/>
      </c>
    </row>
    <row r="52" spans="2:10">
      <c r="B52" s="198"/>
      <c r="C52" s="199">
        <f>Dat_02!B51</f>
        <v>45248</v>
      </c>
      <c r="D52" s="198"/>
      <c r="E52" s="200">
        <f>Dat_02!C51</f>
        <v>147.38477178242093</v>
      </c>
      <c r="F52" s="200">
        <f>Dat_02!D51</f>
        <v>80.938788836501317</v>
      </c>
      <c r="G52" s="200">
        <f>Dat_02!E51</f>
        <v>80.938788836501317</v>
      </c>
      <c r="I52" s="201">
        <f>Dat_02!G51</f>
        <v>0</v>
      </c>
      <c r="J52" s="207" t="str">
        <f>IF(Dat_02!H51=0,"",Dat_02!H51)</f>
        <v/>
      </c>
    </row>
    <row r="53" spans="2:10">
      <c r="B53" s="198"/>
      <c r="C53" s="199">
        <f>Dat_02!B52</f>
        <v>45249</v>
      </c>
      <c r="D53" s="198"/>
      <c r="E53" s="200">
        <f>Dat_02!C52</f>
        <v>113.46929277041906</v>
      </c>
      <c r="F53" s="200">
        <f>Dat_02!D52</f>
        <v>80.938788836501317</v>
      </c>
      <c r="G53" s="200">
        <f>Dat_02!E52</f>
        <v>80.938788836501317</v>
      </c>
      <c r="I53" s="201">
        <f>Dat_02!G52</f>
        <v>0</v>
      </c>
      <c r="J53" s="207" t="str">
        <f>IF(Dat_02!H52=0,"",Dat_02!H52)</f>
        <v/>
      </c>
    </row>
    <row r="54" spans="2:10">
      <c r="B54" s="198"/>
      <c r="C54" s="199">
        <f>Dat_02!B53</f>
        <v>45250</v>
      </c>
      <c r="D54" s="198"/>
      <c r="E54" s="200">
        <f>Dat_02!C53</f>
        <v>133.41938511441907</v>
      </c>
      <c r="F54" s="200">
        <f>Dat_02!D53</f>
        <v>80.938788836501317</v>
      </c>
      <c r="G54" s="200">
        <f>Dat_02!E53</f>
        <v>80.938788836501317</v>
      </c>
      <c r="I54" s="201">
        <f>Dat_02!G53</f>
        <v>0</v>
      </c>
      <c r="J54" s="207" t="str">
        <f>IF(Dat_02!H53=0,"",Dat_02!H53)</f>
        <v/>
      </c>
    </row>
    <row r="55" spans="2:10">
      <c r="B55" s="198"/>
      <c r="C55" s="199">
        <f>Dat_02!B54</f>
        <v>45251</v>
      </c>
      <c r="D55" s="198"/>
      <c r="E55" s="200">
        <f>Dat_02!C54</f>
        <v>96.503505298420933</v>
      </c>
      <c r="F55" s="200">
        <f>Dat_02!D54</f>
        <v>80.938788836501317</v>
      </c>
      <c r="G55" s="200">
        <f>Dat_02!E54</f>
        <v>80.938788836501317</v>
      </c>
      <c r="I55" s="201">
        <f>Dat_02!G54</f>
        <v>0</v>
      </c>
      <c r="J55" s="207" t="str">
        <f>IF(Dat_02!H54=0,"",Dat_02!H54)</f>
        <v/>
      </c>
    </row>
    <row r="56" spans="2:10">
      <c r="B56" s="198"/>
      <c r="C56" s="199">
        <f>Dat_02!B55</f>
        <v>45252</v>
      </c>
      <c r="D56" s="198"/>
      <c r="E56" s="200">
        <f>Dat_02!C55</f>
        <v>54.502371812797733</v>
      </c>
      <c r="F56" s="200">
        <f>Dat_02!D55</f>
        <v>80.938788836501317</v>
      </c>
      <c r="G56" s="200">
        <f>Dat_02!E55</f>
        <v>54.502371812797733</v>
      </c>
      <c r="I56" s="201">
        <f>Dat_02!G55</f>
        <v>0</v>
      </c>
      <c r="J56" s="207" t="str">
        <f>IF(Dat_02!H55=0,"",Dat_02!H55)</f>
        <v/>
      </c>
    </row>
    <row r="57" spans="2:10">
      <c r="B57" s="198"/>
      <c r="C57" s="199">
        <f>Dat_02!B56</f>
        <v>45253</v>
      </c>
      <c r="D57" s="198"/>
      <c r="E57" s="200">
        <f>Dat_02!C56</f>
        <v>69.862290128795863</v>
      </c>
      <c r="F57" s="200">
        <f>Dat_02!D56</f>
        <v>80.938788836501317</v>
      </c>
      <c r="G57" s="200">
        <f>Dat_02!E56</f>
        <v>69.862290128795863</v>
      </c>
      <c r="I57" s="201">
        <f>Dat_02!G56</f>
        <v>0</v>
      </c>
      <c r="J57" s="207" t="str">
        <f>IF(Dat_02!H56=0,"",Dat_02!H56)</f>
        <v/>
      </c>
    </row>
    <row r="58" spans="2:10">
      <c r="B58" s="198"/>
      <c r="C58" s="199">
        <f>Dat_02!B57</f>
        <v>45254</v>
      </c>
      <c r="D58" s="198"/>
      <c r="E58" s="200">
        <f>Dat_02!C57</f>
        <v>82.498538988797733</v>
      </c>
      <c r="F58" s="200">
        <f>Dat_02!D57</f>
        <v>80.938788836501317</v>
      </c>
      <c r="G58" s="200">
        <f>Dat_02!E57</f>
        <v>80.938788836501317</v>
      </c>
      <c r="I58" s="201">
        <f>Dat_02!G57</f>
        <v>0</v>
      </c>
      <c r="J58" s="207" t="str">
        <f>IF(Dat_02!H57=0,"",Dat_02!H57)</f>
        <v/>
      </c>
    </row>
    <row r="59" spans="2:10">
      <c r="B59" s="198"/>
      <c r="C59" s="199">
        <f>Dat_02!B58</f>
        <v>45255</v>
      </c>
      <c r="D59" s="198"/>
      <c r="E59" s="200">
        <f>Dat_02!C58</f>
        <v>78.329930240797736</v>
      </c>
      <c r="F59" s="200">
        <f>Dat_02!D58</f>
        <v>80.938788836501317</v>
      </c>
      <c r="G59" s="200">
        <f>Dat_02!E58</f>
        <v>78.329930240797736</v>
      </c>
      <c r="I59" s="201">
        <f>Dat_02!G58</f>
        <v>0</v>
      </c>
      <c r="J59" s="207" t="str">
        <f>IF(Dat_02!H58=0,"",Dat_02!H58)</f>
        <v/>
      </c>
    </row>
    <row r="60" spans="2:10">
      <c r="B60" s="198"/>
      <c r="C60" s="199">
        <f>Dat_02!B59</f>
        <v>45256</v>
      </c>
      <c r="D60" s="198"/>
      <c r="E60" s="200">
        <f>Dat_02!C59</f>
        <v>119.80415644079773</v>
      </c>
      <c r="F60" s="200">
        <f>Dat_02!D59</f>
        <v>80.938788836501317</v>
      </c>
      <c r="G60" s="200">
        <f>Dat_02!E59</f>
        <v>80.938788836501317</v>
      </c>
      <c r="I60" s="201">
        <f>Dat_02!G59</f>
        <v>0</v>
      </c>
      <c r="J60" s="207" t="str">
        <f>IF(Dat_02!H59=0,"",Dat_02!H59)</f>
        <v/>
      </c>
    </row>
    <row r="61" spans="2:10">
      <c r="B61" s="198"/>
      <c r="C61" s="199">
        <f>Dat_02!B60</f>
        <v>45257</v>
      </c>
      <c r="D61" s="198"/>
      <c r="E61" s="200">
        <f>Dat_02!C60</f>
        <v>116.94519380879588</v>
      </c>
      <c r="F61" s="200">
        <f>Dat_02!D60</f>
        <v>80.938788836501317</v>
      </c>
      <c r="G61" s="200">
        <f>Dat_02!E60</f>
        <v>80.938788836501317</v>
      </c>
      <c r="I61" s="201">
        <f>Dat_02!G60</f>
        <v>0</v>
      </c>
      <c r="J61" s="207" t="str">
        <f>IF(Dat_02!H60=0,"",Dat_02!H60)</f>
        <v/>
      </c>
    </row>
    <row r="62" spans="2:10">
      <c r="B62" s="198"/>
      <c r="C62" s="199">
        <f>Dat_02!B61</f>
        <v>45258</v>
      </c>
      <c r="D62" s="198"/>
      <c r="E62" s="200">
        <f>Dat_02!C61</f>
        <v>112.09005923679774</v>
      </c>
      <c r="F62" s="200">
        <f>Dat_02!D61</f>
        <v>80.938788836501317</v>
      </c>
      <c r="G62" s="200">
        <f>Dat_02!E61</f>
        <v>80.938788836501317</v>
      </c>
      <c r="I62" s="201">
        <f>Dat_02!G61</f>
        <v>0</v>
      </c>
      <c r="J62" s="207" t="str">
        <f>IF(Dat_02!H61=0,"",Dat_02!H61)</f>
        <v/>
      </c>
    </row>
    <row r="63" spans="2:10">
      <c r="B63" s="198"/>
      <c r="C63" s="199">
        <f>Dat_02!B62</f>
        <v>45259</v>
      </c>
      <c r="D63" s="198"/>
      <c r="E63" s="200">
        <f>Dat_02!C62</f>
        <v>138.81680317065374</v>
      </c>
      <c r="F63" s="200">
        <f>Dat_02!D62</f>
        <v>80.938788836501317</v>
      </c>
      <c r="G63" s="200">
        <f>Dat_02!E62</f>
        <v>80.938788836501317</v>
      </c>
      <c r="I63" s="201">
        <f>Dat_02!G62</f>
        <v>0</v>
      </c>
      <c r="J63" s="207" t="str">
        <f>IF(Dat_02!H62=0,"",Dat_02!H62)</f>
        <v/>
      </c>
    </row>
    <row r="64" spans="2:10">
      <c r="B64" s="198"/>
      <c r="C64" s="199">
        <f>Dat_02!B63</f>
        <v>45260</v>
      </c>
      <c r="D64" s="198"/>
      <c r="E64" s="200">
        <f>Dat_02!C63</f>
        <v>161.78593439865745</v>
      </c>
      <c r="F64" s="200">
        <f>Dat_02!D63</f>
        <v>80.938788836501317</v>
      </c>
      <c r="G64" s="200">
        <f>Dat_02!E63</f>
        <v>80.938788836501317</v>
      </c>
      <c r="I64" s="201">
        <f>Dat_02!G63</f>
        <v>0</v>
      </c>
      <c r="J64" s="207" t="str">
        <f>IF(Dat_02!H63=0,"",Dat_02!H63)</f>
        <v/>
      </c>
    </row>
    <row r="65" spans="2:10">
      <c r="B65" s="198" t="s">
        <v>169</v>
      </c>
      <c r="C65" s="199">
        <f>Dat_02!B64</f>
        <v>45261</v>
      </c>
      <c r="D65" s="198"/>
      <c r="E65" s="200">
        <f>Dat_02!C64</f>
        <v>161.11846028265373</v>
      </c>
      <c r="F65" s="200">
        <f>Dat_02!D64</f>
        <v>105.77564059458246</v>
      </c>
      <c r="G65" s="200">
        <f>Dat_02!E64</f>
        <v>105.77564059458246</v>
      </c>
      <c r="I65" s="201">
        <f>Dat_02!G64</f>
        <v>0</v>
      </c>
      <c r="J65" s="207" t="str">
        <f>IF(Dat_02!H64=0,"",Dat_02!H64)</f>
        <v/>
      </c>
    </row>
    <row r="66" spans="2:10">
      <c r="B66" s="198"/>
      <c r="C66" s="199">
        <f>Dat_02!B65</f>
        <v>45262</v>
      </c>
      <c r="D66" s="198"/>
      <c r="E66" s="200">
        <f>Dat_02!C65</f>
        <v>157.50765632665559</v>
      </c>
      <c r="F66" s="200">
        <f>Dat_02!D65</f>
        <v>105.77564059458246</v>
      </c>
      <c r="G66" s="200">
        <f>Dat_02!E65</f>
        <v>105.77564059458246</v>
      </c>
      <c r="I66" s="201">
        <f>Dat_02!G65</f>
        <v>0</v>
      </c>
      <c r="J66" s="207" t="str">
        <f>IF(Dat_02!H65=0,"",Dat_02!H65)</f>
        <v/>
      </c>
    </row>
    <row r="67" spans="2:10">
      <c r="B67" s="198"/>
      <c r="C67" s="199">
        <f>Dat_02!B66</f>
        <v>45263</v>
      </c>
      <c r="D67" s="198"/>
      <c r="E67" s="200">
        <f>Dat_02!C66</f>
        <v>164.27959961465373</v>
      </c>
      <c r="F67" s="200">
        <f>Dat_02!D66</f>
        <v>105.77564059458246</v>
      </c>
      <c r="G67" s="200">
        <f>Dat_02!E66</f>
        <v>105.77564059458246</v>
      </c>
      <c r="I67" s="201">
        <f>Dat_02!G66</f>
        <v>0</v>
      </c>
      <c r="J67" s="207" t="str">
        <f>IF(Dat_02!H66=0,"",Dat_02!H66)</f>
        <v/>
      </c>
    </row>
    <row r="68" spans="2:10">
      <c r="B68" s="198"/>
      <c r="C68" s="199">
        <f>Dat_02!B67</f>
        <v>45264</v>
      </c>
      <c r="D68" s="198"/>
      <c r="E68" s="200">
        <f>Dat_02!C67</f>
        <v>172.60810895065745</v>
      </c>
      <c r="F68" s="200">
        <f>Dat_02!D67</f>
        <v>105.77564059458246</v>
      </c>
      <c r="G68" s="200">
        <f>Dat_02!E67</f>
        <v>105.77564059458246</v>
      </c>
      <c r="I68" s="201">
        <f>Dat_02!G67</f>
        <v>0</v>
      </c>
      <c r="J68" s="207" t="str">
        <f>IF(Dat_02!H67=0,"",Dat_02!H67)</f>
        <v/>
      </c>
    </row>
    <row r="69" spans="2:10">
      <c r="B69" s="198"/>
      <c r="C69" s="199">
        <f>Dat_02!B68</f>
        <v>45265</v>
      </c>
      <c r="D69" s="198"/>
      <c r="E69" s="200">
        <f>Dat_02!C68</f>
        <v>201.47537958265372</v>
      </c>
      <c r="F69" s="200">
        <f>Dat_02!D68</f>
        <v>105.77564059458246</v>
      </c>
      <c r="G69" s="200">
        <f>Dat_02!E68</f>
        <v>105.77564059458246</v>
      </c>
      <c r="I69" s="201">
        <f>Dat_02!G68</f>
        <v>0</v>
      </c>
      <c r="J69" s="207" t="str">
        <f>IF(Dat_02!H68=0,"",Dat_02!H68)</f>
        <v/>
      </c>
    </row>
    <row r="70" spans="2:10">
      <c r="B70" s="198"/>
      <c r="C70" s="199">
        <f>Dat_02!B69</f>
        <v>45266</v>
      </c>
      <c r="D70" s="198"/>
      <c r="E70" s="200">
        <f>Dat_02!C69</f>
        <v>204.49060813522718</v>
      </c>
      <c r="F70" s="200">
        <f>Dat_02!D69</f>
        <v>105.77564059458246</v>
      </c>
      <c r="G70" s="200">
        <f>Dat_02!E69</f>
        <v>105.77564059458246</v>
      </c>
      <c r="I70" s="201">
        <f>Dat_02!G69</f>
        <v>0</v>
      </c>
      <c r="J70" s="207" t="str">
        <f>IF(Dat_02!H69=0,"",Dat_02!H69)</f>
        <v/>
      </c>
    </row>
    <row r="71" spans="2:10">
      <c r="B71" s="198"/>
      <c r="C71" s="199">
        <f>Dat_02!B70</f>
        <v>45267</v>
      </c>
      <c r="D71" s="198"/>
      <c r="E71" s="200">
        <f>Dat_02!C70</f>
        <v>176.03838892322719</v>
      </c>
      <c r="F71" s="200">
        <f>Dat_02!D70</f>
        <v>105.77564059458246</v>
      </c>
      <c r="G71" s="200">
        <f>Dat_02!E70</f>
        <v>105.77564059458246</v>
      </c>
      <c r="I71" s="201">
        <f>Dat_02!G70</f>
        <v>0</v>
      </c>
      <c r="J71" s="207" t="str">
        <f>IF(Dat_02!H70=0,"",Dat_02!H70)</f>
        <v/>
      </c>
    </row>
    <row r="72" spans="2:10">
      <c r="B72" s="198"/>
      <c r="C72" s="199">
        <f>Dat_02!B71</f>
        <v>45268</v>
      </c>
      <c r="D72" s="198"/>
      <c r="E72" s="200">
        <f>Dat_02!C71</f>
        <v>131.1346977272253</v>
      </c>
      <c r="F72" s="200">
        <f>Dat_02!D71</f>
        <v>105.77564059458246</v>
      </c>
      <c r="G72" s="200">
        <f>Dat_02!E71</f>
        <v>105.77564059458246</v>
      </c>
      <c r="I72" s="201">
        <f>Dat_02!G71</f>
        <v>0</v>
      </c>
      <c r="J72" s="207" t="str">
        <f>IF(Dat_02!H71=0,"",Dat_02!H71)</f>
        <v/>
      </c>
    </row>
    <row r="73" spans="2:10">
      <c r="B73" s="198"/>
      <c r="C73" s="199">
        <f>Dat_02!B72</f>
        <v>45269</v>
      </c>
      <c r="D73" s="198"/>
      <c r="E73" s="200">
        <f>Dat_02!C72</f>
        <v>134.04051455122718</v>
      </c>
      <c r="F73" s="200">
        <f>Dat_02!D72</f>
        <v>105.77564059458246</v>
      </c>
      <c r="G73" s="200">
        <f>Dat_02!E72</f>
        <v>105.77564059458246</v>
      </c>
      <c r="I73" s="201">
        <f>Dat_02!G72</f>
        <v>0</v>
      </c>
      <c r="J73" s="207" t="str">
        <f>IF(Dat_02!H72=0,"",Dat_02!H72)</f>
        <v/>
      </c>
    </row>
    <row r="74" spans="2:10">
      <c r="B74" s="198"/>
      <c r="C74" s="199">
        <f>Dat_02!B73</f>
        <v>45270</v>
      </c>
      <c r="D74" s="198"/>
      <c r="E74" s="200">
        <f>Dat_02!C73</f>
        <v>140.68438737922534</v>
      </c>
      <c r="F74" s="200">
        <f>Dat_02!D73</f>
        <v>105.77564059458246</v>
      </c>
      <c r="G74" s="200">
        <f>Dat_02!E73</f>
        <v>105.77564059458246</v>
      </c>
      <c r="I74" s="201">
        <f>Dat_02!G73</f>
        <v>0</v>
      </c>
      <c r="J74" s="207" t="str">
        <f>IF(Dat_02!H73=0,"",Dat_02!H73)</f>
        <v/>
      </c>
    </row>
    <row r="75" spans="2:10">
      <c r="B75" s="198"/>
      <c r="C75" s="199">
        <f>Dat_02!B74</f>
        <v>45271</v>
      </c>
      <c r="D75" s="198"/>
      <c r="E75" s="200">
        <f>Dat_02!C74</f>
        <v>161.31594569722719</v>
      </c>
      <c r="F75" s="200">
        <f>Dat_02!D74</f>
        <v>105.77564059458246</v>
      </c>
      <c r="G75" s="200">
        <f>Dat_02!E74</f>
        <v>105.77564059458246</v>
      </c>
      <c r="I75" s="201">
        <f>Dat_02!G74</f>
        <v>0</v>
      </c>
      <c r="J75" s="207" t="str">
        <f>IF(Dat_02!H74=0,"",Dat_02!H74)</f>
        <v/>
      </c>
    </row>
    <row r="76" spans="2:10">
      <c r="B76" s="198"/>
      <c r="C76" s="199">
        <f>Dat_02!B75</f>
        <v>45272</v>
      </c>
      <c r="D76" s="198"/>
      <c r="E76" s="200">
        <f>Dat_02!C75</f>
        <v>173.59638009122719</v>
      </c>
      <c r="F76" s="200">
        <f>Dat_02!D75</f>
        <v>105.77564059458246</v>
      </c>
      <c r="G76" s="200">
        <f>Dat_02!E75</f>
        <v>105.77564059458246</v>
      </c>
      <c r="I76" s="201">
        <f>Dat_02!G75</f>
        <v>0</v>
      </c>
      <c r="J76" s="207" t="str">
        <f>IF(Dat_02!H75=0,"",Dat_02!H75)</f>
        <v/>
      </c>
    </row>
    <row r="77" spans="2:10">
      <c r="B77" s="198"/>
      <c r="C77" s="199">
        <f>Dat_02!B76</f>
        <v>45273</v>
      </c>
      <c r="D77" s="198"/>
      <c r="E77" s="200">
        <f>Dat_02!C76</f>
        <v>144.47361120657493</v>
      </c>
      <c r="F77" s="200">
        <f>Dat_02!D76</f>
        <v>105.77564059458246</v>
      </c>
      <c r="G77" s="200">
        <f>Dat_02!E76</f>
        <v>105.77564059458246</v>
      </c>
      <c r="I77" s="201">
        <f>Dat_02!G76</f>
        <v>0</v>
      </c>
      <c r="J77" s="207" t="str">
        <f>IF(Dat_02!H76=0,"",Dat_02!H76)</f>
        <v/>
      </c>
    </row>
    <row r="78" spans="2:10">
      <c r="B78" s="198"/>
      <c r="C78" s="199">
        <f>Dat_02!B77</f>
        <v>45274</v>
      </c>
      <c r="D78" s="198"/>
      <c r="E78" s="200">
        <f>Dat_02!C77</f>
        <v>142.99797357457305</v>
      </c>
      <c r="F78" s="200">
        <f>Dat_02!D77</f>
        <v>105.77564059458246</v>
      </c>
      <c r="G78" s="200">
        <f>Dat_02!E77</f>
        <v>105.77564059458246</v>
      </c>
      <c r="I78" s="201">
        <f>Dat_02!G77</f>
        <v>0</v>
      </c>
      <c r="J78" s="207" t="str">
        <f>IF(Dat_02!H77=0,"",Dat_02!H77)</f>
        <v/>
      </c>
    </row>
    <row r="79" spans="2:10">
      <c r="B79" s="198"/>
      <c r="C79" s="199">
        <f>Dat_02!B78</f>
        <v>45275</v>
      </c>
      <c r="D79" s="198"/>
      <c r="E79" s="200">
        <f>Dat_02!C78</f>
        <v>155.57880703057305</v>
      </c>
      <c r="F79" s="200">
        <f>Dat_02!D78</f>
        <v>105.77564059458246</v>
      </c>
      <c r="G79" s="200">
        <f>Dat_02!E78</f>
        <v>105.77564059458246</v>
      </c>
      <c r="I79" s="201">
        <f>Dat_02!G78</f>
        <v>105.77564059458246</v>
      </c>
      <c r="J79" s="207" t="str">
        <f>IF(Dat_02!H78=0,"",Dat_02!H78)</f>
        <v/>
      </c>
    </row>
    <row r="80" spans="2:10">
      <c r="B80" s="198"/>
      <c r="C80" s="199">
        <f>Dat_02!B79</f>
        <v>45276</v>
      </c>
      <c r="D80" s="198"/>
      <c r="E80" s="200">
        <f>Dat_02!C79</f>
        <v>156.43636204257305</v>
      </c>
      <c r="F80" s="200">
        <f>Dat_02!D79</f>
        <v>105.77564059458246</v>
      </c>
      <c r="G80" s="200">
        <f>Dat_02!E79</f>
        <v>105.77564059458246</v>
      </c>
      <c r="I80" s="201">
        <f>Dat_02!G79</f>
        <v>0</v>
      </c>
      <c r="J80" s="207" t="str">
        <f>IF(Dat_02!H79=0,"",Dat_02!H79)</f>
        <v/>
      </c>
    </row>
    <row r="81" spans="2:10">
      <c r="B81" s="198"/>
      <c r="C81" s="199">
        <f>Dat_02!B80</f>
        <v>45277</v>
      </c>
      <c r="D81" s="198"/>
      <c r="E81" s="200">
        <f>Dat_02!C80</f>
        <v>163.83536717457494</v>
      </c>
      <c r="F81" s="200">
        <f>Dat_02!D80</f>
        <v>105.77564059458246</v>
      </c>
      <c r="G81" s="200">
        <f>Dat_02!E80</f>
        <v>105.77564059458246</v>
      </c>
      <c r="I81" s="201">
        <f>Dat_02!G80</f>
        <v>0</v>
      </c>
      <c r="J81" s="207" t="str">
        <f>IF(Dat_02!H80=0,"",Dat_02!H80)</f>
        <v/>
      </c>
    </row>
    <row r="82" spans="2:10">
      <c r="B82" s="198"/>
      <c r="C82" s="199">
        <f>Dat_02!B81</f>
        <v>45278</v>
      </c>
      <c r="D82" s="198"/>
      <c r="E82" s="200">
        <f>Dat_02!C81</f>
        <v>189.10055625057305</v>
      </c>
      <c r="F82" s="200">
        <f>Dat_02!D81</f>
        <v>105.77564059458246</v>
      </c>
      <c r="G82" s="200">
        <f>Dat_02!E81</f>
        <v>105.77564059458246</v>
      </c>
      <c r="I82" s="201">
        <f>Dat_02!G81</f>
        <v>0</v>
      </c>
      <c r="J82" s="207" t="str">
        <f>IF(Dat_02!H81=0,"",Dat_02!H81)</f>
        <v/>
      </c>
    </row>
    <row r="83" spans="2:10">
      <c r="B83" s="198"/>
      <c r="C83" s="199">
        <f>Dat_02!B82</f>
        <v>45279</v>
      </c>
      <c r="D83" s="198"/>
      <c r="E83" s="200">
        <f>Dat_02!C82</f>
        <v>184.65076205057304</v>
      </c>
      <c r="F83" s="200">
        <f>Dat_02!D82</f>
        <v>105.77564059458246</v>
      </c>
      <c r="G83" s="200">
        <f>Dat_02!E82</f>
        <v>105.77564059458246</v>
      </c>
      <c r="I83" s="201">
        <f>Dat_02!G82</f>
        <v>0</v>
      </c>
      <c r="J83" s="207" t="str">
        <f>IF(Dat_02!H82=0,"",Dat_02!H82)</f>
        <v/>
      </c>
    </row>
    <row r="84" spans="2:10">
      <c r="B84" s="198"/>
      <c r="C84" s="199">
        <f>Dat_02!B83</f>
        <v>45280</v>
      </c>
      <c r="D84" s="198"/>
      <c r="E84" s="200">
        <f>Dat_02!C83</f>
        <v>91.702290069493571</v>
      </c>
      <c r="F84" s="200">
        <f>Dat_02!D83</f>
        <v>105.77564059458246</v>
      </c>
      <c r="G84" s="200">
        <f>Dat_02!E83</f>
        <v>91.702290069493571</v>
      </c>
      <c r="I84" s="201">
        <f>Dat_02!G83</f>
        <v>0</v>
      </c>
      <c r="J84" s="207" t="str">
        <f>IF(Dat_02!H83=0,"",Dat_02!H83)</f>
        <v/>
      </c>
    </row>
    <row r="85" spans="2:10">
      <c r="B85" s="198"/>
      <c r="C85" s="199">
        <f>Dat_02!B84</f>
        <v>45281</v>
      </c>
      <c r="D85" s="198"/>
      <c r="E85" s="200">
        <f>Dat_02!C84</f>
        <v>96.763374213493563</v>
      </c>
      <c r="F85" s="200">
        <f>Dat_02!D84</f>
        <v>105.77564059458246</v>
      </c>
      <c r="G85" s="200">
        <f>Dat_02!E84</f>
        <v>96.763374213493563</v>
      </c>
      <c r="I85" s="201">
        <f>Dat_02!G84</f>
        <v>0</v>
      </c>
      <c r="J85" s="207" t="str">
        <f>IF(Dat_02!H84=0,"",Dat_02!H84)</f>
        <v/>
      </c>
    </row>
    <row r="86" spans="2:10">
      <c r="B86" s="198"/>
      <c r="C86" s="199">
        <f>Dat_02!B85</f>
        <v>45282</v>
      </c>
      <c r="D86" s="198"/>
      <c r="E86" s="200">
        <f>Dat_02!C85</f>
        <v>85.367497525495438</v>
      </c>
      <c r="F86" s="200">
        <f>Dat_02!D85</f>
        <v>105.77564059458246</v>
      </c>
      <c r="G86" s="200">
        <f>Dat_02!E85</f>
        <v>85.367497525495438</v>
      </c>
      <c r="I86" s="201">
        <f>Dat_02!G85</f>
        <v>0</v>
      </c>
      <c r="J86" s="207" t="str">
        <f>IF(Dat_02!H85=0,"",Dat_02!H85)</f>
        <v/>
      </c>
    </row>
    <row r="87" spans="2:10">
      <c r="B87" s="198"/>
      <c r="C87" s="199">
        <f>Dat_02!B86</f>
        <v>45283</v>
      </c>
      <c r="D87" s="198"/>
      <c r="E87" s="200">
        <f>Dat_02!C86</f>
        <v>83.527756937491702</v>
      </c>
      <c r="F87" s="200">
        <f>Dat_02!D86</f>
        <v>105.77564059458246</v>
      </c>
      <c r="G87" s="200">
        <f>Dat_02!E86</f>
        <v>83.527756937491702</v>
      </c>
      <c r="I87" s="201">
        <f>Dat_02!G86</f>
        <v>0</v>
      </c>
      <c r="J87" s="207" t="str">
        <f>IF(Dat_02!H86=0,"",Dat_02!H86)</f>
        <v/>
      </c>
    </row>
    <row r="88" spans="2:10">
      <c r="B88" s="198"/>
      <c r="C88" s="199">
        <f>Dat_02!B87</f>
        <v>45284</v>
      </c>
      <c r="D88" s="198"/>
      <c r="E88" s="200">
        <f>Dat_02!C87</f>
        <v>107.22605843349544</v>
      </c>
      <c r="F88" s="200">
        <f>Dat_02!D87</f>
        <v>105.77564059458246</v>
      </c>
      <c r="G88" s="200">
        <f>Dat_02!E87</f>
        <v>105.77564059458246</v>
      </c>
      <c r="I88" s="201">
        <f>Dat_02!G87</f>
        <v>0</v>
      </c>
      <c r="J88" s="207" t="str">
        <f>IF(Dat_02!H87=0,"",Dat_02!H87)</f>
        <v/>
      </c>
    </row>
    <row r="89" spans="2:10">
      <c r="B89" s="198"/>
      <c r="C89" s="199">
        <f>Dat_02!B88</f>
        <v>45285</v>
      </c>
      <c r="D89" s="198"/>
      <c r="E89" s="200">
        <f>Dat_02!C88</f>
        <v>88.17712642549543</v>
      </c>
      <c r="F89" s="200">
        <f>Dat_02!D88</f>
        <v>105.77564059458246</v>
      </c>
      <c r="G89" s="200">
        <f>Dat_02!E88</f>
        <v>88.17712642549543</v>
      </c>
      <c r="I89" s="201">
        <f>Dat_02!G88</f>
        <v>0</v>
      </c>
      <c r="J89" s="207" t="str">
        <f>IF(Dat_02!H88=0,"",Dat_02!H88)</f>
        <v/>
      </c>
    </row>
    <row r="90" spans="2:10">
      <c r="B90" s="198"/>
      <c r="C90" s="199">
        <f>Dat_02!B89</f>
        <v>45286</v>
      </c>
      <c r="D90" s="198"/>
      <c r="E90" s="200">
        <f>Dat_02!C89</f>
        <v>122.90049378949357</v>
      </c>
      <c r="F90" s="200">
        <f>Dat_02!D89</f>
        <v>105.77564059458246</v>
      </c>
      <c r="G90" s="200">
        <f>Dat_02!E89</f>
        <v>105.77564059458246</v>
      </c>
      <c r="I90" s="201">
        <f>Dat_02!G89</f>
        <v>0</v>
      </c>
      <c r="J90" s="207" t="str">
        <f>IF(Dat_02!H89=0,"",Dat_02!H89)</f>
        <v/>
      </c>
    </row>
    <row r="91" spans="2:10">
      <c r="B91" s="198"/>
      <c r="C91" s="199">
        <f>Dat_02!B90</f>
        <v>45287</v>
      </c>
      <c r="D91" s="198"/>
      <c r="E91" s="200">
        <f>Dat_02!C90</f>
        <v>132.85878955014627</v>
      </c>
      <c r="F91" s="200">
        <f>Dat_02!D90</f>
        <v>105.77564059458246</v>
      </c>
      <c r="G91" s="200">
        <f>Dat_02!E90</f>
        <v>105.77564059458246</v>
      </c>
      <c r="I91" s="201">
        <f>Dat_02!G90</f>
        <v>0</v>
      </c>
      <c r="J91" s="207" t="str">
        <f>IF(Dat_02!H90=0,"",Dat_02!H90)</f>
        <v/>
      </c>
    </row>
    <row r="92" spans="2:10">
      <c r="B92" s="198"/>
      <c r="C92" s="199">
        <f>Dat_02!B91</f>
        <v>45288</v>
      </c>
      <c r="D92" s="198"/>
      <c r="E92" s="200">
        <f>Dat_02!C91</f>
        <v>128.13222722614813</v>
      </c>
      <c r="F92" s="200">
        <f>Dat_02!D91</f>
        <v>105.77564059458246</v>
      </c>
      <c r="G92" s="200">
        <f>Dat_02!E91</f>
        <v>105.77564059458246</v>
      </c>
      <c r="I92" s="201">
        <f>Dat_02!G91</f>
        <v>0</v>
      </c>
      <c r="J92" s="207" t="str">
        <f>IF(Dat_02!H91=0,"",Dat_02!H91)</f>
        <v/>
      </c>
    </row>
    <row r="93" spans="2:10">
      <c r="B93" s="198"/>
      <c r="C93" s="199">
        <f>Dat_02!B92</f>
        <v>45289</v>
      </c>
      <c r="D93" s="198"/>
      <c r="E93" s="200">
        <f>Dat_02!C92</f>
        <v>139.02115590614628</v>
      </c>
      <c r="F93" s="200">
        <f>Dat_02!D92</f>
        <v>105.77564059458246</v>
      </c>
      <c r="G93" s="200">
        <f>Dat_02!E92</f>
        <v>105.77564059458246</v>
      </c>
      <c r="I93" s="201">
        <f>Dat_02!G92</f>
        <v>0</v>
      </c>
      <c r="J93" s="207" t="str">
        <f>IF(Dat_02!H92=0,"",Dat_02!H92)</f>
        <v/>
      </c>
    </row>
    <row r="94" spans="2:10">
      <c r="B94" s="198"/>
      <c r="C94" s="199">
        <f>Dat_02!B93</f>
        <v>45290</v>
      </c>
      <c r="D94" s="198"/>
      <c r="E94" s="200">
        <f>Dat_02!C93</f>
        <v>82.876341482146259</v>
      </c>
      <c r="F94" s="200">
        <f>Dat_02!D93</f>
        <v>105.77564059458246</v>
      </c>
      <c r="G94" s="200">
        <f>Dat_02!E93</f>
        <v>82.876341482146259</v>
      </c>
      <c r="I94" s="201">
        <f>Dat_02!G93</f>
        <v>0</v>
      </c>
      <c r="J94" s="207" t="str">
        <f>IF(Dat_02!H93=0,"",Dat_02!H93)</f>
        <v/>
      </c>
    </row>
    <row r="95" spans="2:10">
      <c r="B95" s="198"/>
      <c r="C95" s="199">
        <f>Dat_02!B94</f>
        <v>45291</v>
      </c>
      <c r="D95" s="198"/>
      <c r="E95" s="200">
        <f>Dat_02!C94</f>
        <v>60.706967374148121</v>
      </c>
      <c r="F95" s="200">
        <f>Dat_02!D94</f>
        <v>105.77564059458246</v>
      </c>
      <c r="G95" s="200">
        <f>Dat_02!E94</f>
        <v>60.706967374148121</v>
      </c>
      <c r="I95" s="201">
        <f>Dat_02!G94</f>
        <v>0</v>
      </c>
      <c r="J95" s="207" t="str">
        <f>IF(Dat_02!H94=0,"",Dat_02!H94)</f>
        <v/>
      </c>
    </row>
    <row r="96" spans="2:10">
      <c r="B96" s="198" t="s">
        <v>170</v>
      </c>
      <c r="C96" s="199">
        <f>Dat_02!B95</f>
        <v>45292</v>
      </c>
      <c r="D96" s="198"/>
      <c r="E96" s="200">
        <f>Dat_02!C95</f>
        <v>46.317331766148129</v>
      </c>
      <c r="F96" s="200">
        <f>Dat_02!D95</f>
        <v>117.80762382080276</v>
      </c>
      <c r="G96" s="200">
        <f>Dat_02!E95</f>
        <v>46.317331766148129</v>
      </c>
      <c r="I96" s="201">
        <f>Dat_02!G95</f>
        <v>0</v>
      </c>
      <c r="J96" s="207">
        <f>IF(Dat_02!H95=0,"",Dat_02!H95)</f>
        <v>2024</v>
      </c>
    </row>
    <row r="97" spans="2:10">
      <c r="B97" s="198"/>
      <c r="C97" s="199">
        <f>Dat_02!B96</f>
        <v>45293</v>
      </c>
      <c r="D97" s="198"/>
      <c r="E97" s="200">
        <f>Dat_02!C96</f>
        <v>55.940354536146259</v>
      </c>
      <c r="F97" s="200">
        <f>Dat_02!D96</f>
        <v>117.80762382080276</v>
      </c>
      <c r="G97" s="200">
        <f>Dat_02!E96</f>
        <v>55.940354536146259</v>
      </c>
      <c r="I97" s="201">
        <f>Dat_02!G96</f>
        <v>0</v>
      </c>
      <c r="J97" s="207" t="str">
        <f>IF(Dat_02!H96=0,"",Dat_02!H96)</f>
        <v/>
      </c>
    </row>
    <row r="98" spans="2:10">
      <c r="B98" s="198"/>
      <c r="C98" s="199">
        <f>Dat_02!B97</f>
        <v>45294</v>
      </c>
      <c r="D98" s="198"/>
      <c r="E98" s="200">
        <f>Dat_02!C97</f>
        <v>96.347034938338027</v>
      </c>
      <c r="F98" s="200">
        <f>Dat_02!D97</f>
        <v>117.80762382080276</v>
      </c>
      <c r="G98" s="200">
        <f>Dat_02!E97</f>
        <v>96.347034938338027</v>
      </c>
      <c r="I98" s="201">
        <f>Dat_02!G97</f>
        <v>0</v>
      </c>
      <c r="J98" s="207" t="str">
        <f>IF(Dat_02!H97=0,"",Dat_02!H97)</f>
        <v/>
      </c>
    </row>
    <row r="99" spans="2:10">
      <c r="B99" s="198"/>
      <c r="C99" s="199">
        <f>Dat_02!B98</f>
        <v>45295</v>
      </c>
      <c r="D99" s="198"/>
      <c r="E99" s="200">
        <f>Dat_02!C98</f>
        <v>142.08962147033802</v>
      </c>
      <c r="F99" s="200">
        <f>Dat_02!D98</f>
        <v>117.80762382080276</v>
      </c>
      <c r="G99" s="200">
        <f>Dat_02!E98</f>
        <v>117.80762382080276</v>
      </c>
      <c r="I99" s="201">
        <f>Dat_02!G98</f>
        <v>0</v>
      </c>
      <c r="J99" s="207" t="str">
        <f>IF(Dat_02!H98=0,"",Dat_02!H98)</f>
        <v/>
      </c>
    </row>
    <row r="100" spans="2:10">
      <c r="B100" s="198"/>
      <c r="C100" s="199">
        <f>Dat_02!B99</f>
        <v>45296</v>
      </c>
      <c r="D100" s="198"/>
      <c r="E100" s="200">
        <f>Dat_02!C99</f>
        <v>85.95209914233989</v>
      </c>
      <c r="F100" s="200">
        <f>Dat_02!D99</f>
        <v>117.80762382080276</v>
      </c>
      <c r="G100" s="200">
        <f>Dat_02!E99</f>
        <v>85.95209914233989</v>
      </c>
      <c r="I100" s="201">
        <f>Dat_02!G99</f>
        <v>0</v>
      </c>
      <c r="J100" s="207" t="str">
        <f>IF(Dat_02!H99=0,"",Dat_02!H99)</f>
        <v/>
      </c>
    </row>
    <row r="101" spans="2:10">
      <c r="B101" s="198"/>
      <c r="C101" s="199">
        <f>Dat_02!B100</f>
        <v>45297</v>
      </c>
      <c r="D101" s="198"/>
      <c r="E101" s="200">
        <f>Dat_02!C100</f>
        <v>80.384418654339882</v>
      </c>
      <c r="F101" s="200">
        <f>Dat_02!D100</f>
        <v>117.80762382080276</v>
      </c>
      <c r="G101" s="200">
        <f>Dat_02!E100</f>
        <v>80.384418654339882</v>
      </c>
      <c r="I101" s="201">
        <f>Dat_02!G100</f>
        <v>0</v>
      </c>
      <c r="J101" s="207" t="str">
        <f>IF(Dat_02!H100=0,"",Dat_02!H100)</f>
        <v/>
      </c>
    </row>
    <row r="102" spans="2:10">
      <c r="B102" s="198"/>
      <c r="C102" s="199">
        <f>Dat_02!B101</f>
        <v>45298</v>
      </c>
      <c r="D102" s="198"/>
      <c r="E102" s="200">
        <f>Dat_02!C101</f>
        <v>91.604318702336172</v>
      </c>
      <c r="F102" s="200">
        <f>Dat_02!D101</f>
        <v>117.80762382080276</v>
      </c>
      <c r="G102" s="200">
        <f>Dat_02!E101</f>
        <v>91.604318702336172</v>
      </c>
      <c r="I102" s="201">
        <f>Dat_02!G101</f>
        <v>0</v>
      </c>
      <c r="J102" s="207" t="str">
        <f>IF(Dat_02!H101=0,"",Dat_02!H101)</f>
        <v/>
      </c>
    </row>
    <row r="103" spans="2:10">
      <c r="B103" s="198"/>
      <c r="C103" s="199">
        <f>Dat_02!B102</f>
        <v>45299</v>
      </c>
      <c r="D103" s="198"/>
      <c r="E103" s="200">
        <f>Dat_02!C102</f>
        <v>147.70257932633987</v>
      </c>
      <c r="F103" s="200">
        <f>Dat_02!D102</f>
        <v>117.80762382080276</v>
      </c>
      <c r="G103" s="200">
        <f>Dat_02!E102</f>
        <v>117.80762382080276</v>
      </c>
      <c r="I103" s="201">
        <f>Dat_02!G102</f>
        <v>0</v>
      </c>
      <c r="J103" s="207" t="str">
        <f>IF(Dat_02!H102=0,"",Dat_02!H102)</f>
        <v/>
      </c>
    </row>
    <row r="104" spans="2:10">
      <c r="B104" s="198"/>
      <c r="C104" s="199">
        <f>Dat_02!B103</f>
        <v>45300</v>
      </c>
      <c r="D104" s="198"/>
      <c r="E104" s="200">
        <f>Dat_02!C103</f>
        <v>174.70871064133988</v>
      </c>
      <c r="F104" s="200">
        <f>Dat_02!D103</f>
        <v>117.80762382080276</v>
      </c>
      <c r="G104" s="200">
        <f>Dat_02!E103</f>
        <v>117.80762382080276</v>
      </c>
      <c r="I104" s="201">
        <f>Dat_02!G103</f>
        <v>0</v>
      </c>
      <c r="J104" s="207" t="str">
        <f>IF(Dat_02!H103=0,"",Dat_02!H103)</f>
        <v/>
      </c>
    </row>
    <row r="105" spans="2:10">
      <c r="B105" s="198"/>
      <c r="C105" s="199">
        <f>Dat_02!B104</f>
        <v>45301</v>
      </c>
      <c r="D105" s="198"/>
      <c r="E105" s="200">
        <f>Dat_02!C104</f>
        <v>128.66585141382532</v>
      </c>
      <c r="F105" s="200">
        <f>Dat_02!D104</f>
        <v>117.80762382080276</v>
      </c>
      <c r="G105" s="200">
        <f>Dat_02!E104</f>
        <v>117.80762382080276</v>
      </c>
      <c r="I105" s="201">
        <f>Dat_02!G104</f>
        <v>0</v>
      </c>
      <c r="J105" s="207" t="str">
        <f>IF(Dat_02!H104=0,"",Dat_02!H104)</f>
        <v/>
      </c>
    </row>
    <row r="106" spans="2:10">
      <c r="B106" s="198"/>
      <c r="C106" s="199">
        <f>Dat_02!B105</f>
        <v>45302</v>
      </c>
      <c r="D106" s="198"/>
      <c r="E106" s="200">
        <f>Dat_02!C105</f>
        <v>122.48400734982721</v>
      </c>
      <c r="F106" s="200">
        <f>Dat_02!D105</f>
        <v>117.80762382080276</v>
      </c>
      <c r="G106" s="200">
        <f>Dat_02!E105</f>
        <v>117.80762382080276</v>
      </c>
      <c r="I106" s="201">
        <f>Dat_02!G105</f>
        <v>0</v>
      </c>
      <c r="J106" s="207" t="str">
        <f>IF(Dat_02!H105=0,"",Dat_02!H105)</f>
        <v/>
      </c>
    </row>
    <row r="107" spans="2:10">
      <c r="B107" s="198"/>
      <c r="C107" s="199">
        <f>Dat_02!B106</f>
        <v>45303</v>
      </c>
      <c r="D107" s="198"/>
      <c r="E107" s="200">
        <f>Dat_02!C106</f>
        <v>90.921518729827213</v>
      </c>
      <c r="F107" s="200">
        <f>Dat_02!D106</f>
        <v>117.80762382080276</v>
      </c>
      <c r="G107" s="200">
        <f>Dat_02!E106</f>
        <v>90.921518729827213</v>
      </c>
      <c r="I107" s="201">
        <f>Dat_02!G106</f>
        <v>0</v>
      </c>
      <c r="J107" s="207" t="str">
        <f>IF(Dat_02!H106=0,"",Dat_02!H106)</f>
        <v/>
      </c>
    </row>
    <row r="108" spans="2:10">
      <c r="B108" s="198"/>
      <c r="C108" s="199">
        <f>Dat_02!B107</f>
        <v>45304</v>
      </c>
      <c r="D108" s="198"/>
      <c r="E108" s="200">
        <f>Dat_02!C107</f>
        <v>101.59093457382534</v>
      </c>
      <c r="F108" s="200">
        <f>Dat_02!D107</f>
        <v>117.80762382080276</v>
      </c>
      <c r="G108" s="200">
        <f>Dat_02!E107</f>
        <v>101.59093457382534</v>
      </c>
      <c r="I108" s="201">
        <f>Dat_02!G107</f>
        <v>0</v>
      </c>
      <c r="J108" s="207" t="str">
        <f>IF(Dat_02!H107=0,"",Dat_02!H107)</f>
        <v/>
      </c>
    </row>
    <row r="109" spans="2:10">
      <c r="B109" s="198"/>
      <c r="C109" s="199">
        <f>Dat_02!B108</f>
        <v>45305</v>
      </c>
      <c r="D109" s="198"/>
      <c r="E109" s="200">
        <f>Dat_02!C108</f>
        <v>73.273675441827208</v>
      </c>
      <c r="F109" s="200">
        <f>Dat_02!D108</f>
        <v>117.80762382080276</v>
      </c>
      <c r="G109" s="200">
        <f>Dat_02!E108</f>
        <v>73.273675441827208</v>
      </c>
      <c r="I109" s="201">
        <f>Dat_02!G108</f>
        <v>0</v>
      </c>
      <c r="J109" s="207" t="str">
        <f>IF(Dat_02!H108=0,"",Dat_02!H108)</f>
        <v/>
      </c>
    </row>
    <row r="110" spans="2:10">
      <c r="B110" s="198"/>
      <c r="C110" s="199">
        <f>Dat_02!B109</f>
        <v>45306</v>
      </c>
      <c r="D110" s="198"/>
      <c r="E110" s="200">
        <f>Dat_02!C109</f>
        <v>101.80176113382535</v>
      </c>
      <c r="F110" s="200">
        <f>Dat_02!D109</f>
        <v>117.80762382080276</v>
      </c>
      <c r="G110" s="200">
        <f>Dat_02!E109</f>
        <v>101.80176113382535</v>
      </c>
      <c r="I110" s="201">
        <f>Dat_02!G109</f>
        <v>117.80762382080276</v>
      </c>
      <c r="J110" s="207" t="str">
        <f>IF(Dat_02!H109=0,"",Dat_02!H109)</f>
        <v/>
      </c>
    </row>
    <row r="111" spans="2:10">
      <c r="B111" s="198"/>
      <c r="C111" s="199">
        <f>Dat_02!B110</f>
        <v>45307</v>
      </c>
      <c r="D111" s="198"/>
      <c r="E111" s="200">
        <f>Dat_02!C110</f>
        <v>76.844781177829063</v>
      </c>
      <c r="F111" s="200">
        <f>Dat_02!D110</f>
        <v>117.80762382080276</v>
      </c>
      <c r="G111" s="200">
        <f>Dat_02!E110</f>
        <v>76.844781177829063</v>
      </c>
      <c r="I111" s="201">
        <f>Dat_02!G110</f>
        <v>0</v>
      </c>
      <c r="J111" s="207" t="str">
        <f>IF(Dat_02!H110=0,"",Dat_02!H110)</f>
        <v/>
      </c>
    </row>
    <row r="112" spans="2:10">
      <c r="B112" s="198"/>
      <c r="C112" s="199">
        <f>Dat_02!B111</f>
        <v>45308</v>
      </c>
      <c r="D112" s="198"/>
      <c r="E112" s="200">
        <f>Dat_02!C111</f>
        <v>291.9973854933985</v>
      </c>
      <c r="F112" s="200">
        <f>Dat_02!D111</f>
        <v>117.80762382080276</v>
      </c>
      <c r="G112" s="200">
        <f>Dat_02!E111</f>
        <v>117.80762382080276</v>
      </c>
      <c r="I112" s="201">
        <f>Dat_02!G111</f>
        <v>0</v>
      </c>
      <c r="J112" s="207" t="str">
        <f>IF(Dat_02!H111=0,"",Dat_02!H111)</f>
        <v/>
      </c>
    </row>
    <row r="113" spans="2:10">
      <c r="B113" s="198"/>
      <c r="C113" s="199">
        <f>Dat_02!B112</f>
        <v>45309</v>
      </c>
      <c r="D113" s="198"/>
      <c r="E113" s="200">
        <f>Dat_02!C112</f>
        <v>306.61460094139846</v>
      </c>
      <c r="F113" s="200">
        <f>Dat_02!D112</f>
        <v>117.80762382080276</v>
      </c>
      <c r="G113" s="200">
        <f>Dat_02!E112</f>
        <v>117.80762382080276</v>
      </c>
      <c r="I113" s="201">
        <f>Dat_02!G112</f>
        <v>0</v>
      </c>
      <c r="J113" s="207" t="str">
        <f>IF(Dat_02!H112=0,"",Dat_02!H112)</f>
        <v/>
      </c>
    </row>
    <row r="114" spans="2:10">
      <c r="B114" s="198"/>
      <c r="C114" s="199">
        <f>Dat_02!B113</f>
        <v>45310</v>
      </c>
      <c r="D114" s="198"/>
      <c r="E114" s="200">
        <f>Dat_02!C113</f>
        <v>324.74468462540034</v>
      </c>
      <c r="F114" s="200">
        <f>Dat_02!D113</f>
        <v>117.80762382080276</v>
      </c>
      <c r="G114" s="200">
        <f>Dat_02!E113</f>
        <v>117.80762382080276</v>
      </c>
      <c r="I114" s="201">
        <f>Dat_02!G113</f>
        <v>0</v>
      </c>
      <c r="J114" s="207" t="str">
        <f>IF(Dat_02!H113=0,"",Dat_02!H113)</f>
        <v/>
      </c>
    </row>
    <row r="115" spans="2:10">
      <c r="B115" s="198"/>
      <c r="C115" s="199">
        <f>Dat_02!B114</f>
        <v>45311</v>
      </c>
      <c r="D115" s="198"/>
      <c r="E115" s="200">
        <f>Dat_02!C114</f>
        <v>325.35613808940036</v>
      </c>
      <c r="F115" s="200">
        <f>Dat_02!D114</f>
        <v>117.80762382080276</v>
      </c>
      <c r="G115" s="200">
        <f>Dat_02!E114</f>
        <v>117.80762382080276</v>
      </c>
      <c r="I115" s="201">
        <f>Dat_02!G114</f>
        <v>0</v>
      </c>
      <c r="J115" s="207" t="str">
        <f>IF(Dat_02!H114=0,"",Dat_02!H114)</f>
        <v/>
      </c>
    </row>
    <row r="116" spans="2:10">
      <c r="B116" s="198"/>
      <c r="C116" s="199">
        <f>Dat_02!B115</f>
        <v>45312</v>
      </c>
      <c r="D116" s="198"/>
      <c r="E116" s="200">
        <f>Dat_02!C115</f>
        <v>326.47416605340038</v>
      </c>
      <c r="F116" s="200">
        <f>Dat_02!D115</f>
        <v>117.80762382080276</v>
      </c>
      <c r="G116" s="200">
        <f>Dat_02!E115</f>
        <v>117.80762382080276</v>
      </c>
      <c r="I116" s="201">
        <f>Dat_02!G115</f>
        <v>0</v>
      </c>
      <c r="J116" s="207" t="str">
        <f>IF(Dat_02!H115=0,"",Dat_02!H115)</f>
        <v/>
      </c>
    </row>
    <row r="117" spans="2:10">
      <c r="B117" s="198"/>
      <c r="C117" s="199">
        <f>Dat_02!B116</f>
        <v>45313</v>
      </c>
      <c r="D117" s="198"/>
      <c r="E117" s="200">
        <f>Dat_02!C116</f>
        <v>330.81129340239846</v>
      </c>
      <c r="F117" s="200">
        <f>Dat_02!D116</f>
        <v>117.80762382080276</v>
      </c>
      <c r="G117" s="200">
        <f>Dat_02!E116</f>
        <v>117.80762382080276</v>
      </c>
      <c r="I117" s="201">
        <f>Dat_02!G116</f>
        <v>0</v>
      </c>
      <c r="J117" s="207" t="str">
        <f>IF(Dat_02!H116=0,"",Dat_02!H116)</f>
        <v/>
      </c>
    </row>
    <row r="118" spans="2:10">
      <c r="B118" s="198"/>
      <c r="C118" s="199">
        <f>Dat_02!B117</f>
        <v>45314</v>
      </c>
      <c r="D118" s="198"/>
      <c r="E118" s="200">
        <f>Dat_02!C117</f>
        <v>336.56841545240036</v>
      </c>
      <c r="F118" s="200">
        <f>Dat_02!D117</f>
        <v>117.80762382080276</v>
      </c>
      <c r="G118" s="200">
        <f>Dat_02!E117</f>
        <v>117.80762382080276</v>
      </c>
      <c r="I118" s="201">
        <f>Dat_02!G117</f>
        <v>0</v>
      </c>
      <c r="J118" s="207" t="str">
        <f>IF(Dat_02!H117=0,"",Dat_02!H117)</f>
        <v/>
      </c>
    </row>
    <row r="119" spans="2:10">
      <c r="B119" s="198"/>
      <c r="C119" s="199">
        <f>Dat_02!B118</f>
        <v>45315</v>
      </c>
      <c r="D119" s="198"/>
      <c r="E119" s="200">
        <f>Dat_02!C118</f>
        <v>174.25858186489705</v>
      </c>
      <c r="F119" s="200">
        <f>Dat_02!D118</f>
        <v>117.80762382080276</v>
      </c>
      <c r="G119" s="200">
        <f>Dat_02!E118</f>
        <v>117.80762382080276</v>
      </c>
      <c r="I119" s="201">
        <f>Dat_02!G118</f>
        <v>0</v>
      </c>
      <c r="J119" s="207" t="str">
        <f>IF(Dat_02!H118=0,"",Dat_02!H118)</f>
        <v/>
      </c>
    </row>
    <row r="120" spans="2:10">
      <c r="B120" s="198"/>
      <c r="C120" s="199">
        <f>Dat_02!B119</f>
        <v>45316</v>
      </c>
      <c r="D120" s="198"/>
      <c r="E120" s="200">
        <f>Dat_02!C119</f>
        <v>189.73486431289888</v>
      </c>
      <c r="F120" s="200">
        <f>Dat_02!D119</f>
        <v>117.80762382080276</v>
      </c>
      <c r="G120" s="200">
        <f>Dat_02!E119</f>
        <v>117.80762382080276</v>
      </c>
      <c r="I120" s="201">
        <f>Dat_02!G119</f>
        <v>0</v>
      </c>
      <c r="J120" s="207" t="str">
        <f>IF(Dat_02!H119=0,"",Dat_02!H119)</f>
        <v/>
      </c>
    </row>
    <row r="121" spans="2:10">
      <c r="B121" s="198"/>
      <c r="C121" s="199">
        <f>Dat_02!B120</f>
        <v>45317</v>
      </c>
      <c r="D121" s="198"/>
      <c r="E121" s="200">
        <f>Dat_02!C120</f>
        <v>199.20515662889332</v>
      </c>
      <c r="F121" s="200">
        <f>Dat_02!D120</f>
        <v>117.80762382080276</v>
      </c>
      <c r="G121" s="200">
        <f>Dat_02!E120</f>
        <v>117.80762382080276</v>
      </c>
      <c r="I121" s="201">
        <f>Dat_02!G120</f>
        <v>0</v>
      </c>
      <c r="J121" s="207" t="str">
        <f>IF(Dat_02!H120=0,"",Dat_02!H120)</f>
        <v/>
      </c>
    </row>
    <row r="122" spans="2:10">
      <c r="B122" s="198"/>
      <c r="C122" s="199">
        <f>Dat_02!B121</f>
        <v>45318</v>
      </c>
      <c r="D122" s="198"/>
      <c r="E122" s="200">
        <f>Dat_02!C121</f>
        <v>156.98031956089889</v>
      </c>
      <c r="F122" s="200">
        <f>Dat_02!D121</f>
        <v>117.80762382080276</v>
      </c>
      <c r="G122" s="200">
        <f>Dat_02!E121</f>
        <v>117.80762382080276</v>
      </c>
      <c r="I122" s="201">
        <f>Dat_02!G121</f>
        <v>0</v>
      </c>
      <c r="J122" s="207" t="str">
        <f>IF(Dat_02!H121=0,"",Dat_02!H121)</f>
        <v/>
      </c>
    </row>
    <row r="123" spans="2:10">
      <c r="B123" s="198"/>
      <c r="C123" s="199">
        <f>Dat_02!B122</f>
        <v>45319</v>
      </c>
      <c r="D123" s="198"/>
      <c r="E123" s="200">
        <f>Dat_02!C122</f>
        <v>144.3194687128989</v>
      </c>
      <c r="F123" s="200">
        <f>Dat_02!D122</f>
        <v>117.80762382080276</v>
      </c>
      <c r="G123" s="200">
        <f>Dat_02!E122</f>
        <v>117.80762382080276</v>
      </c>
      <c r="I123" s="201">
        <f>Dat_02!G122</f>
        <v>0</v>
      </c>
      <c r="J123" s="207" t="str">
        <f>IF(Dat_02!H122=0,"",Dat_02!H122)</f>
        <v/>
      </c>
    </row>
    <row r="124" spans="2:10">
      <c r="B124" s="198"/>
      <c r="C124" s="199">
        <f>Dat_02!B123</f>
        <v>45320</v>
      </c>
      <c r="D124" s="198"/>
      <c r="E124" s="200">
        <f>Dat_02!C123</f>
        <v>168.74329450889704</v>
      </c>
      <c r="F124" s="200">
        <f>Dat_02!D123</f>
        <v>117.80762382080276</v>
      </c>
      <c r="G124" s="200">
        <f>Dat_02!E123</f>
        <v>117.80762382080276</v>
      </c>
      <c r="I124" s="201">
        <f>Dat_02!G123</f>
        <v>0</v>
      </c>
      <c r="J124" s="207" t="str">
        <f>IF(Dat_02!H123=0,"",Dat_02!H123)</f>
        <v/>
      </c>
    </row>
    <row r="125" spans="2:10">
      <c r="B125" s="198"/>
      <c r="C125" s="199">
        <f>Dat_02!B124</f>
        <v>45321</v>
      </c>
      <c r="D125" s="198"/>
      <c r="E125" s="200">
        <f>Dat_02!C124</f>
        <v>193.72112196889518</v>
      </c>
      <c r="F125" s="200">
        <f>Dat_02!D124</f>
        <v>117.80762382080276</v>
      </c>
      <c r="G125" s="200">
        <f>Dat_02!E124</f>
        <v>117.80762382080276</v>
      </c>
      <c r="I125" s="201">
        <f>Dat_02!G124</f>
        <v>0</v>
      </c>
      <c r="J125" s="207" t="str">
        <f>IF(Dat_02!H124=0,"",Dat_02!H124)</f>
        <v/>
      </c>
    </row>
    <row r="126" spans="2:10">
      <c r="B126" s="198"/>
      <c r="C126" s="199">
        <f>Dat_02!B125</f>
        <v>45322</v>
      </c>
      <c r="D126" s="198"/>
      <c r="E126" s="200">
        <f>Dat_02!C125</f>
        <v>127.45307729313772</v>
      </c>
      <c r="F126" s="200">
        <f>Dat_02!D125</f>
        <v>117.80762382080276</v>
      </c>
      <c r="G126" s="200">
        <f>Dat_02!E125</f>
        <v>117.80762382080276</v>
      </c>
      <c r="I126" s="201">
        <f>Dat_02!G125</f>
        <v>0</v>
      </c>
      <c r="J126" s="207" t="str">
        <f>IF(Dat_02!H125=0,"",Dat_02!H125)</f>
        <v/>
      </c>
    </row>
    <row r="127" spans="2:10">
      <c r="B127" s="198" t="s">
        <v>171</v>
      </c>
      <c r="C127" s="199">
        <f>Dat_02!B126</f>
        <v>45323</v>
      </c>
      <c r="D127" s="198"/>
      <c r="E127" s="200">
        <f>Dat_02!C126</f>
        <v>115.24412592513586</v>
      </c>
      <c r="F127" s="200">
        <f>Dat_02!D126</f>
        <v>123.31777659525035</v>
      </c>
      <c r="G127" s="200">
        <f>Dat_02!E126</f>
        <v>115.24412592513586</v>
      </c>
      <c r="I127" s="201">
        <f>Dat_02!G126</f>
        <v>0</v>
      </c>
      <c r="J127" s="207" t="str">
        <f>IF(Dat_02!H126=0,"",Dat_02!H126)</f>
        <v/>
      </c>
    </row>
    <row r="128" spans="2:10">
      <c r="B128" s="198"/>
      <c r="C128" s="199">
        <f>Dat_02!B127</f>
        <v>45324</v>
      </c>
      <c r="D128" s="198"/>
      <c r="E128" s="200">
        <f>Dat_02!C127</f>
        <v>88.351072877137739</v>
      </c>
      <c r="F128" s="200">
        <f>Dat_02!D127</f>
        <v>123.31777659525035</v>
      </c>
      <c r="G128" s="200">
        <f>Dat_02!E127</f>
        <v>88.351072877137739</v>
      </c>
      <c r="I128" s="201">
        <f>Dat_02!G127</f>
        <v>0</v>
      </c>
      <c r="J128" s="207" t="str">
        <f>IF(Dat_02!H127=0,"",Dat_02!H127)</f>
        <v/>
      </c>
    </row>
    <row r="129" spans="2:10">
      <c r="B129" s="198"/>
      <c r="C129" s="199">
        <f>Dat_02!B128</f>
        <v>45325</v>
      </c>
      <c r="D129" s="198"/>
      <c r="E129" s="200">
        <f>Dat_02!C128</f>
        <v>70.321336005135862</v>
      </c>
      <c r="F129" s="200">
        <f>Dat_02!D128</f>
        <v>123.31777659525035</v>
      </c>
      <c r="G129" s="200">
        <f>Dat_02!E128</f>
        <v>70.321336005135862</v>
      </c>
      <c r="I129" s="201">
        <f>Dat_02!G128</f>
        <v>0</v>
      </c>
      <c r="J129" s="207" t="str">
        <f>IF(Dat_02!H128=0,"",Dat_02!H128)</f>
        <v/>
      </c>
    </row>
    <row r="130" spans="2:10">
      <c r="B130" s="198"/>
      <c r="C130" s="199">
        <f>Dat_02!B129</f>
        <v>45326</v>
      </c>
      <c r="D130" s="198"/>
      <c r="E130" s="200">
        <f>Dat_02!C129</f>
        <v>56.144467513139595</v>
      </c>
      <c r="F130" s="200">
        <f>Dat_02!D129</f>
        <v>123.31777659525035</v>
      </c>
      <c r="G130" s="200">
        <f>Dat_02!E129</f>
        <v>56.144467513139595</v>
      </c>
      <c r="I130" s="201">
        <f>Dat_02!G129</f>
        <v>0</v>
      </c>
      <c r="J130" s="207" t="str">
        <f>IF(Dat_02!H129=0,"",Dat_02!H129)</f>
        <v/>
      </c>
    </row>
    <row r="131" spans="2:10">
      <c r="B131" s="198"/>
      <c r="C131" s="199">
        <f>Dat_02!B130</f>
        <v>45327</v>
      </c>
      <c r="D131" s="198"/>
      <c r="E131" s="200">
        <f>Dat_02!C130</f>
        <v>107.72370077713774</v>
      </c>
      <c r="F131" s="200">
        <f>Dat_02!D130</f>
        <v>123.31777659525035</v>
      </c>
      <c r="G131" s="200">
        <f>Dat_02!E130</f>
        <v>107.72370077713774</v>
      </c>
      <c r="I131" s="201">
        <f>Dat_02!G130</f>
        <v>0</v>
      </c>
      <c r="J131" s="207" t="str">
        <f>IF(Dat_02!H130=0,"",Dat_02!H130)</f>
        <v/>
      </c>
    </row>
    <row r="132" spans="2:10">
      <c r="B132" s="198"/>
      <c r="C132" s="199">
        <f>Dat_02!B131</f>
        <v>45328</v>
      </c>
      <c r="D132" s="198"/>
      <c r="E132" s="200">
        <f>Dat_02!C131</f>
        <v>102.96022487713586</v>
      </c>
      <c r="F132" s="200">
        <f>Dat_02!D131</f>
        <v>123.31777659525035</v>
      </c>
      <c r="G132" s="200">
        <f>Dat_02!E131</f>
        <v>102.96022487713586</v>
      </c>
      <c r="I132" s="201">
        <f>Dat_02!G131</f>
        <v>0</v>
      </c>
      <c r="J132" s="207" t="str">
        <f>IF(Dat_02!H131=0,"",Dat_02!H131)</f>
        <v/>
      </c>
    </row>
    <row r="133" spans="2:10">
      <c r="B133" s="198"/>
      <c r="C133" s="199">
        <f>Dat_02!B132</f>
        <v>45329</v>
      </c>
      <c r="D133" s="198"/>
      <c r="E133" s="200">
        <f>Dat_02!C132</f>
        <v>125.23253068134586</v>
      </c>
      <c r="F133" s="200">
        <f>Dat_02!D132</f>
        <v>123.31777659525035</v>
      </c>
      <c r="G133" s="200">
        <f>Dat_02!E132</f>
        <v>123.31777659525035</v>
      </c>
      <c r="I133" s="201">
        <f>Dat_02!G132</f>
        <v>0</v>
      </c>
      <c r="J133" s="207" t="str">
        <f>IF(Dat_02!H132=0,"",Dat_02!H132)</f>
        <v/>
      </c>
    </row>
    <row r="134" spans="2:10">
      <c r="B134" s="198"/>
      <c r="C134" s="199">
        <f>Dat_02!B133</f>
        <v>45330</v>
      </c>
      <c r="D134" s="198"/>
      <c r="E134" s="200">
        <f>Dat_02!C133</f>
        <v>121.74336943334959</v>
      </c>
      <c r="F134" s="200">
        <f>Dat_02!D133</f>
        <v>123.31777659525035</v>
      </c>
      <c r="G134" s="200">
        <f>Dat_02!E133</f>
        <v>121.74336943334959</v>
      </c>
      <c r="I134" s="201">
        <f>Dat_02!G133</f>
        <v>0</v>
      </c>
      <c r="J134" s="207" t="str">
        <f>IF(Dat_02!H133=0,"",Dat_02!H133)</f>
        <v/>
      </c>
    </row>
    <row r="135" spans="2:10">
      <c r="B135" s="198"/>
      <c r="C135" s="199">
        <f>Dat_02!B134</f>
        <v>45331</v>
      </c>
      <c r="D135" s="198"/>
      <c r="E135" s="200">
        <f>Dat_02!C134</f>
        <v>122.85423017734398</v>
      </c>
      <c r="F135" s="200">
        <f>Dat_02!D134</f>
        <v>123.31777659525035</v>
      </c>
      <c r="G135" s="200">
        <f>Dat_02!E134</f>
        <v>122.85423017734398</v>
      </c>
      <c r="I135" s="201">
        <f>Dat_02!G134</f>
        <v>0</v>
      </c>
      <c r="J135" s="207" t="str">
        <f>IF(Dat_02!H134=0,"",Dat_02!H134)</f>
        <v/>
      </c>
    </row>
    <row r="136" spans="2:10">
      <c r="B136" s="198"/>
      <c r="C136" s="199">
        <f>Dat_02!B135</f>
        <v>45332</v>
      </c>
      <c r="D136" s="198"/>
      <c r="E136" s="200">
        <f>Dat_02!C135</f>
        <v>82.009763521347722</v>
      </c>
      <c r="F136" s="200">
        <f>Dat_02!D135</f>
        <v>123.31777659525035</v>
      </c>
      <c r="G136" s="200">
        <f>Dat_02!E135</f>
        <v>82.009763521347722</v>
      </c>
      <c r="I136" s="201">
        <f>Dat_02!G135</f>
        <v>0</v>
      </c>
      <c r="J136" s="207" t="str">
        <f>IF(Dat_02!H135=0,"",Dat_02!H135)</f>
        <v/>
      </c>
    </row>
    <row r="137" spans="2:10">
      <c r="B137" s="198"/>
      <c r="C137" s="199">
        <f>Dat_02!B136</f>
        <v>45333</v>
      </c>
      <c r="D137" s="198"/>
      <c r="E137" s="200">
        <f>Dat_02!C136</f>
        <v>92.096768257349581</v>
      </c>
      <c r="F137" s="200">
        <f>Dat_02!D136</f>
        <v>123.31777659525035</v>
      </c>
      <c r="G137" s="200">
        <f>Dat_02!E136</f>
        <v>92.096768257349581</v>
      </c>
      <c r="I137" s="201">
        <f>Dat_02!G136</f>
        <v>0</v>
      </c>
      <c r="J137" s="207" t="str">
        <f>IF(Dat_02!H136=0,"",Dat_02!H136)</f>
        <v/>
      </c>
    </row>
    <row r="138" spans="2:10">
      <c r="B138" s="198"/>
      <c r="C138" s="199">
        <f>Dat_02!B137</f>
        <v>45334</v>
      </c>
      <c r="D138" s="198"/>
      <c r="E138" s="200">
        <f>Dat_02!C137</f>
        <v>104.74626892534584</v>
      </c>
      <c r="F138" s="200">
        <f>Dat_02!D137</f>
        <v>123.31777659525035</v>
      </c>
      <c r="G138" s="200">
        <f>Dat_02!E137</f>
        <v>104.74626892534584</v>
      </c>
      <c r="I138" s="201">
        <f>Dat_02!G137</f>
        <v>0</v>
      </c>
      <c r="J138" s="207" t="str">
        <f>IF(Dat_02!H137=0,"",Dat_02!H137)</f>
        <v/>
      </c>
    </row>
    <row r="139" spans="2:10">
      <c r="B139" s="198"/>
      <c r="C139" s="199">
        <f>Dat_02!B138</f>
        <v>45335</v>
      </c>
      <c r="D139" s="198"/>
      <c r="E139" s="200">
        <f>Dat_02!C138</f>
        <v>155.0008602853477</v>
      </c>
      <c r="F139" s="200">
        <f>Dat_02!D138</f>
        <v>123.31777659525035</v>
      </c>
      <c r="G139" s="200">
        <f>Dat_02!E138</f>
        <v>123.31777659525035</v>
      </c>
      <c r="I139" s="201">
        <f>Dat_02!G138</f>
        <v>0</v>
      </c>
      <c r="J139" s="207" t="str">
        <f>IF(Dat_02!H138=0,"",Dat_02!H138)</f>
        <v/>
      </c>
    </row>
    <row r="140" spans="2:10">
      <c r="B140" s="198"/>
      <c r="C140" s="199">
        <f>Dat_02!B139</f>
        <v>45336</v>
      </c>
      <c r="D140" s="198"/>
      <c r="E140" s="200">
        <f>Dat_02!C139</f>
        <v>155.40752792467583</v>
      </c>
      <c r="F140" s="200">
        <f>Dat_02!D139</f>
        <v>123.31777659525035</v>
      </c>
      <c r="G140" s="200">
        <f>Dat_02!E139</f>
        <v>123.31777659525035</v>
      </c>
      <c r="I140" s="201" t="str">
        <f>Dat_02!G139</f>
        <v/>
      </c>
      <c r="J140" s="207" t="str">
        <f>IF(Dat_02!H139=0,"",Dat_02!H139)</f>
        <v/>
      </c>
    </row>
    <row r="141" spans="2:10">
      <c r="B141" s="198"/>
      <c r="C141" s="199">
        <f>Dat_02!B140</f>
        <v>45337</v>
      </c>
      <c r="D141" s="198"/>
      <c r="E141" s="200">
        <f>Dat_02!C140</f>
        <v>145.30744173267769</v>
      </c>
      <c r="F141" s="200">
        <f>Dat_02!D140</f>
        <v>123.31777659525035</v>
      </c>
      <c r="G141" s="200">
        <f>Dat_02!E140</f>
        <v>123.31777659525035</v>
      </c>
      <c r="I141" s="201">
        <f>Dat_02!G140</f>
        <v>0</v>
      </c>
      <c r="J141" s="207" t="str">
        <f>IF(Dat_02!H140=0,"",Dat_02!H140)</f>
        <v/>
      </c>
    </row>
    <row r="142" spans="2:10">
      <c r="B142" s="198"/>
      <c r="C142" s="199">
        <f>Dat_02!B141</f>
        <v>45338</v>
      </c>
      <c r="D142" s="198"/>
      <c r="E142" s="200">
        <f>Dat_02!C141</f>
        <v>133.63674514867583</v>
      </c>
      <c r="F142" s="200">
        <f>Dat_02!D141</f>
        <v>123.31777659525035</v>
      </c>
      <c r="G142" s="200">
        <f>Dat_02!E141</f>
        <v>123.31777659525035</v>
      </c>
      <c r="I142" s="201">
        <f>Dat_02!G141</f>
        <v>0</v>
      </c>
      <c r="J142" s="207" t="str">
        <f>IF(Dat_02!H141=0,"",Dat_02!H141)</f>
        <v/>
      </c>
    </row>
    <row r="143" spans="2:10">
      <c r="B143" s="198"/>
      <c r="C143" s="199">
        <f>Dat_02!B142</f>
        <v>45339</v>
      </c>
      <c r="D143" s="198"/>
      <c r="E143" s="200">
        <f>Dat_02!C142</f>
        <v>119.15370997267397</v>
      </c>
      <c r="F143" s="200">
        <f>Dat_02!D142</f>
        <v>123.31777659525035</v>
      </c>
      <c r="G143" s="200">
        <f>Dat_02!E142</f>
        <v>119.15370997267397</v>
      </c>
      <c r="I143" s="201">
        <f>Dat_02!G142</f>
        <v>0</v>
      </c>
      <c r="J143" s="207" t="str">
        <f>IF(Dat_02!H142=0,"",Dat_02!H142)</f>
        <v/>
      </c>
    </row>
    <row r="144" spans="2:10">
      <c r="B144" s="198"/>
      <c r="C144" s="199">
        <f>Dat_02!B143</f>
        <v>45340</v>
      </c>
      <c r="D144" s="198"/>
      <c r="E144" s="200">
        <f>Dat_02!C143</f>
        <v>111.38864493667769</v>
      </c>
      <c r="F144" s="200">
        <f>Dat_02!D143</f>
        <v>123.31777659525035</v>
      </c>
      <c r="G144" s="200">
        <f>Dat_02!E143</f>
        <v>111.38864493667769</v>
      </c>
      <c r="I144" s="201">
        <f>Dat_02!G143</f>
        <v>0</v>
      </c>
      <c r="J144" s="207" t="str">
        <f>IF(Dat_02!H143=0,"",Dat_02!H143)</f>
        <v/>
      </c>
    </row>
    <row r="145" spans="2:10">
      <c r="B145" s="198"/>
      <c r="C145" s="199">
        <f>Dat_02!B144</f>
        <v>45341</v>
      </c>
      <c r="D145" s="198"/>
      <c r="E145" s="200">
        <f>Dat_02!C144</f>
        <v>103.97121753667584</v>
      </c>
      <c r="F145" s="200">
        <f>Dat_02!D144</f>
        <v>123.31777659525035</v>
      </c>
      <c r="G145" s="200">
        <f>Dat_02!E144</f>
        <v>103.97121753667584</v>
      </c>
      <c r="I145" s="201">
        <f>Dat_02!G144</f>
        <v>0</v>
      </c>
      <c r="J145" s="207" t="str">
        <f>IF(Dat_02!H144=0,"",Dat_02!H144)</f>
        <v/>
      </c>
    </row>
    <row r="146" spans="2:10">
      <c r="B146" s="198"/>
      <c r="C146" s="199">
        <f>Dat_02!B145</f>
        <v>45342</v>
      </c>
      <c r="D146" s="198"/>
      <c r="E146" s="200">
        <f>Dat_02!C145</f>
        <v>141.12725004467583</v>
      </c>
      <c r="F146" s="200">
        <f>Dat_02!D145</f>
        <v>123.31777659525035</v>
      </c>
      <c r="G146" s="200">
        <f>Dat_02!E145</f>
        <v>123.31777659525035</v>
      </c>
      <c r="I146" s="201">
        <f>Dat_02!G145</f>
        <v>0</v>
      </c>
      <c r="J146" s="207" t="str">
        <f>IF(Dat_02!H145=0,"",Dat_02!H145)</f>
        <v/>
      </c>
    </row>
    <row r="147" spans="2:10">
      <c r="B147" s="198"/>
      <c r="C147" s="199">
        <f>Dat_02!B146</f>
        <v>45343</v>
      </c>
      <c r="D147" s="198"/>
      <c r="E147" s="200">
        <f>Dat_02!C146</f>
        <v>180.11611496162033</v>
      </c>
      <c r="F147" s="200">
        <f>Dat_02!D146</f>
        <v>123.31777659525035</v>
      </c>
      <c r="G147" s="200">
        <f>Dat_02!E146</f>
        <v>123.31777659525035</v>
      </c>
      <c r="I147" s="201">
        <f>Dat_02!G146</f>
        <v>0</v>
      </c>
      <c r="J147" s="207" t="str">
        <f>IF(Dat_02!H146=0,"",Dat_02!H146)</f>
        <v/>
      </c>
    </row>
    <row r="148" spans="2:10">
      <c r="B148" s="198"/>
      <c r="C148" s="199">
        <f>Dat_02!B147</f>
        <v>45344</v>
      </c>
      <c r="D148" s="198"/>
      <c r="E148" s="200">
        <f>Dat_02!C147</f>
        <v>124.62648388562218</v>
      </c>
      <c r="F148" s="200">
        <f>Dat_02!D147</f>
        <v>123.31777659525035</v>
      </c>
      <c r="G148" s="200">
        <f>Dat_02!E147</f>
        <v>123.31777659525035</v>
      </c>
      <c r="I148" s="201">
        <f>Dat_02!G147</f>
        <v>0</v>
      </c>
      <c r="J148" s="207" t="str">
        <f>IF(Dat_02!H147=0,"",Dat_02!H147)</f>
        <v/>
      </c>
    </row>
    <row r="149" spans="2:10">
      <c r="B149" s="198"/>
      <c r="C149" s="199">
        <f>Dat_02!B148</f>
        <v>45345</v>
      </c>
      <c r="D149" s="198"/>
      <c r="E149" s="200">
        <f>Dat_02!C148</f>
        <v>111.29172475362031</v>
      </c>
      <c r="F149" s="200">
        <f>Dat_02!D148</f>
        <v>123.31777659525035</v>
      </c>
      <c r="G149" s="200">
        <f>Dat_02!E148</f>
        <v>111.29172475362031</v>
      </c>
      <c r="I149" s="201">
        <f>Dat_02!G148</f>
        <v>0</v>
      </c>
      <c r="J149" s="207" t="str">
        <f>IF(Dat_02!H148=0,"",Dat_02!H148)</f>
        <v/>
      </c>
    </row>
    <row r="150" spans="2:10">
      <c r="B150" s="198"/>
      <c r="C150" s="199">
        <f>Dat_02!B149</f>
        <v>45346</v>
      </c>
      <c r="D150" s="198"/>
      <c r="E150" s="200">
        <f>Dat_02!C149</f>
        <v>105.35793837762031</v>
      </c>
      <c r="F150" s="200">
        <f>Dat_02!D149</f>
        <v>123.31777659525035</v>
      </c>
      <c r="G150" s="200">
        <f>Dat_02!E149</f>
        <v>105.35793837762031</v>
      </c>
      <c r="I150" s="201">
        <f>Dat_02!G149</f>
        <v>0</v>
      </c>
      <c r="J150" s="207" t="str">
        <f>IF(Dat_02!H149=0,"",Dat_02!H149)</f>
        <v/>
      </c>
    </row>
    <row r="151" spans="2:10">
      <c r="B151" s="198"/>
      <c r="C151" s="199">
        <f>Dat_02!B150</f>
        <v>45347</v>
      </c>
      <c r="D151" s="198"/>
      <c r="E151" s="200">
        <f>Dat_02!C150</f>
        <v>103.96632681762031</v>
      </c>
      <c r="F151" s="200">
        <f>Dat_02!D150</f>
        <v>123.31777659525035</v>
      </c>
      <c r="G151" s="200">
        <f>Dat_02!E150</f>
        <v>103.96632681762031</v>
      </c>
      <c r="I151" s="201">
        <f>Dat_02!G150</f>
        <v>0</v>
      </c>
      <c r="J151" s="207" t="str">
        <f>IF(Dat_02!H150=0,"",Dat_02!H150)</f>
        <v/>
      </c>
    </row>
    <row r="152" spans="2:10">
      <c r="B152" s="198"/>
      <c r="C152" s="199">
        <f>Dat_02!B151</f>
        <v>45348</v>
      </c>
      <c r="D152" s="198"/>
      <c r="E152" s="200">
        <f>Dat_02!C151</f>
        <v>135.15554449762405</v>
      </c>
      <c r="F152" s="200">
        <f>Dat_02!D151</f>
        <v>123.31777659525035</v>
      </c>
      <c r="G152" s="200">
        <f>Dat_02!E151</f>
        <v>123.31777659525035</v>
      </c>
      <c r="I152" s="201">
        <f>Dat_02!G151</f>
        <v>0</v>
      </c>
      <c r="J152" s="207" t="str">
        <f>IF(Dat_02!H151=0,"",Dat_02!H151)</f>
        <v/>
      </c>
    </row>
    <row r="153" spans="2:10">
      <c r="B153" s="198"/>
      <c r="C153" s="199">
        <f>Dat_02!B152</f>
        <v>45349</v>
      </c>
      <c r="D153" s="198"/>
      <c r="E153" s="200">
        <f>Dat_02!C152</f>
        <v>145.6437247416203</v>
      </c>
      <c r="F153" s="200">
        <f>Dat_02!D152</f>
        <v>123.31777659525035</v>
      </c>
      <c r="G153" s="200">
        <f>Dat_02!E152</f>
        <v>123.31777659525035</v>
      </c>
      <c r="I153" s="201">
        <f>Dat_02!G152</f>
        <v>0</v>
      </c>
      <c r="J153" s="207" t="str">
        <f>IF(Dat_02!H152=0,"",Dat_02!H152)</f>
        <v/>
      </c>
    </row>
    <row r="154" spans="2:10">
      <c r="B154" s="198"/>
      <c r="C154" s="199">
        <f>Dat_02!B153</f>
        <v>45350</v>
      </c>
      <c r="D154" s="198"/>
      <c r="E154" s="200">
        <f>Dat_02!C153</f>
        <v>204.59404648474109</v>
      </c>
      <c r="F154" s="200">
        <f>Dat_02!D153</f>
        <v>123.31777659525035</v>
      </c>
      <c r="G154" s="200">
        <f>Dat_02!E153</f>
        <v>123.31777659525035</v>
      </c>
      <c r="I154" s="201">
        <f>Dat_02!G153</f>
        <v>0</v>
      </c>
      <c r="J154" s="207" t="str">
        <f>IF(Dat_02!H153=0,"",Dat_02!H153)</f>
        <v/>
      </c>
    </row>
    <row r="155" spans="2:10">
      <c r="B155" s="198"/>
      <c r="C155" s="199">
        <f>Dat_02!B154</f>
        <v>45351</v>
      </c>
      <c r="D155" s="198"/>
      <c r="E155" s="200">
        <f>Dat_02!C154</f>
        <v>210.08763446474481</v>
      </c>
      <c r="F155" s="200">
        <f>Dat_02!D154</f>
        <v>123.31777659525035</v>
      </c>
      <c r="G155" s="200">
        <f>Dat_02!E154</f>
        <v>123.31777659525035</v>
      </c>
      <c r="I155" s="201">
        <f>Dat_02!G154</f>
        <v>0</v>
      </c>
      <c r="J155" s="207" t="str">
        <f>IF(Dat_02!H154=0,"",Dat_02!H154)</f>
        <v/>
      </c>
    </row>
    <row r="156" spans="2:10">
      <c r="B156" s="198"/>
      <c r="C156" s="199">
        <f>Dat_02!B155</f>
        <v>45352</v>
      </c>
      <c r="D156" s="198"/>
      <c r="E156" s="200">
        <f>Dat_02!C155</f>
        <v>211.9660497607392</v>
      </c>
      <c r="F156" s="200">
        <f>Dat_02!D155</f>
        <v>124.28094877902988</v>
      </c>
      <c r="G156" s="200">
        <f>Dat_02!E155</f>
        <v>124.28094877902988</v>
      </c>
      <c r="I156" s="201">
        <f>Dat_02!G155</f>
        <v>0</v>
      </c>
      <c r="J156" s="207" t="str">
        <f>IF(Dat_02!H155=0,"",Dat_02!H155)</f>
        <v/>
      </c>
    </row>
    <row r="157" spans="2:10">
      <c r="B157" s="198" t="s">
        <v>172</v>
      </c>
      <c r="C157" s="199">
        <f>Dat_02!B156</f>
        <v>45353</v>
      </c>
      <c r="D157" s="198"/>
      <c r="E157" s="200">
        <f>Dat_02!C156</f>
        <v>211.88002381274293</v>
      </c>
      <c r="F157" s="200">
        <f>Dat_02!D156</f>
        <v>124.28094877902988</v>
      </c>
      <c r="G157" s="200">
        <f>Dat_02!E156</f>
        <v>124.28094877902988</v>
      </c>
      <c r="I157" s="201">
        <f>Dat_02!G156</f>
        <v>0</v>
      </c>
      <c r="J157" s="207" t="str">
        <f>IF(Dat_02!H156=0,"",Dat_02!H156)</f>
        <v/>
      </c>
    </row>
    <row r="158" spans="2:10">
      <c r="B158" s="198"/>
      <c r="C158" s="199">
        <f>Dat_02!B157</f>
        <v>45354</v>
      </c>
      <c r="D158" s="198"/>
      <c r="E158" s="200">
        <f>Dat_02!C157</f>
        <v>197.66541324074106</v>
      </c>
      <c r="F158" s="200">
        <f>Dat_02!D157</f>
        <v>124.28094877902988</v>
      </c>
      <c r="G158" s="200">
        <f>Dat_02!E157</f>
        <v>124.28094877902988</v>
      </c>
      <c r="I158" s="201">
        <f>Dat_02!G157</f>
        <v>0</v>
      </c>
      <c r="J158" s="207" t="str">
        <f>IF(Dat_02!H157=0,"",Dat_02!H157)</f>
        <v/>
      </c>
    </row>
    <row r="159" spans="2:10">
      <c r="B159" s="198"/>
      <c r="C159" s="199">
        <f>Dat_02!B158</f>
        <v>45355</v>
      </c>
      <c r="D159" s="198"/>
      <c r="E159" s="200">
        <f>Dat_02!C158</f>
        <v>214.30620139274293</v>
      </c>
      <c r="F159" s="200">
        <f>Dat_02!D158</f>
        <v>124.28094877902988</v>
      </c>
      <c r="G159" s="200">
        <f>Dat_02!E158</f>
        <v>124.28094877902988</v>
      </c>
      <c r="I159" s="201">
        <f>Dat_02!G158</f>
        <v>0</v>
      </c>
      <c r="J159" s="207" t="str">
        <f>IF(Dat_02!H158=0,"",Dat_02!H158)</f>
        <v/>
      </c>
    </row>
    <row r="160" spans="2:10">
      <c r="B160" s="198"/>
      <c r="C160" s="199">
        <f>Dat_02!B159</f>
        <v>45356</v>
      </c>
      <c r="D160" s="198"/>
      <c r="E160" s="200">
        <f>Dat_02!C159</f>
        <v>238.23071474874106</v>
      </c>
      <c r="F160" s="200">
        <f>Dat_02!D159</f>
        <v>124.28094877902988</v>
      </c>
      <c r="G160" s="200">
        <f>Dat_02!E159</f>
        <v>124.28094877902988</v>
      </c>
      <c r="I160" s="201">
        <f>Dat_02!G159</f>
        <v>0</v>
      </c>
      <c r="J160" s="207" t="str">
        <f>IF(Dat_02!H159=0,"",Dat_02!H159)</f>
        <v/>
      </c>
    </row>
    <row r="161" spans="2:10">
      <c r="B161" s="198"/>
      <c r="C161" s="199">
        <f>Dat_02!B160</f>
        <v>45357</v>
      </c>
      <c r="D161" s="198"/>
      <c r="E161" s="200">
        <f>Dat_02!C160</f>
        <v>234.32867166482279</v>
      </c>
      <c r="F161" s="200">
        <f>Dat_02!D160</f>
        <v>124.28094877902988</v>
      </c>
      <c r="G161" s="200">
        <f>Dat_02!E160</f>
        <v>124.28094877902988</v>
      </c>
      <c r="I161" s="201">
        <f>Dat_02!G160</f>
        <v>0</v>
      </c>
      <c r="J161" s="207" t="str">
        <f>IF(Dat_02!H160=0,"",Dat_02!H160)</f>
        <v/>
      </c>
    </row>
    <row r="162" spans="2:10">
      <c r="B162" s="198"/>
      <c r="C162" s="199">
        <f>Dat_02!B161</f>
        <v>45358</v>
      </c>
      <c r="D162" s="198"/>
      <c r="E162" s="200">
        <f>Dat_02!C161</f>
        <v>215.8372478448228</v>
      </c>
      <c r="F162" s="200">
        <f>Dat_02!D161</f>
        <v>124.28094877902988</v>
      </c>
      <c r="G162" s="200">
        <f>Dat_02!E161</f>
        <v>124.28094877902988</v>
      </c>
      <c r="I162" s="201">
        <f>Dat_02!G161</f>
        <v>0</v>
      </c>
      <c r="J162" s="207" t="str">
        <f>IF(Dat_02!H161=0,"",Dat_02!H161)</f>
        <v/>
      </c>
    </row>
    <row r="163" spans="2:10">
      <c r="B163" s="198"/>
      <c r="C163" s="199">
        <f>Dat_02!B162</f>
        <v>45359</v>
      </c>
      <c r="D163" s="198"/>
      <c r="E163" s="200">
        <f>Dat_02!C162</f>
        <v>221.93362245282464</v>
      </c>
      <c r="F163" s="200">
        <f>Dat_02!D162</f>
        <v>124.28094877902988</v>
      </c>
      <c r="G163" s="200">
        <f>Dat_02!E162</f>
        <v>124.28094877902988</v>
      </c>
      <c r="I163" s="201">
        <f>Dat_02!G162</f>
        <v>0</v>
      </c>
      <c r="J163" s="207" t="str">
        <f>IF(Dat_02!H162=0,"",Dat_02!H162)</f>
        <v/>
      </c>
    </row>
    <row r="164" spans="2:10">
      <c r="B164" s="198"/>
      <c r="C164" s="199">
        <f>Dat_02!B163</f>
        <v>45360</v>
      </c>
      <c r="D164" s="198"/>
      <c r="E164" s="200">
        <f>Dat_02!C163</f>
        <v>218.76776825682276</v>
      </c>
      <c r="F164" s="200">
        <f>Dat_02!D163</f>
        <v>124.28094877902988</v>
      </c>
      <c r="G164" s="200">
        <f>Dat_02!E163</f>
        <v>124.28094877902988</v>
      </c>
      <c r="I164" s="201">
        <f>Dat_02!G163</f>
        <v>0</v>
      </c>
      <c r="J164" s="207" t="str">
        <f>IF(Dat_02!H163=0,"",Dat_02!H163)</f>
        <v/>
      </c>
    </row>
    <row r="165" spans="2:10">
      <c r="B165" s="198"/>
      <c r="C165" s="199">
        <f>Dat_02!B164</f>
        <v>45361</v>
      </c>
      <c r="D165" s="198"/>
      <c r="E165" s="200">
        <f>Dat_02!C164</f>
        <v>202.10173770882093</v>
      </c>
      <c r="F165" s="200">
        <f>Dat_02!D164</f>
        <v>124.28094877902988</v>
      </c>
      <c r="G165" s="200">
        <f>Dat_02!E164</f>
        <v>124.28094877902988</v>
      </c>
      <c r="I165" s="201">
        <f>Dat_02!G164</f>
        <v>0</v>
      </c>
      <c r="J165" s="207" t="str">
        <f>IF(Dat_02!H164=0,"",Dat_02!H164)</f>
        <v/>
      </c>
    </row>
    <row r="166" spans="2:10">
      <c r="B166" s="198"/>
      <c r="C166" s="199">
        <f>Dat_02!B165</f>
        <v>45362</v>
      </c>
      <c r="D166" s="198"/>
      <c r="E166" s="200">
        <f>Dat_02!C165</f>
        <v>221.20131164882466</v>
      </c>
      <c r="F166" s="200">
        <f>Dat_02!D165</f>
        <v>124.28094877902988</v>
      </c>
      <c r="G166" s="200">
        <f>Dat_02!E165</f>
        <v>124.28094877902988</v>
      </c>
      <c r="I166" s="201">
        <f>Dat_02!G165</f>
        <v>0</v>
      </c>
      <c r="J166" s="207" t="str">
        <f>IF(Dat_02!H165=0,"",Dat_02!H165)</f>
        <v/>
      </c>
    </row>
    <row r="167" spans="2:10">
      <c r="B167" s="198"/>
      <c r="C167" s="199">
        <f>Dat_02!B166</f>
        <v>45363</v>
      </c>
      <c r="D167" s="198"/>
      <c r="E167" s="200">
        <f>Dat_02!C166</f>
        <v>234.67890028482466</v>
      </c>
      <c r="F167" s="200">
        <f>Dat_02!D166</f>
        <v>124.28094877902988</v>
      </c>
      <c r="G167" s="200">
        <f>Dat_02!E166</f>
        <v>124.28094877902988</v>
      </c>
      <c r="I167" s="201">
        <f>Dat_02!G166</f>
        <v>0</v>
      </c>
      <c r="J167" s="207" t="str">
        <f>IF(Dat_02!H166=0,"",Dat_02!H166)</f>
        <v/>
      </c>
    </row>
    <row r="168" spans="2:10">
      <c r="B168" s="198"/>
      <c r="C168" s="199">
        <f>Dat_02!B167</f>
        <v>45364</v>
      </c>
      <c r="D168" s="198"/>
      <c r="E168" s="200">
        <f>Dat_02!C167</f>
        <v>211.53238243101572</v>
      </c>
      <c r="F168" s="200">
        <f>Dat_02!D167</f>
        <v>124.28094877902988</v>
      </c>
      <c r="G168" s="200">
        <f>Dat_02!E167</f>
        <v>124.28094877902988</v>
      </c>
      <c r="I168" s="201">
        <f>Dat_02!G167</f>
        <v>0</v>
      </c>
      <c r="J168" s="207" t="str">
        <f>IF(Dat_02!H167=0,"",Dat_02!H167)</f>
        <v/>
      </c>
    </row>
    <row r="169" spans="2:10">
      <c r="B169" s="198"/>
      <c r="C169" s="199">
        <f>Dat_02!B168</f>
        <v>45365</v>
      </c>
      <c r="D169" s="198"/>
      <c r="E169" s="200">
        <f>Dat_02!C168</f>
        <v>216.07462333901569</v>
      </c>
      <c r="F169" s="200">
        <f>Dat_02!D168</f>
        <v>124.28094877902988</v>
      </c>
      <c r="G169" s="200">
        <f>Dat_02!E168</f>
        <v>124.28094877902988</v>
      </c>
      <c r="I169" s="201">
        <f>Dat_02!G168</f>
        <v>0</v>
      </c>
      <c r="J169" s="207" t="str">
        <f>IF(Dat_02!H168=0,"",Dat_02!H168)</f>
        <v/>
      </c>
    </row>
    <row r="170" spans="2:10">
      <c r="B170" s="198"/>
      <c r="C170" s="199">
        <f>Dat_02!B169</f>
        <v>45366</v>
      </c>
      <c r="D170" s="198"/>
      <c r="E170" s="200">
        <f>Dat_02!C169</f>
        <v>223.02256256701943</v>
      </c>
      <c r="F170" s="200">
        <f>Dat_02!D169</f>
        <v>124.28094877902988</v>
      </c>
      <c r="G170" s="200">
        <f>Dat_02!E169</f>
        <v>124.28094877902988</v>
      </c>
      <c r="I170" s="201">
        <f>Dat_02!G169</f>
        <v>0</v>
      </c>
      <c r="J170" s="207" t="str">
        <f>IF(Dat_02!H169=0,"",Dat_02!H169)</f>
        <v/>
      </c>
    </row>
    <row r="171" spans="2:10">
      <c r="B171" s="198"/>
      <c r="C171" s="199">
        <f>Dat_02!B170</f>
        <v>45367</v>
      </c>
      <c r="D171" s="198"/>
      <c r="E171" s="200">
        <f>Dat_02!C170</f>
        <v>206.91598158701569</v>
      </c>
      <c r="F171" s="200">
        <f>Dat_02!D170</f>
        <v>124.28094877902988</v>
      </c>
      <c r="G171" s="200">
        <f>Dat_02!E170</f>
        <v>124.28094877902988</v>
      </c>
      <c r="I171" s="201" t="str">
        <f>Dat_02!G170</f>
        <v/>
      </c>
      <c r="J171" s="207" t="str">
        <f>IF(Dat_02!H170=0,"",Dat_02!H170)</f>
        <v/>
      </c>
    </row>
    <row r="172" spans="2:10">
      <c r="B172" s="198"/>
      <c r="C172" s="199">
        <f>Dat_02!B171</f>
        <v>45368</v>
      </c>
      <c r="D172" s="198"/>
      <c r="E172" s="200">
        <f>Dat_02!C171</f>
        <v>208.01399140701571</v>
      </c>
      <c r="F172" s="200">
        <f>Dat_02!D171</f>
        <v>124.28094877902988</v>
      </c>
      <c r="G172" s="200">
        <f>Dat_02!E171</f>
        <v>124.28094877902988</v>
      </c>
      <c r="I172" s="201">
        <f>Dat_02!G171</f>
        <v>0</v>
      </c>
      <c r="J172" s="207" t="str">
        <f>IF(Dat_02!H171=0,"",Dat_02!H171)</f>
        <v/>
      </c>
    </row>
    <row r="173" spans="2:10">
      <c r="B173" s="198"/>
      <c r="C173" s="199">
        <f>Dat_02!B172</f>
        <v>45369</v>
      </c>
      <c r="D173" s="198"/>
      <c r="E173" s="200">
        <f>Dat_02!C172</f>
        <v>227.33454118701758</v>
      </c>
      <c r="F173" s="200">
        <f>Dat_02!D172</f>
        <v>124.28094877902988</v>
      </c>
      <c r="G173" s="200">
        <f>Dat_02!E172</f>
        <v>124.28094877902988</v>
      </c>
      <c r="I173" s="201">
        <f>Dat_02!G172</f>
        <v>0</v>
      </c>
      <c r="J173" s="207" t="str">
        <f>IF(Dat_02!H172=0,"",Dat_02!H172)</f>
        <v/>
      </c>
    </row>
    <row r="174" spans="2:10">
      <c r="B174" s="198"/>
      <c r="C174" s="199">
        <f>Dat_02!B173</f>
        <v>45370</v>
      </c>
      <c r="D174" s="198"/>
      <c r="E174" s="200">
        <f>Dat_02!C173</f>
        <v>233.93777666701945</v>
      </c>
      <c r="F174" s="200">
        <f>Dat_02!D173</f>
        <v>124.28094877902988</v>
      </c>
      <c r="G174" s="200">
        <f>Dat_02!E173</f>
        <v>124.28094877902988</v>
      </c>
      <c r="I174" s="201">
        <f>Dat_02!G173</f>
        <v>0</v>
      </c>
      <c r="J174" s="207" t="str">
        <f>IF(Dat_02!H173=0,"",Dat_02!H173)</f>
        <v/>
      </c>
    </row>
    <row r="175" spans="2:10">
      <c r="B175" s="198"/>
      <c r="C175" s="199">
        <f>Dat_02!B174</f>
        <v>45371</v>
      </c>
      <c r="D175" s="198"/>
      <c r="E175" s="200">
        <f>Dat_02!C174</f>
        <v>197.96447342418341</v>
      </c>
      <c r="F175" s="200">
        <f>Dat_02!D174</f>
        <v>124.28094877902988</v>
      </c>
      <c r="G175" s="200">
        <f>Dat_02!E174</f>
        <v>124.28094877902988</v>
      </c>
      <c r="I175" s="201">
        <f>Dat_02!G174</f>
        <v>0</v>
      </c>
      <c r="J175" s="207" t="str">
        <f>IF(Dat_02!H174=0,"",Dat_02!H174)</f>
        <v/>
      </c>
    </row>
    <row r="176" spans="2:10">
      <c r="B176" s="198"/>
      <c r="C176" s="199">
        <f>Dat_02!B175</f>
        <v>45372</v>
      </c>
      <c r="D176" s="198"/>
      <c r="E176" s="200">
        <f>Dat_02!C175</f>
        <v>176.85543021218712</v>
      </c>
      <c r="F176" s="200">
        <f>Dat_02!D175</f>
        <v>124.28094877902988</v>
      </c>
      <c r="G176" s="200">
        <f>Dat_02!E175</f>
        <v>124.28094877902988</v>
      </c>
      <c r="I176" s="201">
        <f>Dat_02!G175</f>
        <v>0</v>
      </c>
      <c r="J176" s="207" t="str">
        <f>IF(Dat_02!H175=0,"",Dat_02!H175)</f>
        <v/>
      </c>
    </row>
    <row r="177" spans="2:10">
      <c r="B177" s="198"/>
      <c r="C177" s="199">
        <f>Dat_02!B176</f>
        <v>45373</v>
      </c>
      <c r="D177" s="198"/>
      <c r="E177" s="200">
        <f>Dat_02!C176</f>
        <v>184.05906138818526</v>
      </c>
      <c r="F177" s="200">
        <f>Dat_02!D176</f>
        <v>124.28094877902988</v>
      </c>
      <c r="G177" s="200">
        <f>Dat_02!E176</f>
        <v>124.28094877902988</v>
      </c>
      <c r="I177" s="201">
        <f>Dat_02!G176</f>
        <v>0</v>
      </c>
      <c r="J177" s="207" t="str">
        <f>IF(Dat_02!H176=0,"",Dat_02!H176)</f>
        <v/>
      </c>
    </row>
    <row r="178" spans="2:10">
      <c r="B178" s="198"/>
      <c r="C178" s="199">
        <f>Dat_02!B177</f>
        <v>45374</v>
      </c>
      <c r="D178" s="198"/>
      <c r="E178" s="200">
        <f>Dat_02!C177</f>
        <v>144.84861818018339</v>
      </c>
      <c r="F178" s="200">
        <f>Dat_02!D177</f>
        <v>124.28094877902988</v>
      </c>
      <c r="G178" s="200">
        <f>Dat_02!E177</f>
        <v>124.28094877902988</v>
      </c>
      <c r="I178" s="201">
        <f>Dat_02!G177</f>
        <v>0</v>
      </c>
      <c r="J178" s="207" t="str">
        <f>IF(Dat_02!H177=0,"",Dat_02!H177)</f>
        <v/>
      </c>
    </row>
    <row r="179" spans="2:10">
      <c r="B179" s="198"/>
      <c r="C179" s="199">
        <f>Dat_02!B178</f>
        <v>45375</v>
      </c>
      <c r="D179" s="198"/>
      <c r="E179" s="200">
        <f>Dat_02!C178</f>
        <v>136.00949461218897</v>
      </c>
      <c r="F179" s="200">
        <f>Dat_02!D178</f>
        <v>124.28094877902988</v>
      </c>
      <c r="G179" s="200">
        <f>Dat_02!E178</f>
        <v>124.28094877902988</v>
      </c>
      <c r="I179" s="201">
        <f>Dat_02!G178</f>
        <v>0</v>
      </c>
      <c r="J179" s="207" t="str">
        <f>IF(Dat_02!H178=0,"",Dat_02!H178)</f>
        <v/>
      </c>
    </row>
    <row r="180" spans="2:10">
      <c r="B180" s="198"/>
      <c r="C180" s="199">
        <f>Dat_02!B179</f>
        <v>45376</v>
      </c>
      <c r="D180" s="198"/>
      <c r="E180" s="200">
        <f>Dat_02!C179</f>
        <v>188.86417784818713</v>
      </c>
      <c r="F180" s="200">
        <f>Dat_02!D179</f>
        <v>124.28094877902988</v>
      </c>
      <c r="G180" s="200">
        <f>Dat_02!E179</f>
        <v>124.28094877902988</v>
      </c>
      <c r="I180" s="201">
        <f>Dat_02!G179</f>
        <v>0</v>
      </c>
      <c r="J180" s="207" t="str">
        <f>IF(Dat_02!H179=0,"",Dat_02!H179)</f>
        <v/>
      </c>
    </row>
    <row r="181" spans="2:10">
      <c r="B181" s="198"/>
      <c r="C181" s="199">
        <f>Dat_02!B180</f>
        <v>45377</v>
      </c>
      <c r="D181" s="198"/>
      <c r="E181" s="200">
        <f>Dat_02!C180</f>
        <v>178.12515757218523</v>
      </c>
      <c r="F181" s="200">
        <f>Dat_02!D180</f>
        <v>124.28094877902988</v>
      </c>
      <c r="G181" s="200">
        <f>Dat_02!E180</f>
        <v>124.28094877902988</v>
      </c>
      <c r="I181" s="201">
        <f>Dat_02!G180</f>
        <v>0</v>
      </c>
      <c r="J181" s="207" t="str">
        <f>IF(Dat_02!H180=0,"",Dat_02!H180)</f>
        <v/>
      </c>
    </row>
    <row r="182" spans="2:10">
      <c r="B182" s="198"/>
      <c r="C182" s="199">
        <f>Dat_02!B181</f>
        <v>45378</v>
      </c>
      <c r="D182" s="198"/>
      <c r="E182" s="200">
        <f>Dat_02!C181</f>
        <v>224.35234708788724</v>
      </c>
      <c r="F182" s="200">
        <f>Dat_02!D181</f>
        <v>124.28094877902988</v>
      </c>
      <c r="G182" s="200">
        <f>Dat_02!E181</f>
        <v>124.28094877902988</v>
      </c>
      <c r="I182" s="201">
        <f>Dat_02!G181</f>
        <v>0</v>
      </c>
      <c r="J182" s="207" t="str">
        <f>IF(Dat_02!H181=0,"",Dat_02!H181)</f>
        <v/>
      </c>
    </row>
    <row r="183" spans="2:10">
      <c r="B183" s="198"/>
      <c r="C183" s="199">
        <f>Dat_02!B182</f>
        <v>45379</v>
      </c>
      <c r="D183" s="198"/>
      <c r="E183" s="200">
        <f>Dat_02!C182</f>
        <v>230.37488433589098</v>
      </c>
      <c r="F183" s="200">
        <f>Dat_02!D182</f>
        <v>124.28094877902988</v>
      </c>
      <c r="G183" s="200">
        <f>Dat_02!E182</f>
        <v>124.28094877902988</v>
      </c>
      <c r="I183" s="201">
        <f>Dat_02!G182</f>
        <v>0</v>
      </c>
      <c r="J183" s="207" t="str">
        <f>IF(Dat_02!H182=0,"",Dat_02!H182)</f>
        <v/>
      </c>
    </row>
    <row r="184" spans="2:10">
      <c r="B184" s="198"/>
      <c r="C184" s="199">
        <f>Dat_02!B183</f>
        <v>45380</v>
      </c>
      <c r="D184" s="198"/>
      <c r="E184" s="200">
        <f>Dat_02!C183</f>
        <v>244.73744427988726</v>
      </c>
      <c r="F184" s="200">
        <f>Dat_02!D183</f>
        <v>124.28094877902988</v>
      </c>
      <c r="G184" s="200">
        <f>Dat_02!E183</f>
        <v>124.28094877902988</v>
      </c>
      <c r="I184" s="201">
        <f>Dat_02!G183</f>
        <v>0</v>
      </c>
      <c r="J184" s="207" t="str">
        <f>IF(Dat_02!H183=0,"",Dat_02!H183)</f>
        <v/>
      </c>
    </row>
    <row r="185" spans="2:10">
      <c r="B185" s="198"/>
      <c r="C185" s="199">
        <f>Dat_02!B184</f>
        <v>45381</v>
      </c>
      <c r="D185" s="198"/>
      <c r="E185" s="200">
        <f>Dat_02!C184</f>
        <v>252.09877540788537</v>
      </c>
      <c r="F185" s="200">
        <f>Dat_02!D184</f>
        <v>124.28094877902988</v>
      </c>
      <c r="G185" s="200">
        <f>Dat_02!E184</f>
        <v>124.28094877902988</v>
      </c>
      <c r="I185" s="201">
        <f>Dat_02!G184</f>
        <v>0</v>
      </c>
      <c r="J185" s="207" t="str">
        <f>IF(Dat_02!H184=0,"",Dat_02!H184)</f>
        <v/>
      </c>
    </row>
    <row r="186" spans="2:10">
      <c r="B186" s="198"/>
      <c r="C186" s="199">
        <f>Dat_02!B185</f>
        <v>45382</v>
      </c>
      <c r="D186" s="198"/>
      <c r="E186" s="200">
        <f>Dat_02!C185</f>
        <v>244.49603375188912</v>
      </c>
      <c r="F186" s="200">
        <f>Dat_02!D185</f>
        <v>124.28094877902988</v>
      </c>
      <c r="G186" s="200">
        <f>Dat_02!E185</f>
        <v>124.28094877902988</v>
      </c>
      <c r="I186" s="201">
        <f>Dat_02!G185</f>
        <v>0</v>
      </c>
      <c r="J186" s="207" t="str">
        <f>IF(Dat_02!H185=0,"",Dat_02!H185)</f>
        <v/>
      </c>
    </row>
    <row r="187" spans="2:10">
      <c r="B187" s="198"/>
      <c r="C187" s="199">
        <f>Dat_02!B186</f>
        <v>45383</v>
      </c>
      <c r="D187" s="198"/>
      <c r="E187" s="200">
        <f>Dat_02!C186</f>
        <v>243.29348493988911</v>
      </c>
      <c r="F187" s="200">
        <f>Dat_02!D186</f>
        <v>120.54288292781465</v>
      </c>
      <c r="G187" s="200">
        <f>Dat_02!E186</f>
        <v>120.54288292781465</v>
      </c>
      <c r="I187" s="201">
        <f>Dat_02!G186</f>
        <v>0</v>
      </c>
      <c r="J187" s="207" t="str">
        <f>IF(Dat_02!H186=0,"",Dat_02!H186)</f>
        <v/>
      </c>
    </row>
    <row r="188" spans="2:10">
      <c r="B188" s="198" t="s">
        <v>173</v>
      </c>
      <c r="C188" s="199">
        <f>Dat_02!B187</f>
        <v>45384</v>
      </c>
      <c r="D188" s="198"/>
      <c r="E188" s="200">
        <f>Dat_02!C187</f>
        <v>255.81591222788725</v>
      </c>
      <c r="F188" s="200">
        <f>Dat_02!D187</f>
        <v>120.54288292781465</v>
      </c>
      <c r="G188" s="200">
        <f>Dat_02!E187</f>
        <v>120.54288292781465</v>
      </c>
      <c r="I188" s="201">
        <f>Dat_02!G187</f>
        <v>0</v>
      </c>
      <c r="J188" s="207" t="str">
        <f>IF(Dat_02!H187=0,"",Dat_02!H187)</f>
        <v/>
      </c>
    </row>
    <row r="189" spans="2:10">
      <c r="B189" s="198"/>
      <c r="C189" s="199">
        <f>Dat_02!B188</f>
        <v>45385</v>
      </c>
      <c r="D189" s="198"/>
      <c r="E189" s="200">
        <f>Dat_02!C188</f>
        <v>263.57349480166044</v>
      </c>
      <c r="F189" s="200">
        <f>Dat_02!D188</f>
        <v>120.54288292781465</v>
      </c>
      <c r="G189" s="200">
        <f>Dat_02!E188</f>
        <v>120.54288292781465</v>
      </c>
      <c r="I189" s="201">
        <f>Dat_02!G188</f>
        <v>0</v>
      </c>
      <c r="J189" s="207" t="str">
        <f>IF(Dat_02!H188=0,"",Dat_02!H188)</f>
        <v/>
      </c>
    </row>
    <row r="190" spans="2:10">
      <c r="B190" s="198"/>
      <c r="C190" s="199">
        <f>Dat_02!B189</f>
        <v>45386</v>
      </c>
      <c r="D190" s="198"/>
      <c r="E190" s="200">
        <f>Dat_02!C189</f>
        <v>262.71526991366233</v>
      </c>
      <c r="F190" s="200">
        <f>Dat_02!D189</f>
        <v>120.54288292781465</v>
      </c>
      <c r="G190" s="200">
        <f>Dat_02!E189</f>
        <v>120.54288292781465</v>
      </c>
      <c r="I190" s="201">
        <f>Dat_02!G189</f>
        <v>0</v>
      </c>
      <c r="J190" s="207" t="str">
        <f>IF(Dat_02!H189=0,"",Dat_02!H189)</f>
        <v/>
      </c>
    </row>
    <row r="191" spans="2:10">
      <c r="B191" s="198"/>
      <c r="C191" s="199">
        <f>Dat_02!B190</f>
        <v>45387</v>
      </c>
      <c r="D191" s="198"/>
      <c r="E191" s="200">
        <f>Dat_02!C190</f>
        <v>257.32151106966046</v>
      </c>
      <c r="F191" s="200">
        <f>Dat_02!D190</f>
        <v>120.54288292781465</v>
      </c>
      <c r="G191" s="200">
        <f>Dat_02!E190</f>
        <v>120.54288292781465</v>
      </c>
      <c r="I191" s="201">
        <f>Dat_02!G190</f>
        <v>0</v>
      </c>
      <c r="J191" s="207" t="str">
        <f>IF(Dat_02!H190=0,"",Dat_02!H190)</f>
        <v/>
      </c>
    </row>
    <row r="192" spans="2:10">
      <c r="B192" s="198"/>
      <c r="C192" s="199">
        <f>Dat_02!B191</f>
        <v>45388</v>
      </c>
      <c r="D192" s="198"/>
      <c r="E192" s="200">
        <f>Dat_02!C191</f>
        <v>259.32376841766046</v>
      </c>
      <c r="F192" s="200">
        <f>Dat_02!D191</f>
        <v>120.54288292781465</v>
      </c>
      <c r="G192" s="200">
        <f>Dat_02!E191</f>
        <v>120.54288292781465</v>
      </c>
      <c r="I192" s="201">
        <f>Dat_02!G191</f>
        <v>0</v>
      </c>
      <c r="J192" s="207" t="str">
        <f>IF(Dat_02!H191=0,"",Dat_02!H191)</f>
        <v/>
      </c>
    </row>
    <row r="193" spans="2:10">
      <c r="B193" s="198"/>
      <c r="C193" s="199">
        <f>Dat_02!B192</f>
        <v>45389</v>
      </c>
      <c r="D193" s="198"/>
      <c r="E193" s="200">
        <f>Dat_02!C192</f>
        <v>267.06073969766044</v>
      </c>
      <c r="F193" s="200">
        <f>Dat_02!D192</f>
        <v>120.54288292781465</v>
      </c>
      <c r="G193" s="200">
        <f>Dat_02!E192</f>
        <v>120.54288292781465</v>
      </c>
      <c r="I193" s="201">
        <f>Dat_02!G192</f>
        <v>0</v>
      </c>
      <c r="J193" s="207" t="str">
        <f>IF(Dat_02!H192=0,"",Dat_02!H192)</f>
        <v/>
      </c>
    </row>
    <row r="194" spans="2:10">
      <c r="B194" s="198"/>
      <c r="C194" s="199">
        <f>Dat_02!B193</f>
        <v>45390</v>
      </c>
      <c r="D194" s="198"/>
      <c r="E194" s="200">
        <f>Dat_02!C193</f>
        <v>270.21304680165861</v>
      </c>
      <c r="F194" s="200">
        <f>Dat_02!D193</f>
        <v>120.54288292781465</v>
      </c>
      <c r="G194" s="200">
        <f>Dat_02!E193</f>
        <v>120.54288292781465</v>
      </c>
      <c r="I194" s="201">
        <f>Dat_02!G193</f>
        <v>0</v>
      </c>
      <c r="J194" s="207" t="str">
        <f>IF(Dat_02!H193=0,"",Dat_02!H193)</f>
        <v/>
      </c>
    </row>
    <row r="195" spans="2:10">
      <c r="B195" s="198"/>
      <c r="C195" s="199">
        <f>Dat_02!B194</f>
        <v>45391</v>
      </c>
      <c r="D195" s="198"/>
      <c r="E195" s="200">
        <f>Dat_02!C194</f>
        <v>262.92823013066044</v>
      </c>
      <c r="F195" s="200">
        <f>Dat_02!D194</f>
        <v>120.54288292781465</v>
      </c>
      <c r="G195" s="200">
        <f>Dat_02!E194</f>
        <v>120.54288292781465</v>
      </c>
      <c r="I195" s="201">
        <f>Dat_02!G194</f>
        <v>0</v>
      </c>
      <c r="J195" s="207" t="str">
        <f>IF(Dat_02!H194=0,"",Dat_02!H194)</f>
        <v/>
      </c>
    </row>
    <row r="196" spans="2:10">
      <c r="B196" s="198"/>
      <c r="C196" s="199">
        <f>Dat_02!B195</f>
        <v>45392</v>
      </c>
      <c r="D196" s="198"/>
      <c r="E196" s="200">
        <f>Dat_02!C195</f>
        <v>193.9214722451166</v>
      </c>
      <c r="F196" s="200">
        <f>Dat_02!D195</f>
        <v>120.54288292781465</v>
      </c>
      <c r="G196" s="200">
        <f>Dat_02!E195</f>
        <v>120.54288292781465</v>
      </c>
      <c r="I196" s="201">
        <f>Dat_02!G195</f>
        <v>0</v>
      </c>
      <c r="J196" s="207" t="str">
        <f>IF(Dat_02!H195=0,"",Dat_02!H195)</f>
        <v/>
      </c>
    </row>
    <row r="197" spans="2:10">
      <c r="B197" s="198"/>
      <c r="C197" s="199">
        <f>Dat_02!B196</f>
        <v>45393</v>
      </c>
      <c r="D197" s="198"/>
      <c r="E197" s="200">
        <f>Dat_02!C196</f>
        <v>173.92818561711846</v>
      </c>
      <c r="F197" s="200">
        <f>Dat_02!D196</f>
        <v>120.54288292781465</v>
      </c>
      <c r="G197" s="200">
        <f>Dat_02!E196</f>
        <v>120.54288292781465</v>
      </c>
      <c r="I197" s="201">
        <f>Dat_02!G196</f>
        <v>0</v>
      </c>
      <c r="J197" s="207" t="str">
        <f>IF(Dat_02!H196=0,"",Dat_02!H196)</f>
        <v/>
      </c>
    </row>
    <row r="198" spans="2:10">
      <c r="B198" s="198"/>
      <c r="C198" s="199">
        <f>Dat_02!B197</f>
        <v>45394</v>
      </c>
      <c r="D198" s="198"/>
      <c r="E198" s="200">
        <f>Dat_02!C197</f>
        <v>194.95258946511288</v>
      </c>
      <c r="F198" s="200">
        <f>Dat_02!D197</f>
        <v>120.54288292781465</v>
      </c>
      <c r="G198" s="200">
        <f>Dat_02!E197</f>
        <v>120.54288292781465</v>
      </c>
      <c r="I198" s="201">
        <f>Dat_02!G197</f>
        <v>0</v>
      </c>
      <c r="J198" s="207" t="str">
        <f>IF(Dat_02!H197=0,"",Dat_02!H197)</f>
        <v/>
      </c>
    </row>
    <row r="199" spans="2:10">
      <c r="B199" s="198"/>
      <c r="C199" s="199">
        <f>Dat_02!B198</f>
        <v>45395</v>
      </c>
      <c r="D199" s="198"/>
      <c r="E199" s="200">
        <f>Dat_02!C198</f>
        <v>178.18745186911846</v>
      </c>
      <c r="F199" s="200">
        <f>Dat_02!D198</f>
        <v>120.54288292781465</v>
      </c>
      <c r="G199" s="200">
        <f>Dat_02!E198</f>
        <v>120.54288292781465</v>
      </c>
      <c r="I199" s="201">
        <f>Dat_02!G198</f>
        <v>0</v>
      </c>
      <c r="J199" s="207" t="str">
        <f>IF(Dat_02!H198=0,"",Dat_02!H198)</f>
        <v/>
      </c>
    </row>
    <row r="200" spans="2:10">
      <c r="B200" s="198"/>
      <c r="C200" s="199">
        <f>Dat_02!B199</f>
        <v>45396</v>
      </c>
      <c r="D200" s="198"/>
      <c r="E200" s="200">
        <f>Dat_02!C199</f>
        <v>165.4526508811166</v>
      </c>
      <c r="F200" s="200">
        <f>Dat_02!D199</f>
        <v>120.54288292781465</v>
      </c>
      <c r="G200" s="200">
        <f>Dat_02!E199</f>
        <v>120.54288292781465</v>
      </c>
      <c r="I200" s="201">
        <f>Dat_02!G199</f>
        <v>0</v>
      </c>
      <c r="J200" s="207" t="str">
        <f>IF(Dat_02!H199=0,"",Dat_02!H199)</f>
        <v/>
      </c>
    </row>
    <row r="201" spans="2:10">
      <c r="B201" s="198"/>
      <c r="C201" s="199">
        <f>Dat_02!B200</f>
        <v>45397</v>
      </c>
      <c r="D201" s="198"/>
      <c r="E201" s="200">
        <f>Dat_02!C200</f>
        <v>160.50314996911476</v>
      </c>
      <c r="F201" s="200">
        <f>Dat_02!D200</f>
        <v>120.54288292781465</v>
      </c>
      <c r="G201" s="200">
        <f>Dat_02!E200</f>
        <v>120.54288292781465</v>
      </c>
      <c r="I201" s="201">
        <f>Dat_02!G200</f>
        <v>0</v>
      </c>
      <c r="J201" s="207" t="str">
        <f>IF(Dat_02!H200=0,"",Dat_02!H200)</f>
        <v/>
      </c>
    </row>
    <row r="202" spans="2:10">
      <c r="B202" s="198"/>
      <c r="C202" s="199">
        <f>Dat_02!B201</f>
        <v>45398</v>
      </c>
      <c r="D202" s="198"/>
      <c r="E202" s="200">
        <f>Dat_02!C201</f>
        <v>146.16653191711848</v>
      </c>
      <c r="F202" s="200">
        <f>Dat_02!D201</f>
        <v>120.54288292781465</v>
      </c>
      <c r="G202" s="200">
        <f>Dat_02!E201</f>
        <v>120.54288292781465</v>
      </c>
      <c r="I202" s="201" t="str">
        <f>Dat_02!G201</f>
        <v/>
      </c>
      <c r="J202" s="207" t="str">
        <f>IF(Dat_02!H201=0,"",Dat_02!H201)</f>
        <v/>
      </c>
    </row>
    <row r="203" spans="2:10">
      <c r="B203" s="198"/>
      <c r="C203" s="199">
        <f>Dat_02!B202</f>
        <v>45399</v>
      </c>
      <c r="D203" s="198"/>
      <c r="E203" s="200">
        <f>Dat_02!C202</f>
        <v>123.48102182233816</v>
      </c>
      <c r="F203" s="200">
        <f>Dat_02!D202</f>
        <v>120.54288292781465</v>
      </c>
      <c r="G203" s="200">
        <f>Dat_02!E202</f>
        <v>120.54288292781465</v>
      </c>
      <c r="I203" s="201">
        <f>Dat_02!G202</f>
        <v>0</v>
      </c>
      <c r="J203" s="207" t="str">
        <f>IF(Dat_02!H202=0,"",Dat_02!H202)</f>
        <v/>
      </c>
    </row>
    <row r="204" spans="2:10">
      <c r="B204" s="198"/>
      <c r="C204" s="199">
        <f>Dat_02!B203</f>
        <v>45400</v>
      </c>
      <c r="D204" s="198"/>
      <c r="E204" s="200">
        <f>Dat_02!C203</f>
        <v>121.8189959663419</v>
      </c>
      <c r="F204" s="200">
        <f>Dat_02!D203</f>
        <v>120.54288292781465</v>
      </c>
      <c r="G204" s="200">
        <f>Dat_02!E203</f>
        <v>120.54288292781465</v>
      </c>
      <c r="I204" s="201">
        <f>Dat_02!G203</f>
        <v>0</v>
      </c>
      <c r="J204" s="207" t="str">
        <f>IF(Dat_02!H203=0,"",Dat_02!H203)</f>
        <v/>
      </c>
    </row>
    <row r="205" spans="2:10">
      <c r="B205" s="198"/>
      <c r="C205" s="199">
        <f>Dat_02!B204</f>
        <v>45401</v>
      </c>
      <c r="D205" s="198"/>
      <c r="E205" s="200">
        <f>Dat_02!C204</f>
        <v>136.99538842733818</v>
      </c>
      <c r="F205" s="200">
        <f>Dat_02!D204</f>
        <v>120.54288292781465</v>
      </c>
      <c r="G205" s="200">
        <f>Dat_02!E204</f>
        <v>120.54288292781465</v>
      </c>
      <c r="I205" s="201">
        <f>Dat_02!G204</f>
        <v>0</v>
      </c>
      <c r="J205" s="207" t="str">
        <f>IF(Dat_02!H204=0,"",Dat_02!H204)</f>
        <v/>
      </c>
    </row>
    <row r="206" spans="2:10">
      <c r="B206" s="198"/>
      <c r="C206" s="199">
        <f>Dat_02!B205</f>
        <v>45402</v>
      </c>
      <c r="D206" s="198"/>
      <c r="E206" s="200">
        <f>Dat_02!C205</f>
        <v>111.19103276633818</v>
      </c>
      <c r="F206" s="200">
        <f>Dat_02!D205</f>
        <v>120.54288292781465</v>
      </c>
      <c r="G206" s="200">
        <f>Dat_02!E205</f>
        <v>111.19103276633818</v>
      </c>
      <c r="I206" s="201">
        <f>Dat_02!G205</f>
        <v>0</v>
      </c>
      <c r="J206" s="207" t="str">
        <f>IF(Dat_02!H205=0,"",Dat_02!H205)</f>
        <v/>
      </c>
    </row>
    <row r="207" spans="2:10">
      <c r="B207" s="198"/>
      <c r="C207" s="199">
        <f>Dat_02!B206</f>
        <v>45403</v>
      </c>
      <c r="D207" s="198"/>
      <c r="E207" s="200">
        <f>Dat_02!C206</f>
        <v>88.599454134340036</v>
      </c>
      <c r="F207" s="200">
        <f>Dat_02!D206</f>
        <v>120.54288292781465</v>
      </c>
      <c r="G207" s="200">
        <f>Dat_02!E206</f>
        <v>88.599454134340036</v>
      </c>
      <c r="I207" s="201">
        <f>Dat_02!G206</f>
        <v>0</v>
      </c>
      <c r="J207" s="207" t="str">
        <f>IF(Dat_02!H206=0,"",Dat_02!H206)</f>
        <v/>
      </c>
    </row>
    <row r="208" spans="2:10">
      <c r="B208" s="198"/>
      <c r="C208" s="199">
        <f>Dat_02!B207</f>
        <v>45404</v>
      </c>
      <c r="D208" s="198"/>
      <c r="E208" s="200">
        <f>Dat_02!C207</f>
        <v>93.381547750340033</v>
      </c>
      <c r="F208" s="200">
        <f>Dat_02!D207</f>
        <v>120.54288292781465</v>
      </c>
      <c r="G208" s="200">
        <f>Dat_02!E207</f>
        <v>93.381547750340033</v>
      </c>
      <c r="I208" s="201">
        <f>Dat_02!G207</f>
        <v>0</v>
      </c>
      <c r="J208" s="207" t="str">
        <f>IF(Dat_02!H207=0,"",Dat_02!H207)</f>
        <v/>
      </c>
    </row>
    <row r="209" spans="2:10">
      <c r="B209" s="198"/>
      <c r="C209" s="199">
        <f>Dat_02!B208</f>
        <v>45405</v>
      </c>
      <c r="D209" s="198"/>
      <c r="E209" s="200">
        <f>Dat_02!C208</f>
        <v>96.421928146338175</v>
      </c>
      <c r="F209" s="200">
        <f>Dat_02!D208</f>
        <v>120.54288292781465</v>
      </c>
      <c r="G209" s="200">
        <f>Dat_02!E208</f>
        <v>96.421928146338175</v>
      </c>
      <c r="I209" s="201">
        <f>Dat_02!G208</f>
        <v>0</v>
      </c>
      <c r="J209" s="207" t="str">
        <f>IF(Dat_02!H208=0,"",Dat_02!H208)</f>
        <v/>
      </c>
    </row>
    <row r="210" spans="2:10">
      <c r="B210" s="198"/>
      <c r="C210" s="199">
        <f>Dat_02!B209</f>
        <v>45406</v>
      </c>
      <c r="D210" s="198"/>
      <c r="E210" s="200">
        <f>Dat_02!C209</f>
        <v>73.047796928215917</v>
      </c>
      <c r="F210" s="200">
        <f>Dat_02!D209</f>
        <v>120.54288292781465</v>
      </c>
      <c r="G210" s="200">
        <f>Dat_02!E209</f>
        <v>73.047796928215917</v>
      </c>
      <c r="I210" s="201">
        <f>Dat_02!G209</f>
        <v>0</v>
      </c>
      <c r="J210" s="207" t="str">
        <f>IF(Dat_02!H209=0,"",Dat_02!H209)</f>
        <v/>
      </c>
    </row>
    <row r="211" spans="2:10">
      <c r="B211" s="198"/>
      <c r="C211" s="199">
        <f>Dat_02!B210</f>
        <v>45407</v>
      </c>
      <c r="D211" s="198"/>
      <c r="E211" s="200">
        <f>Dat_02!C210</f>
        <v>124.15125314421218</v>
      </c>
      <c r="F211" s="200">
        <f>Dat_02!D210</f>
        <v>120.54288292781465</v>
      </c>
      <c r="G211" s="200">
        <f>Dat_02!E210</f>
        <v>120.54288292781465</v>
      </c>
      <c r="I211" s="201">
        <f>Dat_02!G210</f>
        <v>0</v>
      </c>
      <c r="J211" s="207" t="str">
        <f>IF(Dat_02!H210=0,"",Dat_02!H210)</f>
        <v/>
      </c>
    </row>
    <row r="212" spans="2:10">
      <c r="B212" s="198"/>
      <c r="C212" s="199">
        <f>Dat_02!B211</f>
        <v>45408</v>
      </c>
      <c r="D212" s="198"/>
      <c r="E212" s="200">
        <f>Dat_02!C211</f>
        <v>131.74439060321961</v>
      </c>
      <c r="F212" s="200">
        <f>Dat_02!D211</f>
        <v>120.54288292781465</v>
      </c>
      <c r="G212" s="200">
        <f>Dat_02!E211</f>
        <v>120.54288292781465</v>
      </c>
      <c r="I212" s="201">
        <f>Dat_02!G211</f>
        <v>0</v>
      </c>
      <c r="J212" s="207" t="str">
        <f>IF(Dat_02!H211=0,"",Dat_02!H211)</f>
        <v/>
      </c>
    </row>
    <row r="213" spans="2:10">
      <c r="B213" s="198"/>
      <c r="C213" s="199">
        <f>Dat_02!B212</f>
        <v>45409</v>
      </c>
      <c r="D213" s="198"/>
      <c r="E213" s="200">
        <f>Dat_02!C212</f>
        <v>71.896353268219642</v>
      </c>
      <c r="F213" s="200">
        <f>Dat_02!D212</f>
        <v>120.54288292781465</v>
      </c>
      <c r="G213" s="200">
        <f>Dat_02!E212</f>
        <v>71.896353268219642</v>
      </c>
      <c r="I213" s="201">
        <f>Dat_02!G212</f>
        <v>0</v>
      </c>
      <c r="J213" s="207" t="str">
        <f>IF(Dat_02!H212=0,"",Dat_02!H212)</f>
        <v/>
      </c>
    </row>
    <row r="214" spans="2:10">
      <c r="B214" s="198"/>
      <c r="C214" s="199">
        <f>Dat_02!B213</f>
        <v>45410</v>
      </c>
      <c r="D214" s="198"/>
      <c r="E214" s="200">
        <f>Dat_02!C213</f>
        <v>74.042449444215919</v>
      </c>
      <c r="F214" s="200">
        <f>Dat_02!D213</f>
        <v>120.54288292781465</v>
      </c>
      <c r="G214" s="200">
        <f>Dat_02!E213</f>
        <v>74.042449444215919</v>
      </c>
      <c r="I214" s="201">
        <f>Dat_02!G213</f>
        <v>0</v>
      </c>
      <c r="J214" s="207" t="str">
        <f>IF(Dat_02!H213=0,"",Dat_02!H213)</f>
        <v/>
      </c>
    </row>
    <row r="215" spans="2:10">
      <c r="B215" s="198"/>
      <c r="C215" s="199">
        <f>Dat_02!B214</f>
        <v>45411</v>
      </c>
      <c r="D215" s="198"/>
      <c r="E215" s="200">
        <f>Dat_02!C214</f>
        <v>109.42936759621591</v>
      </c>
      <c r="F215" s="200">
        <f>Dat_02!D214</f>
        <v>120.54288292781465</v>
      </c>
      <c r="G215" s="200">
        <f>Dat_02!E214</f>
        <v>109.42936759621591</v>
      </c>
      <c r="I215" s="201">
        <f>Dat_02!G214</f>
        <v>0</v>
      </c>
      <c r="J215" s="207" t="str">
        <f>IF(Dat_02!H214=0,"",Dat_02!H214)</f>
        <v/>
      </c>
    </row>
    <row r="216" spans="2:10">
      <c r="B216" s="198"/>
      <c r="C216" s="199">
        <f>Dat_02!B215</f>
        <v>45412</v>
      </c>
      <c r="D216" s="198"/>
      <c r="E216" s="200">
        <f>Dat_02!C215</f>
        <v>64.354226576215908</v>
      </c>
      <c r="F216" s="200">
        <f>Dat_02!D215</f>
        <v>120.54288292781465</v>
      </c>
      <c r="G216" s="200">
        <f>Dat_02!E215</f>
        <v>64.354226576215908</v>
      </c>
      <c r="I216" s="201">
        <f>Dat_02!G215</f>
        <v>0</v>
      </c>
      <c r="J216" s="207" t="str">
        <f>IF(Dat_02!H215=0,"",Dat_02!H215)</f>
        <v/>
      </c>
    </row>
    <row r="217" spans="2:10">
      <c r="B217" s="198"/>
      <c r="C217" s="199">
        <f>Dat_02!B216</f>
        <v>45413</v>
      </c>
      <c r="D217" s="198"/>
      <c r="E217" s="200">
        <f>Dat_02!C216</f>
        <v>79.571888342601397</v>
      </c>
      <c r="F217" s="200">
        <f>Dat_02!D216</f>
        <v>94.661389583977851</v>
      </c>
      <c r="G217" s="200">
        <f>Dat_02!E216</f>
        <v>79.571888342601397</v>
      </c>
      <c r="I217" s="201">
        <f>Dat_02!G216</f>
        <v>0</v>
      </c>
      <c r="J217" s="207" t="str">
        <f>IF(Dat_02!H216=0,"",Dat_02!H216)</f>
        <v/>
      </c>
    </row>
    <row r="218" spans="2:10">
      <c r="B218" s="198" t="s">
        <v>174</v>
      </c>
      <c r="C218" s="199">
        <f>Dat_02!B217</f>
        <v>45414</v>
      </c>
      <c r="D218" s="198"/>
      <c r="E218" s="200">
        <f>Dat_02!C217</f>
        <v>89.119704002601381</v>
      </c>
      <c r="F218" s="200">
        <f>Dat_02!D217</f>
        <v>94.661389583977851</v>
      </c>
      <c r="G218" s="200">
        <f>Dat_02!E217</f>
        <v>89.119704002601381</v>
      </c>
      <c r="I218" s="201">
        <f>Dat_02!G217</f>
        <v>0</v>
      </c>
      <c r="J218" s="207" t="str">
        <f>IF(Dat_02!H217=0,"",Dat_02!H217)</f>
        <v/>
      </c>
    </row>
    <row r="219" spans="2:10">
      <c r="B219" s="198"/>
      <c r="C219" s="199">
        <f>Dat_02!B218</f>
        <v>45415</v>
      </c>
      <c r="D219" s="198"/>
      <c r="E219" s="200">
        <f>Dat_02!C218</f>
        <v>103.91496643460138</v>
      </c>
      <c r="F219" s="200">
        <f>Dat_02!D218</f>
        <v>94.661389583977851</v>
      </c>
      <c r="G219" s="200">
        <f>Dat_02!E218</f>
        <v>94.661389583977851</v>
      </c>
      <c r="I219" s="201">
        <f>Dat_02!G218</f>
        <v>0</v>
      </c>
      <c r="J219" s="207" t="str">
        <f>IF(Dat_02!H218=0,"",Dat_02!H218)</f>
        <v/>
      </c>
    </row>
    <row r="220" spans="2:10">
      <c r="B220" s="198"/>
      <c r="C220" s="199">
        <f>Dat_02!B219</f>
        <v>45416</v>
      </c>
      <c r="D220" s="198"/>
      <c r="E220" s="200">
        <f>Dat_02!C219</f>
        <v>105.90095924659767</v>
      </c>
      <c r="F220" s="200">
        <f>Dat_02!D219</f>
        <v>94.661389583977851</v>
      </c>
      <c r="G220" s="200">
        <f>Dat_02!E219</f>
        <v>94.661389583977851</v>
      </c>
      <c r="I220" s="201">
        <f>Dat_02!G219</f>
        <v>0</v>
      </c>
      <c r="J220" s="207" t="str">
        <f>IF(Dat_02!H219=0,"",Dat_02!H219)</f>
        <v/>
      </c>
    </row>
    <row r="221" spans="2:10">
      <c r="B221" s="198"/>
      <c r="C221" s="199">
        <f>Dat_02!B220</f>
        <v>45417</v>
      </c>
      <c r="D221" s="198"/>
      <c r="E221" s="200">
        <f>Dat_02!C220</f>
        <v>104.83254937960325</v>
      </c>
      <c r="F221" s="200">
        <f>Dat_02!D220</f>
        <v>94.661389583977851</v>
      </c>
      <c r="G221" s="200">
        <f>Dat_02!E220</f>
        <v>94.661389583977851</v>
      </c>
      <c r="I221" s="201">
        <f>Dat_02!G220</f>
        <v>0</v>
      </c>
      <c r="J221" s="207" t="str">
        <f>IF(Dat_02!H220=0,"",Dat_02!H220)</f>
        <v/>
      </c>
    </row>
    <row r="222" spans="2:10">
      <c r="B222" s="198"/>
      <c r="C222" s="199">
        <f>Dat_02!B221</f>
        <v>45418</v>
      </c>
      <c r="D222" s="198"/>
      <c r="E222" s="200">
        <f>Dat_02!C221</f>
        <v>137.12204992159764</v>
      </c>
      <c r="F222" s="200">
        <f>Dat_02!D221</f>
        <v>94.661389583977851</v>
      </c>
      <c r="G222" s="200">
        <f>Dat_02!E221</f>
        <v>94.661389583977851</v>
      </c>
      <c r="I222" s="201">
        <f>Dat_02!G221</f>
        <v>0</v>
      </c>
      <c r="J222" s="207" t="str">
        <f>IF(Dat_02!H221=0,"",Dat_02!H221)</f>
        <v/>
      </c>
    </row>
    <row r="223" spans="2:10">
      <c r="B223" s="198"/>
      <c r="C223" s="199">
        <f>Dat_02!B222</f>
        <v>45419</v>
      </c>
      <c r="D223" s="198"/>
      <c r="E223" s="200">
        <f>Dat_02!C222</f>
        <v>114.43662242259953</v>
      </c>
      <c r="F223" s="200">
        <f>Dat_02!D222</f>
        <v>94.661389583977851</v>
      </c>
      <c r="G223" s="200">
        <f>Dat_02!E222</f>
        <v>94.661389583977851</v>
      </c>
      <c r="I223" s="201">
        <f>Dat_02!G222</f>
        <v>0</v>
      </c>
      <c r="J223" s="207" t="str">
        <f>IF(Dat_02!H222=0,"",Dat_02!H222)</f>
        <v/>
      </c>
    </row>
    <row r="224" spans="2:10">
      <c r="B224" s="198"/>
      <c r="C224" s="199">
        <f>Dat_02!B223</f>
        <v>45420</v>
      </c>
      <c r="D224" s="198"/>
      <c r="E224" s="200">
        <f>Dat_02!C223</f>
        <v>95.868914238072179</v>
      </c>
      <c r="F224" s="200">
        <f>Dat_02!D223</f>
        <v>94.661389583977851</v>
      </c>
      <c r="G224" s="200">
        <f>Dat_02!E223</f>
        <v>94.661389583977851</v>
      </c>
      <c r="I224" s="201">
        <f>Dat_02!G223</f>
        <v>0</v>
      </c>
      <c r="J224" s="207" t="str">
        <f>IF(Dat_02!H223=0,"",Dat_02!H223)</f>
        <v/>
      </c>
    </row>
    <row r="225" spans="2:10">
      <c r="B225" s="198"/>
      <c r="C225" s="199">
        <f>Dat_02!B224</f>
        <v>45421</v>
      </c>
      <c r="D225" s="198"/>
      <c r="E225" s="200">
        <f>Dat_02!C224</f>
        <v>109.52223605407217</v>
      </c>
      <c r="F225" s="200">
        <f>Dat_02!D224</f>
        <v>94.661389583977851</v>
      </c>
      <c r="G225" s="200">
        <f>Dat_02!E224</f>
        <v>94.661389583977851</v>
      </c>
      <c r="I225" s="201">
        <f>Dat_02!G224</f>
        <v>0</v>
      </c>
      <c r="J225" s="207" t="str">
        <f>IF(Dat_02!H224=0,"",Dat_02!H224)</f>
        <v/>
      </c>
    </row>
    <row r="226" spans="2:10">
      <c r="B226" s="198"/>
      <c r="C226" s="199">
        <f>Dat_02!B225</f>
        <v>45422</v>
      </c>
      <c r="D226" s="198"/>
      <c r="E226" s="200">
        <f>Dat_02!C225</f>
        <v>109.76794713007031</v>
      </c>
      <c r="F226" s="200">
        <f>Dat_02!D225</f>
        <v>94.661389583977851</v>
      </c>
      <c r="G226" s="200">
        <f>Dat_02!E225</f>
        <v>94.661389583977851</v>
      </c>
      <c r="I226" s="201">
        <f>Dat_02!G225</f>
        <v>0</v>
      </c>
      <c r="J226" s="207" t="str">
        <f>IF(Dat_02!H225=0,"",Dat_02!H225)</f>
        <v/>
      </c>
    </row>
    <row r="227" spans="2:10">
      <c r="B227" s="198"/>
      <c r="C227" s="199">
        <f>Dat_02!B226</f>
        <v>45423</v>
      </c>
      <c r="D227" s="198"/>
      <c r="E227" s="200">
        <f>Dat_02!C226</f>
        <v>87.082563798072187</v>
      </c>
      <c r="F227" s="200">
        <f>Dat_02!D226</f>
        <v>94.661389583977851</v>
      </c>
      <c r="G227" s="200">
        <f>Dat_02!E226</f>
        <v>87.082563798072187</v>
      </c>
      <c r="I227" s="201">
        <f>Dat_02!G226</f>
        <v>0</v>
      </c>
      <c r="J227" s="207" t="str">
        <f>IF(Dat_02!H226=0,"",Dat_02!H226)</f>
        <v/>
      </c>
    </row>
    <row r="228" spans="2:10">
      <c r="B228" s="198"/>
      <c r="C228" s="199">
        <f>Dat_02!B227</f>
        <v>45424</v>
      </c>
      <c r="D228" s="198"/>
      <c r="E228" s="200">
        <f>Dat_02!C227</f>
        <v>92.097228806070319</v>
      </c>
      <c r="F228" s="200">
        <f>Dat_02!D227</f>
        <v>94.661389583977851</v>
      </c>
      <c r="G228" s="200">
        <f>Dat_02!E227</f>
        <v>92.097228806070319</v>
      </c>
      <c r="I228" s="201">
        <f>Dat_02!G227</f>
        <v>0</v>
      </c>
      <c r="J228" s="207" t="str">
        <f>IF(Dat_02!H227=0,"",Dat_02!H227)</f>
        <v/>
      </c>
    </row>
    <row r="229" spans="2:10">
      <c r="B229" s="198"/>
      <c r="C229" s="199">
        <f>Dat_02!B228</f>
        <v>45425</v>
      </c>
      <c r="D229" s="198"/>
      <c r="E229" s="200">
        <f>Dat_02!C228</f>
        <v>98.382952402070316</v>
      </c>
      <c r="F229" s="200">
        <f>Dat_02!D228</f>
        <v>94.661389583977851</v>
      </c>
      <c r="G229" s="200">
        <f>Dat_02!E228</f>
        <v>94.661389583977851</v>
      </c>
      <c r="I229" s="201">
        <f>Dat_02!G228</f>
        <v>0</v>
      </c>
      <c r="J229" s="207" t="str">
        <f>IF(Dat_02!H228=0,"",Dat_02!H228)</f>
        <v/>
      </c>
    </row>
    <row r="230" spans="2:10">
      <c r="B230" s="198"/>
      <c r="C230" s="199">
        <f>Dat_02!B229</f>
        <v>45426</v>
      </c>
      <c r="D230" s="198"/>
      <c r="E230" s="200">
        <f>Dat_02!C229</f>
        <v>86.890977494070313</v>
      </c>
      <c r="F230" s="200">
        <f>Dat_02!D229</f>
        <v>94.661389583977851</v>
      </c>
      <c r="G230" s="200">
        <f>Dat_02!E229</f>
        <v>86.890977494070313</v>
      </c>
      <c r="I230" s="201">
        <f>Dat_02!G229</f>
        <v>0</v>
      </c>
      <c r="J230" s="207" t="str">
        <f>IF(Dat_02!H229=0,"",Dat_02!H229)</f>
        <v/>
      </c>
    </row>
    <row r="231" spans="2:10">
      <c r="B231" s="198"/>
      <c r="C231" s="199">
        <f>Dat_02!B230</f>
        <v>45427</v>
      </c>
      <c r="D231" s="198"/>
      <c r="E231" s="200">
        <f>Dat_02!C230</f>
        <v>104.96816724701439</v>
      </c>
      <c r="F231" s="200">
        <f>Dat_02!D230</f>
        <v>94.661389583977851</v>
      </c>
      <c r="G231" s="200">
        <f>Dat_02!E230</f>
        <v>94.661389583977851</v>
      </c>
      <c r="I231" s="201">
        <f>Dat_02!G230</f>
        <v>94.661389583977851</v>
      </c>
      <c r="J231" s="207" t="str">
        <f>IF(Dat_02!H230=0,"",Dat_02!H230)</f>
        <v/>
      </c>
    </row>
    <row r="232" spans="2:10">
      <c r="B232" s="198"/>
      <c r="C232" s="199">
        <f>Dat_02!B231</f>
        <v>45428</v>
      </c>
      <c r="D232" s="198"/>
      <c r="E232" s="200">
        <f>Dat_02!C231</f>
        <v>120.74001667101626</v>
      </c>
      <c r="F232" s="200">
        <f>Dat_02!D231</f>
        <v>94.661389583977851</v>
      </c>
      <c r="G232" s="200">
        <f>Dat_02!E231</f>
        <v>94.661389583977851</v>
      </c>
      <c r="I232" s="201">
        <f>Dat_02!G231</f>
        <v>0</v>
      </c>
      <c r="J232" s="207" t="str">
        <f>IF(Dat_02!H231=0,"",Dat_02!H231)</f>
        <v/>
      </c>
    </row>
    <row r="233" spans="2:10">
      <c r="B233" s="198"/>
      <c r="C233" s="199">
        <f>Dat_02!B232</f>
        <v>45429</v>
      </c>
      <c r="D233" s="198"/>
      <c r="E233" s="200">
        <f>Dat_02!C232</f>
        <v>147.09440886701253</v>
      </c>
      <c r="F233" s="200">
        <f>Dat_02!D232</f>
        <v>94.661389583977851</v>
      </c>
      <c r="G233" s="200">
        <f>Dat_02!E232</f>
        <v>94.661389583977851</v>
      </c>
      <c r="I233" s="201">
        <f>Dat_02!G232</f>
        <v>0</v>
      </c>
      <c r="J233" s="207" t="str">
        <f>IF(Dat_02!H232=0,"",Dat_02!H232)</f>
        <v/>
      </c>
    </row>
    <row r="234" spans="2:10">
      <c r="B234" s="198"/>
      <c r="C234" s="199">
        <f>Dat_02!B233</f>
        <v>45430</v>
      </c>
      <c r="D234" s="198"/>
      <c r="E234" s="200">
        <f>Dat_02!C233</f>
        <v>102.0620866310144</v>
      </c>
      <c r="F234" s="200">
        <f>Dat_02!D233</f>
        <v>94.661389583977851</v>
      </c>
      <c r="G234" s="200">
        <f>Dat_02!E233</f>
        <v>94.661389583977851</v>
      </c>
      <c r="I234" s="201">
        <f>Dat_02!G233</f>
        <v>0</v>
      </c>
      <c r="J234" s="207" t="str">
        <f>IF(Dat_02!H233=0,"",Dat_02!H233)</f>
        <v/>
      </c>
    </row>
    <row r="235" spans="2:10">
      <c r="B235" s="198"/>
      <c r="C235" s="199">
        <f>Dat_02!B234</f>
        <v>45431</v>
      </c>
      <c r="D235" s="198"/>
      <c r="E235" s="200">
        <f>Dat_02!C234</f>
        <v>91.921238147018116</v>
      </c>
      <c r="F235" s="200">
        <f>Dat_02!D234</f>
        <v>94.661389583977851</v>
      </c>
      <c r="G235" s="200">
        <f>Dat_02!E234</f>
        <v>91.921238147018116</v>
      </c>
      <c r="I235" s="201">
        <f>Dat_02!G234</f>
        <v>0</v>
      </c>
      <c r="J235" s="207" t="str">
        <f>IF(Dat_02!H234=0,"",Dat_02!H234)</f>
        <v/>
      </c>
    </row>
    <row r="236" spans="2:10">
      <c r="B236" s="198"/>
      <c r="C236" s="199">
        <f>Dat_02!B235</f>
        <v>45432</v>
      </c>
      <c r="D236" s="198"/>
      <c r="E236" s="200">
        <f>Dat_02!C235</f>
        <v>105.46814395901252</v>
      </c>
      <c r="F236" s="200">
        <f>Dat_02!D235</f>
        <v>94.661389583977851</v>
      </c>
      <c r="G236" s="200">
        <f>Dat_02!E235</f>
        <v>94.661389583977851</v>
      </c>
      <c r="I236" s="201">
        <f>Dat_02!G235</f>
        <v>0</v>
      </c>
      <c r="J236" s="207" t="str">
        <f>IF(Dat_02!H235=0,"",Dat_02!H235)</f>
        <v/>
      </c>
    </row>
    <row r="237" spans="2:10">
      <c r="B237" s="198"/>
      <c r="C237" s="199">
        <f>Dat_02!B236</f>
        <v>45433</v>
      </c>
      <c r="D237" s="198"/>
      <c r="E237" s="200">
        <f>Dat_02!C236</f>
        <v>118.7190386380144</v>
      </c>
      <c r="F237" s="200">
        <f>Dat_02!D236</f>
        <v>94.661389583977851</v>
      </c>
      <c r="G237" s="200">
        <f>Dat_02!E236</f>
        <v>94.661389583977851</v>
      </c>
      <c r="I237" s="201">
        <f>Dat_02!G236</f>
        <v>0</v>
      </c>
      <c r="J237" s="207" t="str">
        <f>IF(Dat_02!H236=0,"",Dat_02!H236)</f>
        <v/>
      </c>
    </row>
    <row r="238" spans="2:10">
      <c r="B238" s="198"/>
      <c r="C238" s="199">
        <f>Dat_02!B237</f>
        <v>45434</v>
      </c>
      <c r="D238" s="198"/>
      <c r="E238" s="200">
        <f>Dat_02!C237</f>
        <v>113.49101006372031</v>
      </c>
      <c r="F238" s="200">
        <f>Dat_02!D237</f>
        <v>94.661389583977851</v>
      </c>
      <c r="G238" s="200">
        <f>Dat_02!E237</f>
        <v>94.661389583977851</v>
      </c>
      <c r="I238" s="201">
        <f>Dat_02!G237</f>
        <v>0</v>
      </c>
      <c r="J238" s="207" t="str">
        <f>IF(Dat_02!H237=0,"",Dat_02!H237)</f>
        <v/>
      </c>
    </row>
    <row r="239" spans="2:10">
      <c r="B239" s="198"/>
      <c r="C239" s="199">
        <f>Dat_02!B238</f>
        <v>45435</v>
      </c>
      <c r="D239" s="198"/>
      <c r="E239" s="200">
        <f>Dat_02!C238</f>
        <v>118.66739578072031</v>
      </c>
      <c r="F239" s="200">
        <f>Dat_02!D238</f>
        <v>94.661389583977851</v>
      </c>
      <c r="G239" s="200">
        <f>Dat_02!E238</f>
        <v>94.661389583977851</v>
      </c>
      <c r="I239" s="201">
        <f>Dat_02!G238</f>
        <v>0</v>
      </c>
      <c r="J239" s="207" t="str">
        <f>IF(Dat_02!H238=0,"",Dat_02!H238)</f>
        <v/>
      </c>
    </row>
    <row r="240" spans="2:10">
      <c r="B240" s="198"/>
      <c r="C240" s="199">
        <f>Dat_02!B239</f>
        <v>45436</v>
      </c>
      <c r="D240" s="198"/>
      <c r="E240" s="200">
        <f>Dat_02!C239</f>
        <v>113.69286175571845</v>
      </c>
      <c r="F240" s="200">
        <f>Dat_02!D239</f>
        <v>94.661389583977851</v>
      </c>
      <c r="G240" s="200">
        <f>Dat_02!E239</f>
        <v>94.661389583977851</v>
      </c>
      <c r="I240" s="201">
        <f>Dat_02!G239</f>
        <v>0</v>
      </c>
      <c r="J240" s="207" t="str">
        <f>IF(Dat_02!H239=0,"",Dat_02!H239)</f>
        <v/>
      </c>
    </row>
    <row r="241" spans="2:10">
      <c r="B241" s="198"/>
      <c r="C241" s="199">
        <f>Dat_02!B240</f>
        <v>45437</v>
      </c>
      <c r="D241" s="198"/>
      <c r="E241" s="200">
        <f>Dat_02!C240</f>
        <v>98.955515526716582</v>
      </c>
      <c r="F241" s="200">
        <f>Dat_02!D240</f>
        <v>94.661389583977851</v>
      </c>
      <c r="G241" s="200">
        <f>Dat_02!E240</f>
        <v>94.661389583977851</v>
      </c>
      <c r="I241" s="201">
        <f>Dat_02!G240</f>
        <v>0</v>
      </c>
      <c r="J241" s="207" t="str">
        <f>IF(Dat_02!H240=0,"",Dat_02!H240)</f>
        <v/>
      </c>
    </row>
    <row r="242" spans="2:10">
      <c r="B242" s="198"/>
      <c r="C242" s="199">
        <f>Dat_02!B241</f>
        <v>45438</v>
      </c>
      <c r="D242" s="198"/>
      <c r="E242" s="200">
        <f>Dat_02!C241</f>
        <v>91.834740247716596</v>
      </c>
      <c r="F242" s="200">
        <f>Dat_02!D241</f>
        <v>94.661389583977851</v>
      </c>
      <c r="G242" s="200">
        <f>Dat_02!E241</f>
        <v>91.834740247716596</v>
      </c>
      <c r="I242" s="201">
        <f>Dat_02!G241</f>
        <v>0</v>
      </c>
      <c r="J242" s="207" t="str">
        <f>IF(Dat_02!H241=0,"",Dat_02!H241)</f>
        <v/>
      </c>
    </row>
    <row r="243" spans="2:10">
      <c r="B243" s="198"/>
      <c r="C243" s="199">
        <f>Dat_02!B242</f>
        <v>45439</v>
      </c>
      <c r="D243" s="198"/>
      <c r="E243" s="200">
        <f>Dat_02!C242</f>
        <v>100.30185118772404</v>
      </c>
      <c r="F243" s="200">
        <f>Dat_02!D242</f>
        <v>94.661389583977851</v>
      </c>
      <c r="G243" s="200">
        <f>Dat_02!E242</f>
        <v>94.661389583977851</v>
      </c>
      <c r="I243" s="201">
        <f>Dat_02!G242</f>
        <v>0</v>
      </c>
      <c r="J243" s="207" t="str">
        <f>IF(Dat_02!H242=0,"",Dat_02!H242)</f>
        <v/>
      </c>
    </row>
    <row r="244" spans="2:10">
      <c r="B244" s="198"/>
      <c r="C244" s="199">
        <f>Dat_02!B243</f>
        <v>45440</v>
      </c>
      <c r="D244" s="198"/>
      <c r="E244" s="200">
        <f>Dat_02!C243</f>
        <v>110.34457240771658</v>
      </c>
      <c r="F244" s="200">
        <f>Dat_02!D243</f>
        <v>94.661389583977851</v>
      </c>
      <c r="G244" s="200">
        <f>Dat_02!E243</f>
        <v>94.661389583977851</v>
      </c>
      <c r="I244" s="201">
        <f>Dat_02!G243</f>
        <v>0</v>
      </c>
      <c r="J244" s="207" t="str">
        <f>IF(Dat_02!H243=0,"",Dat_02!H243)</f>
        <v/>
      </c>
    </row>
    <row r="245" spans="2:10">
      <c r="B245" s="198"/>
      <c r="C245" s="199">
        <f>Dat_02!B244</f>
        <v>45441</v>
      </c>
      <c r="D245" s="198"/>
      <c r="E245" s="200">
        <f>Dat_02!C244</f>
        <v>92.284333513554529</v>
      </c>
      <c r="F245" s="200">
        <f>Dat_02!D244</f>
        <v>94.661389583977851</v>
      </c>
      <c r="G245" s="200">
        <f>Dat_02!E244</f>
        <v>92.284333513554529</v>
      </c>
      <c r="I245" s="201">
        <f>Dat_02!G244</f>
        <v>0</v>
      </c>
      <c r="J245" s="207" t="str">
        <f>IF(Dat_02!H244=0,"",Dat_02!H244)</f>
        <v/>
      </c>
    </row>
    <row r="246" spans="2:10">
      <c r="B246" s="198"/>
      <c r="C246" s="199">
        <f>Dat_02!B245</f>
        <v>45442</v>
      </c>
      <c r="D246" s="198"/>
      <c r="E246" s="200">
        <f>Dat_02!C245</f>
        <v>78.878956994548943</v>
      </c>
      <c r="F246" s="200">
        <f>Dat_02!D245</f>
        <v>94.661389583977851</v>
      </c>
      <c r="G246" s="200">
        <f>Dat_02!E245</f>
        <v>78.878956994548943</v>
      </c>
      <c r="I246" s="201">
        <f>Dat_02!G245</f>
        <v>0</v>
      </c>
      <c r="J246" s="207" t="str">
        <f>IF(Dat_02!H245=0,"",Dat_02!H245)</f>
        <v/>
      </c>
    </row>
    <row r="247" spans="2:10">
      <c r="B247" s="198"/>
      <c r="C247" s="199">
        <f>Dat_02!B246</f>
        <v>45443</v>
      </c>
      <c r="D247" s="198"/>
      <c r="E247" s="200">
        <f>Dat_02!C246</f>
        <v>65.694582402552669</v>
      </c>
      <c r="F247" s="200">
        <f>Dat_02!D246</f>
        <v>94.661389583977851</v>
      </c>
      <c r="G247" s="200">
        <f>Dat_02!E246</f>
        <v>65.694582402552669</v>
      </c>
      <c r="I247" s="201">
        <f>Dat_02!G246</f>
        <v>0</v>
      </c>
      <c r="J247" s="207" t="str">
        <f>IF(Dat_02!H246=0,"",Dat_02!H246)</f>
        <v/>
      </c>
    </row>
    <row r="248" spans="2:10">
      <c r="B248" s="198"/>
      <c r="C248" s="199">
        <f>Dat_02!B247</f>
        <v>45444</v>
      </c>
      <c r="D248" s="198"/>
      <c r="E248" s="200">
        <f>Dat_02!C247</f>
        <v>40.377900895550802</v>
      </c>
      <c r="F248" s="200">
        <f>Dat_02!D247</f>
        <v>62.145020957620687</v>
      </c>
      <c r="G248" s="200">
        <f>Dat_02!E247</f>
        <v>40.377900895550802</v>
      </c>
      <c r="I248" s="201">
        <f>Dat_02!G247</f>
        <v>0</v>
      </c>
      <c r="J248" s="207" t="str">
        <f>IF(Dat_02!H247=0,"",Dat_02!H247)</f>
        <v/>
      </c>
    </row>
    <row r="249" spans="2:10">
      <c r="B249" s="198" t="s">
        <v>167</v>
      </c>
      <c r="C249" s="199">
        <f>Dat_02!B248</f>
        <v>45445</v>
      </c>
      <c r="D249" s="198"/>
      <c r="E249" s="200">
        <f>Dat_02!C248</f>
        <v>37.02979080555081</v>
      </c>
      <c r="F249" s="200">
        <f>Dat_02!D248</f>
        <v>62.145020957620687</v>
      </c>
      <c r="G249" s="200">
        <f>Dat_02!E248</f>
        <v>37.02979080555081</v>
      </c>
      <c r="I249" s="201">
        <f>Dat_02!G248</f>
        <v>0</v>
      </c>
      <c r="J249" s="207" t="str">
        <f>IF(Dat_02!H248=0,"",Dat_02!H248)</f>
        <v/>
      </c>
    </row>
    <row r="250" spans="2:10">
      <c r="B250" s="198"/>
      <c r="C250" s="199">
        <f>Dat_02!B249</f>
        <v>45446</v>
      </c>
      <c r="D250" s="198"/>
      <c r="E250" s="200">
        <f>Dat_02!C249</f>
        <v>67.751569642548944</v>
      </c>
      <c r="F250" s="200">
        <f>Dat_02!D249</f>
        <v>62.145020957620687</v>
      </c>
      <c r="G250" s="200">
        <f>Dat_02!E249</f>
        <v>62.145020957620687</v>
      </c>
      <c r="I250" s="201">
        <f>Dat_02!G249</f>
        <v>0</v>
      </c>
      <c r="J250" s="207" t="str">
        <f>IF(Dat_02!H249=0,"",Dat_02!H249)</f>
        <v/>
      </c>
    </row>
    <row r="251" spans="2:10">
      <c r="B251" s="198"/>
      <c r="C251" s="199">
        <f>Dat_02!B250</f>
        <v>45447</v>
      </c>
      <c r="D251" s="198"/>
      <c r="E251" s="200">
        <f>Dat_02!C250</f>
        <v>98.805928746552667</v>
      </c>
      <c r="F251" s="200">
        <f>Dat_02!D250</f>
        <v>62.145020957620687</v>
      </c>
      <c r="G251" s="200">
        <f>Dat_02!E250</f>
        <v>62.145020957620687</v>
      </c>
      <c r="I251" s="201">
        <f>Dat_02!G250</f>
        <v>0</v>
      </c>
      <c r="J251" s="207" t="str">
        <f>IF(Dat_02!H250=0,"",Dat_02!H250)</f>
        <v/>
      </c>
    </row>
    <row r="252" spans="2:10">
      <c r="B252" s="198"/>
      <c r="C252" s="199">
        <f>Dat_02!B251</f>
        <v>45448</v>
      </c>
      <c r="D252" s="198"/>
      <c r="E252" s="200">
        <f>Dat_02!C251</f>
        <v>79.432074932758439</v>
      </c>
      <c r="F252" s="200">
        <f>Dat_02!D251</f>
        <v>62.145020957620687</v>
      </c>
      <c r="G252" s="200">
        <f>Dat_02!E251</f>
        <v>62.145020957620687</v>
      </c>
      <c r="I252" s="201">
        <f>Dat_02!G251</f>
        <v>0</v>
      </c>
      <c r="J252" s="207" t="str">
        <f>IF(Dat_02!H251=0,"",Dat_02!H251)</f>
        <v/>
      </c>
    </row>
    <row r="253" spans="2:10">
      <c r="B253" s="198"/>
      <c r="C253" s="199">
        <f>Dat_02!B252</f>
        <v>45449</v>
      </c>
      <c r="D253" s="198"/>
      <c r="E253" s="200">
        <f>Dat_02!C252</f>
        <v>69.188575634758436</v>
      </c>
      <c r="F253" s="200">
        <f>Dat_02!D252</f>
        <v>62.145020957620687</v>
      </c>
      <c r="G253" s="200">
        <f>Dat_02!E252</f>
        <v>62.145020957620687</v>
      </c>
      <c r="I253" s="201">
        <f>Dat_02!G252</f>
        <v>0</v>
      </c>
      <c r="J253" s="207" t="str">
        <f>IF(Dat_02!H252=0,"",Dat_02!H252)</f>
        <v/>
      </c>
    </row>
    <row r="254" spans="2:10">
      <c r="B254" s="198"/>
      <c r="C254" s="199">
        <f>Dat_02!B253</f>
        <v>45450</v>
      </c>
      <c r="D254" s="198"/>
      <c r="E254" s="200">
        <f>Dat_02!C253</f>
        <v>70.878695622756581</v>
      </c>
      <c r="F254" s="200">
        <f>Dat_02!D253</f>
        <v>62.145020957620687</v>
      </c>
      <c r="G254" s="200">
        <f>Dat_02!E253</f>
        <v>62.145020957620687</v>
      </c>
      <c r="I254" s="201">
        <f>Dat_02!G253</f>
        <v>0</v>
      </c>
      <c r="J254" s="207" t="str">
        <f>IF(Dat_02!H253=0,"",Dat_02!H253)</f>
        <v/>
      </c>
    </row>
    <row r="255" spans="2:10">
      <c r="B255" s="198"/>
      <c r="C255" s="199">
        <f>Dat_02!B254</f>
        <v>45451</v>
      </c>
      <c r="D255" s="198"/>
      <c r="E255" s="200">
        <f>Dat_02!C254</f>
        <v>50.981575186758434</v>
      </c>
      <c r="F255" s="200">
        <f>Dat_02!D254</f>
        <v>62.145020957620687</v>
      </c>
      <c r="G255" s="200">
        <f>Dat_02!E254</f>
        <v>50.981575186758434</v>
      </c>
      <c r="I255" s="201">
        <f>Dat_02!G254</f>
        <v>0</v>
      </c>
      <c r="J255" s="207" t="str">
        <f>IF(Dat_02!H254=0,"",Dat_02!H254)</f>
        <v/>
      </c>
    </row>
    <row r="256" spans="2:10">
      <c r="B256" s="198"/>
      <c r="C256" s="199">
        <f>Dat_02!B255</f>
        <v>45452</v>
      </c>
      <c r="D256" s="198"/>
      <c r="E256" s="200">
        <f>Dat_02!C255</f>
        <v>20.362609987756571</v>
      </c>
      <c r="F256" s="200">
        <f>Dat_02!D255</f>
        <v>62.145020957620687</v>
      </c>
      <c r="G256" s="200">
        <f>Dat_02!E255</f>
        <v>20.362609987756571</v>
      </c>
      <c r="I256" s="201">
        <f>Dat_02!G255</f>
        <v>0</v>
      </c>
      <c r="J256" s="207" t="str">
        <f>IF(Dat_02!H255=0,"",Dat_02!H255)</f>
        <v/>
      </c>
    </row>
    <row r="257" spans="2:10">
      <c r="B257" s="198"/>
      <c r="C257" s="199">
        <f>Dat_02!B256</f>
        <v>45453</v>
      </c>
      <c r="D257" s="198"/>
      <c r="E257" s="200">
        <f>Dat_02!C256</f>
        <v>36.739903890758434</v>
      </c>
      <c r="F257" s="200">
        <f>Dat_02!D256</f>
        <v>62.145020957620687</v>
      </c>
      <c r="G257" s="200">
        <f>Dat_02!E256</f>
        <v>36.739903890758434</v>
      </c>
      <c r="I257" s="201">
        <f>Dat_02!G256</f>
        <v>0</v>
      </c>
      <c r="J257" s="207" t="str">
        <f>IF(Dat_02!H256=0,"",Dat_02!H256)</f>
        <v/>
      </c>
    </row>
    <row r="258" spans="2:10">
      <c r="B258" s="198"/>
      <c r="C258" s="199">
        <f>Dat_02!B257</f>
        <v>45454</v>
      </c>
      <c r="D258" s="198"/>
      <c r="E258" s="200">
        <f>Dat_02!C257</f>
        <v>39.157048026758439</v>
      </c>
      <c r="F258" s="200">
        <f>Dat_02!D257</f>
        <v>62.145020957620687</v>
      </c>
      <c r="G258" s="200">
        <f>Dat_02!E257</f>
        <v>39.157048026758439</v>
      </c>
      <c r="I258" s="201">
        <f>Dat_02!G257</f>
        <v>0</v>
      </c>
      <c r="J258" s="207" t="str">
        <f>IF(Dat_02!H257=0,"",Dat_02!H257)</f>
        <v/>
      </c>
    </row>
    <row r="259" spans="2:10">
      <c r="B259" s="198"/>
      <c r="C259" s="199">
        <f>Dat_02!B258</f>
        <v>45455</v>
      </c>
      <c r="D259" s="198"/>
      <c r="E259" s="200">
        <f>Dat_02!C258</f>
        <v>60.845410224167765</v>
      </c>
      <c r="F259" s="200">
        <f>Dat_02!D258</f>
        <v>62.145020957620687</v>
      </c>
      <c r="G259" s="200">
        <f>Dat_02!E258</f>
        <v>60.845410224167765</v>
      </c>
      <c r="I259" s="201">
        <f>Dat_02!G258</f>
        <v>0</v>
      </c>
      <c r="J259" s="207" t="str">
        <f>IF(Dat_02!H258=0,"",Dat_02!H258)</f>
        <v/>
      </c>
    </row>
    <row r="260" spans="2:10">
      <c r="B260" s="198"/>
      <c r="C260" s="199">
        <f>Dat_02!B259</f>
        <v>45456</v>
      </c>
      <c r="D260" s="198"/>
      <c r="E260" s="200">
        <f>Dat_02!C259</f>
        <v>66.206468161169624</v>
      </c>
      <c r="F260" s="200">
        <f>Dat_02!D259</f>
        <v>62.145020957620687</v>
      </c>
      <c r="G260" s="200">
        <f>Dat_02!E259</f>
        <v>62.145020957620687</v>
      </c>
      <c r="I260" s="201">
        <f>Dat_02!G259</f>
        <v>0</v>
      </c>
      <c r="J260" s="207" t="str">
        <f>IF(Dat_02!H259=0,"",Dat_02!H259)</f>
        <v/>
      </c>
    </row>
    <row r="261" spans="2:10">
      <c r="B261" s="198"/>
      <c r="C261" s="199">
        <f>Dat_02!B260</f>
        <v>45457</v>
      </c>
      <c r="D261" s="198"/>
      <c r="E261" s="200">
        <f>Dat_02!C260</f>
        <v>57.264168413165898</v>
      </c>
      <c r="F261" s="200">
        <f>Dat_02!D260</f>
        <v>62.145020957620687</v>
      </c>
      <c r="G261" s="200">
        <f>Dat_02!E260</f>
        <v>57.264168413165898</v>
      </c>
      <c r="I261" s="201">
        <f>Dat_02!G260</f>
        <v>0</v>
      </c>
      <c r="J261" s="207" t="str">
        <f>IF(Dat_02!H260=0,"",Dat_02!H260)</f>
        <v/>
      </c>
    </row>
    <row r="262" spans="2:10">
      <c r="B262" s="198"/>
      <c r="C262" s="199">
        <f>Dat_02!B261</f>
        <v>45458</v>
      </c>
      <c r="D262" s="198"/>
      <c r="E262" s="200">
        <f>Dat_02!C261</f>
        <v>31.127024317171482</v>
      </c>
      <c r="F262" s="200">
        <f>Dat_02!D261</f>
        <v>62.145020957620687</v>
      </c>
      <c r="G262" s="200">
        <f>Dat_02!E261</f>
        <v>31.127024317171482</v>
      </c>
      <c r="I262" s="201">
        <f>Dat_02!G261</f>
        <v>62.145020957620687</v>
      </c>
      <c r="J262" s="207" t="str">
        <f>IF(Dat_02!H261=0,"",Dat_02!H261)</f>
        <v/>
      </c>
    </row>
    <row r="263" spans="2:10">
      <c r="B263" s="198"/>
      <c r="C263" s="199">
        <f>Dat_02!B262</f>
        <v>45459</v>
      </c>
      <c r="D263" s="198"/>
      <c r="E263" s="200">
        <f>Dat_02!C262</f>
        <v>37.974406523165896</v>
      </c>
      <c r="F263" s="200">
        <f>Dat_02!D262</f>
        <v>62.145020957620687</v>
      </c>
      <c r="G263" s="200">
        <f>Dat_02!E262</f>
        <v>37.974406523165896</v>
      </c>
      <c r="I263" s="201">
        <f>Dat_02!G262</f>
        <v>0</v>
      </c>
      <c r="J263" s="207" t="str">
        <f>IF(Dat_02!H262=0,"",Dat_02!H262)</f>
        <v/>
      </c>
    </row>
    <row r="264" spans="2:10">
      <c r="B264" s="198"/>
      <c r="C264" s="199">
        <f>Dat_02!B263</f>
        <v>45460</v>
      </c>
      <c r="D264" s="198"/>
      <c r="E264" s="200">
        <f>Dat_02!C263</f>
        <v>59.228509084169623</v>
      </c>
      <c r="F264" s="200">
        <f>Dat_02!D263</f>
        <v>62.145020957620687</v>
      </c>
      <c r="G264" s="200">
        <f>Dat_02!E263</f>
        <v>59.228509084169623</v>
      </c>
      <c r="I264" s="201">
        <f>Dat_02!G263</f>
        <v>0</v>
      </c>
      <c r="J264" s="207" t="str">
        <f>IF(Dat_02!H263=0,"",Dat_02!H263)</f>
        <v/>
      </c>
    </row>
    <row r="265" spans="2:10">
      <c r="B265" s="198"/>
      <c r="C265" s="199">
        <f>Dat_02!B264</f>
        <v>45461</v>
      </c>
      <c r="D265" s="198"/>
      <c r="E265" s="200">
        <f>Dat_02!C264</f>
        <v>81.494912965169632</v>
      </c>
      <c r="F265" s="200">
        <f>Dat_02!D264</f>
        <v>62.145020957620687</v>
      </c>
      <c r="G265" s="200">
        <f>Dat_02!E264</f>
        <v>62.145020957620687</v>
      </c>
      <c r="I265" s="201">
        <f>Dat_02!G264</f>
        <v>0</v>
      </c>
      <c r="J265" s="207" t="str">
        <f>IF(Dat_02!H264=0,"",Dat_02!H264)</f>
        <v/>
      </c>
    </row>
    <row r="266" spans="2:10">
      <c r="B266" s="198"/>
      <c r="C266" s="199">
        <f>Dat_02!B265</f>
        <v>45462</v>
      </c>
      <c r="D266" s="198"/>
      <c r="E266" s="200">
        <f>Dat_02!C265</f>
        <v>86.923513643855273</v>
      </c>
      <c r="F266" s="200">
        <f>Dat_02!D265</f>
        <v>62.145020957620687</v>
      </c>
      <c r="G266" s="200">
        <f>Dat_02!E265</f>
        <v>62.145020957620687</v>
      </c>
      <c r="I266" s="201">
        <f>Dat_02!G265</f>
        <v>0</v>
      </c>
      <c r="J266" s="207" t="str">
        <f>IF(Dat_02!H265=0,"",Dat_02!H265)</f>
        <v/>
      </c>
    </row>
    <row r="267" spans="2:10">
      <c r="B267" s="198"/>
      <c r="C267" s="199">
        <f>Dat_02!B266</f>
        <v>45463</v>
      </c>
      <c r="D267" s="198"/>
      <c r="E267" s="200">
        <f>Dat_02!C266</f>
        <v>75.492146505858997</v>
      </c>
      <c r="F267" s="200">
        <f>Dat_02!D266</f>
        <v>62.145020957620687</v>
      </c>
      <c r="G267" s="200">
        <f>Dat_02!E266</f>
        <v>62.145020957620687</v>
      </c>
      <c r="I267" s="201">
        <f>Dat_02!G266</f>
        <v>0</v>
      </c>
      <c r="J267" s="207" t="str">
        <f>IF(Dat_02!H266=0,"",Dat_02!H266)</f>
        <v/>
      </c>
    </row>
    <row r="268" spans="2:10">
      <c r="B268" s="198"/>
      <c r="C268" s="199">
        <f>Dat_02!B267</f>
        <v>45464</v>
      </c>
      <c r="D268" s="198"/>
      <c r="E268" s="200">
        <f>Dat_02!C267</f>
        <v>73.267400409853408</v>
      </c>
      <c r="F268" s="200">
        <f>Dat_02!D267</f>
        <v>62.145020957620687</v>
      </c>
      <c r="G268" s="200">
        <f>Dat_02!E267</f>
        <v>62.145020957620687</v>
      </c>
      <c r="I268" s="201">
        <f>Dat_02!G267</f>
        <v>0</v>
      </c>
      <c r="J268" s="207" t="str">
        <f>IF(Dat_02!H267=0,"",Dat_02!H267)</f>
        <v/>
      </c>
    </row>
    <row r="269" spans="2:10">
      <c r="B269" s="198"/>
      <c r="C269" s="199">
        <f>Dat_02!B268</f>
        <v>45465</v>
      </c>
      <c r="D269" s="198"/>
      <c r="E269" s="200">
        <f>Dat_02!C268</f>
        <v>49.069099326860858</v>
      </c>
      <c r="F269" s="200">
        <f>Dat_02!D268</f>
        <v>62.145020957620687</v>
      </c>
      <c r="G269" s="200">
        <f>Dat_02!E268</f>
        <v>49.069099326860858</v>
      </c>
      <c r="I269" s="201">
        <f>Dat_02!G268</f>
        <v>0</v>
      </c>
      <c r="J269" s="207" t="str">
        <f>IF(Dat_02!H268=0,"",Dat_02!H268)</f>
        <v/>
      </c>
    </row>
    <row r="270" spans="2:10">
      <c r="B270" s="198"/>
      <c r="C270" s="199">
        <f>Dat_02!B269</f>
        <v>45466</v>
      </c>
      <c r="D270" s="198"/>
      <c r="E270" s="200">
        <f>Dat_02!C269</f>
        <v>35.045765844855275</v>
      </c>
      <c r="F270" s="200">
        <f>Dat_02!D269</f>
        <v>62.145020957620687</v>
      </c>
      <c r="G270" s="200">
        <f>Dat_02!E269</f>
        <v>35.045765844855275</v>
      </c>
      <c r="I270" s="201">
        <f>Dat_02!G269</f>
        <v>0</v>
      </c>
      <c r="J270" s="207" t="str">
        <f>IF(Dat_02!H269=0,"",Dat_02!H269)</f>
        <v/>
      </c>
    </row>
    <row r="271" spans="2:10">
      <c r="B271" s="198"/>
      <c r="C271" s="199">
        <f>Dat_02!B270</f>
        <v>45467</v>
      </c>
      <c r="D271" s="198"/>
      <c r="E271" s="200">
        <f>Dat_02!C270</f>
        <v>54.089537297859003</v>
      </c>
      <c r="F271" s="200">
        <f>Dat_02!D270</f>
        <v>62.145020957620687</v>
      </c>
      <c r="G271" s="200">
        <f>Dat_02!E270</f>
        <v>54.089537297859003</v>
      </c>
      <c r="I271" s="201">
        <f>Dat_02!G270</f>
        <v>0</v>
      </c>
      <c r="J271" s="207" t="str">
        <f>IF(Dat_02!H270=0,"",Dat_02!H270)</f>
        <v/>
      </c>
    </row>
    <row r="272" spans="2:10">
      <c r="B272" s="198"/>
      <c r="C272" s="199">
        <f>Dat_02!B271</f>
        <v>45468</v>
      </c>
      <c r="D272" s="198"/>
      <c r="E272" s="200">
        <f>Dat_02!C271</f>
        <v>69.452281835855274</v>
      </c>
      <c r="F272" s="200">
        <f>Dat_02!D271</f>
        <v>62.145020957620687</v>
      </c>
      <c r="G272" s="200">
        <f>Dat_02!E271</f>
        <v>62.145020957620687</v>
      </c>
      <c r="I272" s="201">
        <f>Dat_02!G271</f>
        <v>0</v>
      </c>
      <c r="J272" s="207" t="str">
        <f>IF(Dat_02!H271=0,"",Dat_02!H271)</f>
        <v/>
      </c>
    </row>
    <row r="273" spans="2:10">
      <c r="B273" s="198"/>
      <c r="C273" s="199">
        <f>Dat_02!B272</f>
        <v>45469</v>
      </c>
      <c r="D273" s="198"/>
      <c r="E273" s="200">
        <f>Dat_02!C272</f>
        <v>62.754375802933225</v>
      </c>
      <c r="F273" s="200">
        <f>Dat_02!D272</f>
        <v>62.145020957620687</v>
      </c>
      <c r="G273" s="200">
        <f>Dat_02!E272</f>
        <v>62.145020957620687</v>
      </c>
      <c r="I273" s="201">
        <f>Dat_02!G272</f>
        <v>0</v>
      </c>
      <c r="J273" s="207" t="str">
        <f>IF(Dat_02!H272=0,"",Dat_02!H272)</f>
        <v/>
      </c>
    </row>
    <row r="274" spans="2:10">
      <c r="B274" s="198"/>
      <c r="C274" s="199">
        <f>Dat_02!B273</f>
        <v>45470</v>
      </c>
      <c r="D274" s="198"/>
      <c r="E274" s="200">
        <f>Dat_02!C273</f>
        <v>58.297634420935076</v>
      </c>
      <c r="F274" s="200">
        <f>Dat_02!D273</f>
        <v>62.145020957620687</v>
      </c>
      <c r="G274" s="200">
        <f>Dat_02!E273</f>
        <v>58.297634420935076</v>
      </c>
      <c r="I274" s="201">
        <f>Dat_02!G273</f>
        <v>0</v>
      </c>
      <c r="J274" s="207" t="str">
        <f>IF(Dat_02!H273=0,"",Dat_02!H273)</f>
        <v/>
      </c>
    </row>
    <row r="275" spans="2:10">
      <c r="B275" s="198"/>
      <c r="C275" s="199">
        <f>Dat_02!B274</f>
        <v>45471</v>
      </c>
      <c r="D275" s="198"/>
      <c r="E275" s="200">
        <f>Dat_02!C274</f>
        <v>52.009208182935076</v>
      </c>
      <c r="F275" s="200">
        <f>Dat_02!D274</f>
        <v>62.145020957620687</v>
      </c>
      <c r="G275" s="200">
        <f>Dat_02!E274</f>
        <v>52.009208182935076</v>
      </c>
      <c r="I275" s="201">
        <f>Dat_02!G274</f>
        <v>0</v>
      </c>
      <c r="J275" s="207" t="str">
        <f>IF(Dat_02!H274=0,"",Dat_02!H274)</f>
        <v/>
      </c>
    </row>
    <row r="276" spans="2:10">
      <c r="B276" s="198"/>
      <c r="C276" s="199">
        <f>Dat_02!B275</f>
        <v>45472</v>
      </c>
      <c r="D276" s="198"/>
      <c r="E276" s="200">
        <f>Dat_02!C275</f>
        <v>34.695431029936955</v>
      </c>
      <c r="F276" s="200">
        <f>Dat_02!D275</f>
        <v>62.145020957620687</v>
      </c>
      <c r="G276" s="200">
        <f>Dat_02!E275</f>
        <v>34.695431029936955</v>
      </c>
      <c r="I276" s="201">
        <f>Dat_02!G275</f>
        <v>0</v>
      </c>
      <c r="J276" s="207" t="str">
        <f>IF(Dat_02!H275=0,"",Dat_02!H275)</f>
        <v/>
      </c>
    </row>
    <row r="277" spans="2:10">
      <c r="B277" s="198"/>
      <c r="C277" s="199">
        <f>Dat_02!B276</f>
        <v>45473</v>
      </c>
      <c r="D277" s="198"/>
      <c r="E277" s="200">
        <f>Dat_02!C276</f>
        <v>31.637069029933219</v>
      </c>
      <c r="F277" s="200">
        <f>Dat_02!D276</f>
        <v>62.145020957620687</v>
      </c>
      <c r="G277" s="200">
        <f>Dat_02!E276</f>
        <v>31.637069029933219</v>
      </c>
      <c r="I277" s="201">
        <f>Dat_02!G276</f>
        <v>0</v>
      </c>
      <c r="J277" s="207" t="str">
        <f>IF(Dat_02!H276=0,"",Dat_02!H276)</f>
        <v/>
      </c>
    </row>
    <row r="278" spans="2:10">
      <c r="B278" s="198"/>
      <c r="C278" s="199">
        <f>Dat_02!B277</f>
        <v>45474</v>
      </c>
      <c r="D278" s="198"/>
      <c r="E278" s="200">
        <f>Dat_02!C277</f>
        <v>21.495916996933222</v>
      </c>
      <c r="F278" s="200">
        <f>Dat_02!D277</f>
        <v>25.910326049029329</v>
      </c>
      <c r="G278" s="200">
        <f>Dat_02!E277</f>
        <v>21.495916996933222</v>
      </c>
      <c r="I278" s="201">
        <f>Dat_02!G277</f>
        <v>0</v>
      </c>
      <c r="J278" s="207" t="str">
        <f>IF(Dat_02!H277=0,"",Dat_02!H277)</f>
        <v/>
      </c>
    </row>
    <row r="279" spans="2:10">
      <c r="B279" s="198"/>
      <c r="C279" s="199">
        <f>Dat_02!B278</f>
        <v>45475</v>
      </c>
      <c r="D279" s="198"/>
      <c r="E279" s="200">
        <f>Dat_02!C278</f>
        <v>34.492029538935078</v>
      </c>
      <c r="F279" s="200">
        <f>Dat_02!D278</f>
        <v>25.910326049029329</v>
      </c>
      <c r="G279" s="200">
        <f>Dat_02!E278</f>
        <v>25.910326049029329</v>
      </c>
      <c r="I279" s="201">
        <f>Dat_02!G278</f>
        <v>0</v>
      </c>
      <c r="J279" s="207" t="str">
        <f>IF(Dat_02!H278=0,"",Dat_02!H278)</f>
        <v/>
      </c>
    </row>
    <row r="280" spans="2:10">
      <c r="B280" s="198" t="s">
        <v>177</v>
      </c>
      <c r="C280" s="199">
        <f>Dat_02!B279</f>
        <v>45476</v>
      </c>
      <c r="D280" s="198"/>
      <c r="E280" s="200">
        <f>Dat_02!C279</f>
        <v>52.16376323260716</v>
      </c>
      <c r="F280" s="200">
        <f>Dat_02!D279</f>
        <v>25.910326049029329</v>
      </c>
      <c r="G280" s="200">
        <f>Dat_02!E279</f>
        <v>25.910326049029329</v>
      </c>
      <c r="I280" s="201">
        <f>Dat_02!G279</f>
        <v>0</v>
      </c>
      <c r="J280" s="207" t="str">
        <f>IF(Dat_02!H279=0,"",Dat_02!H279)</f>
        <v/>
      </c>
    </row>
    <row r="281" spans="2:10">
      <c r="B281" s="198"/>
      <c r="C281" s="199">
        <f>Dat_02!B280</f>
        <v>45477</v>
      </c>
      <c r="D281" s="198"/>
      <c r="E281" s="200">
        <f>Dat_02!C280</f>
        <v>44.163039307609026</v>
      </c>
      <c r="F281" s="200">
        <f>Dat_02!D280</f>
        <v>25.910326049029329</v>
      </c>
      <c r="G281" s="200">
        <f>Dat_02!E280</f>
        <v>25.910326049029329</v>
      </c>
      <c r="I281" s="201">
        <f>Dat_02!G280</f>
        <v>0</v>
      </c>
      <c r="J281" s="207" t="str">
        <f>IF(Dat_02!H280=0,"",Dat_02!H280)</f>
        <v/>
      </c>
    </row>
    <row r="282" spans="2:10">
      <c r="B282" s="198"/>
      <c r="C282" s="199">
        <f>Dat_02!B281</f>
        <v>45478</v>
      </c>
      <c r="D282" s="198"/>
      <c r="E282" s="200">
        <f>Dat_02!C281</f>
        <v>45.345475433607163</v>
      </c>
      <c r="F282" s="200">
        <f>Dat_02!D281</f>
        <v>25.910326049029329</v>
      </c>
      <c r="G282" s="200">
        <f>Dat_02!E281</f>
        <v>25.910326049029329</v>
      </c>
      <c r="I282" s="201">
        <f>Dat_02!G281</f>
        <v>0</v>
      </c>
      <c r="J282" s="207" t="str">
        <f>IF(Dat_02!H281=0,"",Dat_02!H281)</f>
        <v/>
      </c>
    </row>
    <row r="283" spans="2:10">
      <c r="B283" s="198"/>
      <c r="C283" s="199">
        <f>Dat_02!B282</f>
        <v>45479</v>
      </c>
      <c r="D283" s="198"/>
      <c r="E283" s="200">
        <f>Dat_02!C282</f>
        <v>15.12081097160717</v>
      </c>
      <c r="F283" s="200">
        <f>Dat_02!D282</f>
        <v>25.910326049029329</v>
      </c>
      <c r="G283" s="200">
        <f>Dat_02!E282</f>
        <v>15.12081097160717</v>
      </c>
      <c r="I283" s="201">
        <f>Dat_02!G282</f>
        <v>0</v>
      </c>
      <c r="J283" s="207" t="str">
        <f>IF(Dat_02!H282=0,"",Dat_02!H282)</f>
        <v/>
      </c>
    </row>
    <row r="284" spans="2:10">
      <c r="B284" s="198"/>
      <c r="C284" s="199">
        <f>Dat_02!B283</f>
        <v>45480</v>
      </c>
      <c r="D284" s="198"/>
      <c r="E284" s="200">
        <f>Dat_02!C283</f>
        <v>19.39214861760717</v>
      </c>
      <c r="F284" s="200">
        <f>Dat_02!D283</f>
        <v>25.910326049029329</v>
      </c>
      <c r="G284" s="200">
        <f>Dat_02!E283</f>
        <v>19.39214861760717</v>
      </c>
      <c r="I284" s="201">
        <f>Dat_02!G283</f>
        <v>0</v>
      </c>
      <c r="J284" s="207" t="str">
        <f>IF(Dat_02!H283=0,"",Dat_02!H283)</f>
        <v/>
      </c>
    </row>
    <row r="285" spans="2:10">
      <c r="B285" s="198"/>
      <c r="C285" s="199">
        <f>Dat_02!B284</f>
        <v>45481</v>
      </c>
      <c r="D285" s="198"/>
      <c r="E285" s="200">
        <f>Dat_02!C284</f>
        <v>35.733574139609033</v>
      </c>
      <c r="F285" s="200">
        <f>Dat_02!D284</f>
        <v>25.910326049029329</v>
      </c>
      <c r="G285" s="200">
        <f>Dat_02!E284</f>
        <v>25.910326049029329</v>
      </c>
      <c r="I285" s="201">
        <f>Dat_02!G284</f>
        <v>0</v>
      </c>
      <c r="J285" s="207" t="str">
        <f>IF(Dat_02!H284=0,"",Dat_02!H284)</f>
        <v/>
      </c>
    </row>
    <row r="286" spans="2:10">
      <c r="B286" s="198"/>
      <c r="C286" s="199">
        <f>Dat_02!B285</f>
        <v>45482</v>
      </c>
      <c r="D286" s="198"/>
      <c r="E286" s="200">
        <f>Dat_02!C285</f>
        <v>42.921010012607162</v>
      </c>
      <c r="F286" s="200">
        <f>Dat_02!D285</f>
        <v>25.910326049029329</v>
      </c>
      <c r="G286" s="200">
        <f>Dat_02!E285</f>
        <v>25.910326049029329</v>
      </c>
      <c r="I286" s="201">
        <f>Dat_02!G285</f>
        <v>0</v>
      </c>
      <c r="J286" s="207" t="str">
        <f>IF(Dat_02!H285=0,"",Dat_02!H285)</f>
        <v/>
      </c>
    </row>
    <row r="287" spans="2:10">
      <c r="B287" s="198"/>
      <c r="C287" s="199">
        <f>Dat_02!B286</f>
        <v>45483</v>
      </c>
      <c r="D287" s="198"/>
      <c r="E287" s="200">
        <f>Dat_02!C286</f>
        <v>42.444933230845052</v>
      </c>
      <c r="F287" s="200">
        <f>Dat_02!D286</f>
        <v>25.910326049029329</v>
      </c>
      <c r="G287" s="200">
        <f>Dat_02!E286</f>
        <v>25.910326049029329</v>
      </c>
      <c r="I287" s="201">
        <f>Dat_02!G286</f>
        <v>0</v>
      </c>
      <c r="J287" s="207" t="str">
        <f>IF(Dat_02!H286=0,"",Dat_02!H286)</f>
        <v/>
      </c>
    </row>
    <row r="288" spans="2:10">
      <c r="B288" s="198"/>
      <c r="C288" s="199">
        <f>Dat_02!B287</f>
        <v>45484</v>
      </c>
      <c r="D288" s="198"/>
      <c r="E288" s="200">
        <f>Dat_02!C287</f>
        <v>42.768076100841327</v>
      </c>
      <c r="F288" s="200">
        <f>Dat_02!D287</f>
        <v>25.910326049029329</v>
      </c>
      <c r="G288" s="200">
        <f>Dat_02!E287</f>
        <v>25.910326049029329</v>
      </c>
      <c r="I288" s="201">
        <f>Dat_02!G287</f>
        <v>0</v>
      </c>
      <c r="J288" s="207" t="str">
        <f>IF(Dat_02!H287=0,"",Dat_02!H287)</f>
        <v/>
      </c>
    </row>
    <row r="289" spans="2:10">
      <c r="B289" s="198"/>
      <c r="C289" s="199">
        <f>Dat_02!B288</f>
        <v>45485</v>
      </c>
      <c r="D289" s="198"/>
      <c r="E289" s="200">
        <f>Dat_02!C288</f>
        <v>27.577513094843191</v>
      </c>
      <c r="F289" s="200">
        <f>Dat_02!D288</f>
        <v>25.910326049029329</v>
      </c>
      <c r="G289" s="200">
        <f>Dat_02!E288</f>
        <v>25.910326049029329</v>
      </c>
      <c r="I289" s="201">
        <f>Dat_02!G288</f>
        <v>0</v>
      </c>
      <c r="J289" s="207" t="str">
        <f>IF(Dat_02!H288=0,"",Dat_02!H288)</f>
        <v/>
      </c>
    </row>
    <row r="290" spans="2:10">
      <c r="B290" s="198"/>
      <c r="C290" s="199">
        <f>Dat_02!B289</f>
        <v>45486</v>
      </c>
      <c r="D290" s="198"/>
      <c r="E290" s="200">
        <f>Dat_02!C289</f>
        <v>13.606924256841332</v>
      </c>
      <c r="F290" s="200">
        <f>Dat_02!D289</f>
        <v>25.910326049029329</v>
      </c>
      <c r="G290" s="200">
        <f>Dat_02!E289</f>
        <v>13.606924256841332</v>
      </c>
      <c r="I290" s="201">
        <f>Dat_02!G289</f>
        <v>0</v>
      </c>
      <c r="J290" s="207" t="str">
        <f>IF(Dat_02!H289=0,"",Dat_02!H289)</f>
        <v/>
      </c>
    </row>
    <row r="291" spans="2:10">
      <c r="B291" s="198"/>
      <c r="C291" s="199">
        <f>Dat_02!B290</f>
        <v>45487</v>
      </c>
      <c r="D291" s="198"/>
      <c r="E291" s="200">
        <f>Dat_02!C290</f>
        <v>5.4347649878450541</v>
      </c>
      <c r="F291" s="200">
        <f>Dat_02!D290</f>
        <v>25.910326049029329</v>
      </c>
      <c r="G291" s="200">
        <f>Dat_02!E290</f>
        <v>5.4347649878450541</v>
      </c>
      <c r="I291" s="201">
        <f>Dat_02!G290</f>
        <v>0</v>
      </c>
      <c r="J291" s="207" t="str">
        <f>IF(Dat_02!H290=0,"",Dat_02!H290)</f>
        <v/>
      </c>
    </row>
    <row r="292" spans="2:10">
      <c r="B292" s="198"/>
      <c r="C292" s="199">
        <f>Dat_02!B291</f>
        <v>45488</v>
      </c>
      <c r="D292" s="198"/>
      <c r="E292" s="200">
        <f>Dat_02!C291</f>
        <v>11.368316333841328</v>
      </c>
      <c r="F292" s="200">
        <f>Dat_02!D291</f>
        <v>25.910326049029329</v>
      </c>
      <c r="G292" s="200">
        <f>Dat_02!E291</f>
        <v>11.368316333841328</v>
      </c>
      <c r="I292" s="201">
        <f>Dat_02!G291</f>
        <v>25.910326049029329</v>
      </c>
      <c r="J292" s="207" t="str">
        <f>IF(Dat_02!H291=0,"",Dat_02!H291)</f>
        <v/>
      </c>
    </row>
    <row r="293" spans="2:10">
      <c r="B293" s="198"/>
      <c r="C293" s="199">
        <f>Dat_02!B292</f>
        <v>45489</v>
      </c>
      <c r="D293" s="198"/>
      <c r="E293" s="200">
        <f>Dat_02!C292</f>
        <v>34.957289322846918</v>
      </c>
      <c r="F293" s="200">
        <f>Dat_02!D292</f>
        <v>25.910326049029329</v>
      </c>
      <c r="G293" s="200">
        <f>Dat_02!E292</f>
        <v>25.910326049029329</v>
      </c>
      <c r="I293" s="201">
        <f>Dat_02!G292</f>
        <v>0</v>
      </c>
      <c r="J293" s="207" t="str">
        <f>IF(Dat_02!H292=0,"",Dat_02!H292)</f>
        <v/>
      </c>
    </row>
    <row r="294" spans="2:10">
      <c r="B294" s="198"/>
      <c r="C294" s="199">
        <f>Dat_02!B293</f>
        <v>45490</v>
      </c>
      <c r="D294" s="198"/>
      <c r="E294" s="200">
        <f>Dat_02!C293</f>
        <v>27.107350574998883</v>
      </c>
      <c r="F294" s="200">
        <f>Dat_02!D293</f>
        <v>25.910326049029329</v>
      </c>
      <c r="G294" s="200">
        <f>Dat_02!E293</f>
        <v>25.910326049029329</v>
      </c>
      <c r="I294" s="201">
        <f>Dat_02!G293</f>
        <v>0</v>
      </c>
      <c r="J294" s="207" t="str">
        <f>IF(Dat_02!H293=0,"",Dat_02!H293)</f>
        <v/>
      </c>
    </row>
    <row r="295" spans="2:10">
      <c r="B295" s="198"/>
      <c r="C295" s="199">
        <f>Dat_02!B294</f>
        <v>45491</v>
      </c>
      <c r="D295" s="198"/>
      <c r="E295" s="200">
        <f>Dat_02!C294</f>
        <v>47.384967555000735</v>
      </c>
      <c r="F295" s="200">
        <f>Dat_02!D294</f>
        <v>25.910326049029329</v>
      </c>
      <c r="G295" s="200">
        <f>Dat_02!E294</f>
        <v>25.910326049029329</v>
      </c>
      <c r="I295" s="201">
        <f>Dat_02!G294</f>
        <v>0</v>
      </c>
      <c r="J295" s="207" t="str">
        <f>IF(Dat_02!H294=0,"",Dat_02!H294)</f>
        <v/>
      </c>
    </row>
    <row r="296" spans="2:10">
      <c r="B296" s="198"/>
      <c r="C296" s="199">
        <f>Dat_02!B295</f>
        <v>45492</v>
      </c>
      <c r="D296" s="198"/>
      <c r="E296" s="200">
        <f>Dat_02!C295</f>
        <v>32.610105791002596</v>
      </c>
      <c r="F296" s="200">
        <f>Dat_02!D295</f>
        <v>25.910326049029329</v>
      </c>
      <c r="G296" s="200">
        <f>Dat_02!E295</f>
        <v>25.910326049029329</v>
      </c>
      <c r="I296" s="201">
        <f>Dat_02!G295</f>
        <v>0</v>
      </c>
      <c r="J296" s="207" t="str">
        <f>IF(Dat_02!H295=0,"",Dat_02!H295)</f>
        <v/>
      </c>
    </row>
    <row r="297" spans="2:10">
      <c r="B297" s="198"/>
      <c r="C297" s="199">
        <f>Dat_02!B296</f>
        <v>45493</v>
      </c>
      <c r="D297" s="198"/>
      <c r="E297" s="200">
        <f>Dat_02!C296</f>
        <v>2.8838368070007419</v>
      </c>
      <c r="F297" s="200">
        <f>Dat_02!D296</f>
        <v>25.910326049029329</v>
      </c>
      <c r="G297" s="200">
        <f>Dat_02!E296</f>
        <v>2.8838368070007419</v>
      </c>
      <c r="I297" s="201">
        <f>Dat_02!G296</f>
        <v>0</v>
      </c>
      <c r="J297" s="207" t="str">
        <f>IF(Dat_02!H296=0,"",Dat_02!H296)</f>
        <v/>
      </c>
    </row>
    <row r="298" spans="2:10">
      <c r="B298" s="198"/>
      <c r="C298" s="199">
        <f>Dat_02!B297</f>
        <v>45494</v>
      </c>
      <c r="D298" s="198"/>
      <c r="E298" s="200">
        <f>Dat_02!C297</f>
        <v>2.773625599002604</v>
      </c>
      <c r="F298" s="200">
        <f>Dat_02!D297</f>
        <v>25.910326049029329</v>
      </c>
      <c r="G298" s="200">
        <f>Dat_02!E297</f>
        <v>2.773625599002604</v>
      </c>
      <c r="I298" s="201">
        <f>Dat_02!G297</f>
        <v>0</v>
      </c>
      <c r="J298" s="207" t="str">
        <f>IF(Dat_02!H297=0,"",Dat_02!H297)</f>
        <v/>
      </c>
    </row>
    <row r="299" spans="2:10">
      <c r="B299" s="198"/>
      <c r="C299" s="199">
        <f>Dat_02!B298</f>
        <v>45495</v>
      </c>
      <c r="D299" s="198"/>
      <c r="E299" s="200">
        <f>Dat_02!C298</f>
        <v>2.6918520630007405</v>
      </c>
      <c r="F299" s="200">
        <f>Dat_02!D298</f>
        <v>25.910326049029329</v>
      </c>
      <c r="G299" s="200">
        <f>Dat_02!E298</f>
        <v>2.6918520630007405</v>
      </c>
      <c r="I299" s="201">
        <f>Dat_02!G298</f>
        <v>0</v>
      </c>
      <c r="J299" s="207" t="str">
        <f>IF(Dat_02!H298=0,"",Dat_02!H298)</f>
        <v/>
      </c>
    </row>
    <row r="300" spans="2:10">
      <c r="B300" s="198"/>
      <c r="C300" s="199">
        <f>Dat_02!B299</f>
        <v>45496</v>
      </c>
      <c r="D300" s="198"/>
      <c r="E300" s="200">
        <f>Dat_02!C299</f>
        <v>4.8173808750007447</v>
      </c>
      <c r="F300" s="200">
        <f>Dat_02!D299</f>
        <v>25.910326049029329</v>
      </c>
      <c r="G300" s="200">
        <f>Dat_02!E299</f>
        <v>4.8173808750007447</v>
      </c>
      <c r="I300" s="201">
        <f>Dat_02!G299</f>
        <v>0</v>
      </c>
      <c r="J300" s="207" t="str">
        <f>IF(Dat_02!H299=0,"",Dat_02!H299)</f>
        <v/>
      </c>
    </row>
    <row r="301" spans="2:10">
      <c r="B301" s="198"/>
      <c r="C301" s="199">
        <f>Dat_02!B300</f>
        <v>45497</v>
      </c>
      <c r="D301" s="198"/>
      <c r="E301" s="200">
        <f>Dat_02!C300</f>
        <v>28.556996525535084</v>
      </c>
      <c r="F301" s="200">
        <f>Dat_02!D300</f>
        <v>25.910326049029329</v>
      </c>
      <c r="G301" s="200">
        <f>Dat_02!E300</f>
        <v>25.910326049029329</v>
      </c>
      <c r="I301" s="201">
        <f>Dat_02!G300</f>
        <v>0</v>
      </c>
      <c r="J301" s="207" t="str">
        <f>IF(Dat_02!H300=0,"",Dat_02!H300)</f>
        <v/>
      </c>
    </row>
    <row r="302" spans="2:10">
      <c r="B302" s="198"/>
      <c r="C302" s="199">
        <f>Dat_02!B301</f>
        <v>45498</v>
      </c>
      <c r="D302" s="198"/>
      <c r="E302" s="200">
        <f>Dat_02!C301</f>
        <v>14.895582087538802</v>
      </c>
      <c r="F302" s="200">
        <f>Dat_02!D301</f>
        <v>25.910326049029329</v>
      </c>
      <c r="G302" s="200">
        <f>Dat_02!E301</f>
        <v>14.895582087538802</v>
      </c>
      <c r="I302" s="201">
        <f>Dat_02!G301</f>
        <v>0</v>
      </c>
      <c r="J302" s="207" t="str">
        <f>IF(Dat_02!H301=0,"",Dat_02!H301)</f>
        <v/>
      </c>
    </row>
    <row r="303" spans="2:10">
      <c r="B303" s="198"/>
      <c r="C303" s="199">
        <f>Dat_02!B302</f>
        <v>45499</v>
      </c>
      <c r="D303" s="198"/>
      <c r="E303" s="200">
        <f>Dat_02!C302</f>
        <v>13.942140612535077</v>
      </c>
      <c r="F303" s="200">
        <f>Dat_02!D302</f>
        <v>25.910326049029329</v>
      </c>
      <c r="G303" s="200">
        <f>Dat_02!E302</f>
        <v>13.942140612535077</v>
      </c>
      <c r="I303" s="201">
        <f>Dat_02!G302</f>
        <v>0</v>
      </c>
      <c r="J303" s="207" t="str">
        <f>IF(Dat_02!H302=0,"",Dat_02!H302)</f>
        <v/>
      </c>
    </row>
    <row r="304" spans="2:10">
      <c r="B304" s="198"/>
      <c r="C304" s="199">
        <f>Dat_02!B303</f>
        <v>45500</v>
      </c>
      <c r="D304" s="198"/>
      <c r="E304" s="200">
        <f>Dat_02!C303</f>
        <v>8.5909319685369407</v>
      </c>
      <c r="F304" s="200">
        <f>Dat_02!D303</f>
        <v>25.910326049029329</v>
      </c>
      <c r="G304" s="200">
        <f>Dat_02!E303</f>
        <v>8.5909319685369407</v>
      </c>
      <c r="I304" s="201">
        <f>Dat_02!G303</f>
        <v>0</v>
      </c>
      <c r="J304" s="207" t="str">
        <f>IF(Dat_02!H303=0,"",Dat_02!H303)</f>
        <v/>
      </c>
    </row>
    <row r="305" spans="2:10">
      <c r="B305" s="198"/>
      <c r="C305" s="199">
        <f>Dat_02!B304</f>
        <v>45501</v>
      </c>
      <c r="D305" s="198"/>
      <c r="E305" s="200">
        <f>Dat_02!C304</f>
        <v>2.8758978345369397</v>
      </c>
      <c r="F305" s="200">
        <f>Dat_02!D304</f>
        <v>25.910326049029329</v>
      </c>
      <c r="G305" s="200">
        <f>Dat_02!E304</f>
        <v>2.8758978345369397</v>
      </c>
      <c r="I305" s="201">
        <f>Dat_02!G304</f>
        <v>0</v>
      </c>
      <c r="J305" s="207" t="str">
        <f>IF(Dat_02!H304=0,"",Dat_02!H304)</f>
        <v/>
      </c>
    </row>
    <row r="306" spans="2:10">
      <c r="B306" s="198"/>
      <c r="C306" s="199">
        <f>Dat_02!B305</f>
        <v>45502</v>
      </c>
      <c r="D306" s="198"/>
      <c r="E306" s="200">
        <f>Dat_02!C305</f>
        <v>19.15130785353508</v>
      </c>
      <c r="F306" s="200">
        <f>Dat_02!D305</f>
        <v>25.910326049029329</v>
      </c>
      <c r="G306" s="200">
        <f>Dat_02!E305</f>
        <v>19.15130785353508</v>
      </c>
      <c r="I306" s="201">
        <f>Dat_02!G305</f>
        <v>0</v>
      </c>
      <c r="J306" s="207" t="str">
        <f>IF(Dat_02!H305=0,"",Dat_02!H305)</f>
        <v/>
      </c>
    </row>
    <row r="307" spans="2:10">
      <c r="B307" s="198"/>
      <c r="C307" s="199">
        <f>Dat_02!B306</f>
        <v>45503</v>
      </c>
      <c r="D307" s="198"/>
      <c r="E307" s="200">
        <f>Dat_02!C306</f>
        <v>16.346622300538801</v>
      </c>
      <c r="F307" s="200">
        <f>Dat_02!D306</f>
        <v>25.910326049029329</v>
      </c>
      <c r="G307" s="200">
        <f>Dat_02!E306</f>
        <v>16.346622300538801</v>
      </c>
      <c r="I307" s="201">
        <f>Dat_02!G306</f>
        <v>0</v>
      </c>
      <c r="J307" s="207" t="str">
        <f>IF(Dat_02!H306=0,"",Dat_02!H306)</f>
        <v/>
      </c>
    </row>
    <row r="308" spans="2:10">
      <c r="B308" s="198" t="s">
        <v>178</v>
      </c>
      <c r="C308" s="199">
        <f>Dat_02!B307</f>
        <v>45504</v>
      </c>
      <c r="D308" s="198"/>
      <c r="E308" s="200">
        <f>Dat_02!C307</f>
        <v>24.35939520223344</v>
      </c>
      <c r="F308" s="200">
        <f>Dat_02!D307</f>
        <v>25.910326049029329</v>
      </c>
      <c r="G308" s="200">
        <f>Dat_02!E307</f>
        <v>24.35939520223344</v>
      </c>
      <c r="I308" s="201">
        <f>Dat_02!G307</f>
        <v>0</v>
      </c>
      <c r="J308" s="207" t="str">
        <f>IF(Dat_02!H307=0,"",Dat_02!H307)</f>
        <v/>
      </c>
    </row>
    <row r="309" spans="2:10">
      <c r="B309" s="198"/>
      <c r="C309" s="199">
        <f>Dat_02!B308</f>
        <v>45505</v>
      </c>
      <c r="D309" s="198"/>
      <c r="E309" s="200">
        <f>Dat_02!C308</f>
        <v>3.2914033582334379</v>
      </c>
      <c r="F309" s="200">
        <f>Dat_02!D308</f>
        <v>15.363630405709555</v>
      </c>
      <c r="G309" s="200">
        <f>Dat_02!E308</f>
        <v>3.2914033582334379</v>
      </c>
      <c r="I309" s="201">
        <f>Dat_02!G308</f>
        <v>0</v>
      </c>
      <c r="J309" s="207" t="str">
        <f>IF(Dat_02!H308=0,"",Dat_02!H308)</f>
        <v/>
      </c>
    </row>
    <row r="310" spans="2:10">
      <c r="B310" s="198"/>
      <c r="C310" s="199">
        <f>Dat_02!B309</f>
        <v>45506</v>
      </c>
      <c r="D310" s="198"/>
      <c r="E310" s="200">
        <f>Dat_02!C309</f>
        <v>1.8560847702352985</v>
      </c>
      <c r="F310" s="200">
        <f>Dat_02!D309</f>
        <v>15.363630405709555</v>
      </c>
      <c r="G310" s="200">
        <f>Dat_02!E309</f>
        <v>1.8560847702352985</v>
      </c>
      <c r="I310" s="201">
        <f>Dat_02!G309</f>
        <v>0</v>
      </c>
      <c r="J310" s="207" t="str">
        <f>IF(Dat_02!H309=0,"",Dat_02!H309)</f>
        <v/>
      </c>
    </row>
    <row r="311" spans="2:10">
      <c r="B311" s="198"/>
      <c r="C311" s="199">
        <f>Dat_02!B310</f>
        <v>45507</v>
      </c>
      <c r="D311" s="198"/>
      <c r="E311" s="200">
        <f>Dat_02!C310</f>
        <v>3.1090699312334329</v>
      </c>
      <c r="F311" s="200">
        <f>Dat_02!D310</f>
        <v>15.363630405709555</v>
      </c>
      <c r="G311" s="200">
        <f>Dat_02!E310</f>
        <v>3.1090699312334329</v>
      </c>
      <c r="I311" s="201">
        <f>Dat_02!G310</f>
        <v>0</v>
      </c>
      <c r="J311" s="207" t="str">
        <f>IF(Dat_02!H310=0,"",Dat_02!H310)</f>
        <v/>
      </c>
    </row>
    <row r="312" spans="2:10">
      <c r="B312" s="198"/>
      <c r="C312" s="199">
        <f>Dat_02!B311</f>
        <v>45508</v>
      </c>
      <c r="D312" s="198"/>
      <c r="E312" s="200">
        <f>Dat_02!C311</f>
        <v>2.4807760832334314</v>
      </c>
      <c r="F312" s="200">
        <f>Dat_02!D311</f>
        <v>15.363630405709555</v>
      </c>
      <c r="G312" s="200">
        <f>Dat_02!E311</f>
        <v>2.4807760832334314</v>
      </c>
      <c r="I312" s="201">
        <f>Dat_02!G311</f>
        <v>0</v>
      </c>
      <c r="J312" s="207" t="str">
        <f>IF(Dat_02!H311=0,"",Dat_02!H311)</f>
        <v/>
      </c>
    </row>
    <row r="313" spans="2:10">
      <c r="B313" s="198"/>
      <c r="C313" s="199">
        <f>Dat_02!B312</f>
        <v>45509</v>
      </c>
      <c r="D313" s="198"/>
      <c r="E313" s="200">
        <f>Dat_02!C312</f>
        <v>3.27927523323716</v>
      </c>
      <c r="F313" s="200">
        <f>Dat_02!D312</f>
        <v>15.363630405709555</v>
      </c>
      <c r="G313" s="200">
        <f>Dat_02!E312</f>
        <v>3.27927523323716</v>
      </c>
      <c r="I313" s="201">
        <f>Dat_02!G312</f>
        <v>0</v>
      </c>
      <c r="J313" s="207" t="str">
        <f>IF(Dat_02!H312=0,"",Dat_02!H312)</f>
        <v/>
      </c>
    </row>
    <row r="314" spans="2:10">
      <c r="B314" s="198"/>
      <c r="C314" s="199">
        <f>Dat_02!B313</f>
        <v>45510</v>
      </c>
      <c r="D314" s="198"/>
      <c r="E314" s="200">
        <f>Dat_02!C313</f>
        <v>3.0810359062334318</v>
      </c>
      <c r="F314" s="200">
        <f>Dat_02!D313</f>
        <v>15.363630405709555</v>
      </c>
      <c r="G314" s="200">
        <f>Dat_02!E313</f>
        <v>3.0810359062334318</v>
      </c>
      <c r="I314" s="201">
        <f>Dat_02!G313</f>
        <v>0</v>
      </c>
      <c r="J314" s="207" t="str">
        <f>IF(Dat_02!H313=0,"",Dat_02!H313)</f>
        <v/>
      </c>
    </row>
    <row r="315" spans="2:10">
      <c r="B315" s="198"/>
      <c r="C315" s="199">
        <f>Dat_02!B314</f>
        <v>45511</v>
      </c>
      <c r="D315" s="198"/>
      <c r="E315" s="200">
        <f>Dat_02!C314</f>
        <v>3.19426276293696</v>
      </c>
      <c r="F315" s="200">
        <f>Dat_02!D314</f>
        <v>15.363630405709555</v>
      </c>
      <c r="G315" s="200">
        <f>Dat_02!E314</f>
        <v>3.19426276293696</v>
      </c>
      <c r="I315" s="201">
        <f>Dat_02!G314</f>
        <v>0</v>
      </c>
      <c r="J315" s="207" t="str">
        <f>IF(Dat_02!H314=0,"",Dat_02!H314)</f>
        <v/>
      </c>
    </row>
    <row r="316" spans="2:10">
      <c r="B316" s="198"/>
      <c r="C316" s="199">
        <f>Dat_02!B315</f>
        <v>45512</v>
      </c>
      <c r="D316" s="198"/>
      <c r="E316" s="200">
        <f>Dat_02!C315</f>
        <v>3.3697791099406897</v>
      </c>
      <c r="F316" s="200">
        <f>Dat_02!D315</f>
        <v>15.363630405709555</v>
      </c>
      <c r="G316" s="200">
        <f>Dat_02!E315</f>
        <v>3.3697791099406897</v>
      </c>
      <c r="I316" s="201">
        <f>Dat_02!G315</f>
        <v>0</v>
      </c>
      <c r="J316" s="207" t="str">
        <f>IF(Dat_02!H315=0,"",Dat_02!H315)</f>
        <v/>
      </c>
    </row>
    <row r="317" spans="2:10">
      <c r="B317" s="198"/>
      <c r="C317" s="199">
        <f>Dat_02!B316</f>
        <v>45513</v>
      </c>
      <c r="D317" s="198"/>
      <c r="E317" s="200">
        <f>Dat_02!C316</f>
        <v>3.9030743759388278</v>
      </c>
      <c r="F317" s="200">
        <f>Dat_02!D316</f>
        <v>15.363630405709555</v>
      </c>
      <c r="G317" s="200">
        <f>Dat_02!E316</f>
        <v>3.9030743759388278</v>
      </c>
      <c r="I317" s="201">
        <f>Dat_02!G316</f>
        <v>0</v>
      </c>
      <c r="J317" s="207" t="str">
        <f>IF(Dat_02!H316=0,"",Dat_02!H316)</f>
        <v/>
      </c>
    </row>
    <row r="318" spans="2:10">
      <c r="B318" s="198"/>
      <c r="C318" s="199">
        <f>Dat_02!B317</f>
        <v>45514</v>
      </c>
      <c r="D318" s="198"/>
      <c r="E318" s="200">
        <f>Dat_02!C317</f>
        <v>2.8245451479388213</v>
      </c>
      <c r="F318" s="200">
        <f>Dat_02!D317</f>
        <v>15.363630405709555</v>
      </c>
      <c r="G318" s="200">
        <f>Dat_02!E317</f>
        <v>2.8245451479388213</v>
      </c>
      <c r="I318" s="201">
        <f>Dat_02!G317</f>
        <v>0</v>
      </c>
      <c r="J318" s="207" t="str">
        <f>IF(Dat_02!H317=0,"",Dat_02!H317)</f>
        <v/>
      </c>
    </row>
    <row r="319" spans="2:10">
      <c r="B319" s="198"/>
      <c r="C319" s="199">
        <f>Dat_02!B318</f>
        <v>45515</v>
      </c>
      <c r="D319" s="198"/>
      <c r="E319" s="200">
        <f>Dat_02!C318</f>
        <v>3.2445350539369611</v>
      </c>
      <c r="F319" s="200">
        <f>Dat_02!D318</f>
        <v>15.363630405709555</v>
      </c>
      <c r="G319" s="200">
        <f>Dat_02!E318</f>
        <v>3.2445350539369611</v>
      </c>
      <c r="I319" s="201">
        <f>Dat_02!G318</f>
        <v>0</v>
      </c>
      <c r="J319" s="207" t="str">
        <f>IF(Dat_02!H318=0,"",Dat_02!H318)</f>
        <v/>
      </c>
    </row>
    <row r="320" spans="2:10">
      <c r="B320" s="198"/>
      <c r="C320" s="199">
        <f>Dat_02!B319</f>
        <v>45516</v>
      </c>
      <c r="D320" s="198"/>
      <c r="E320" s="200">
        <f>Dat_02!C319</f>
        <v>2.3591191749406861</v>
      </c>
      <c r="F320" s="200">
        <f>Dat_02!D319</f>
        <v>15.363630405709555</v>
      </c>
      <c r="G320" s="200">
        <f>Dat_02!E319</f>
        <v>2.3591191749406861</v>
      </c>
      <c r="I320" s="201">
        <f>Dat_02!G319</f>
        <v>0</v>
      </c>
      <c r="J320" s="207" t="str">
        <f>IF(Dat_02!H319=0,"",Dat_02!H319)</f>
        <v/>
      </c>
    </row>
    <row r="321" spans="2:10">
      <c r="B321" s="198"/>
      <c r="C321" s="199">
        <f>Dat_02!B320</f>
        <v>45517</v>
      </c>
      <c r="D321" s="198"/>
      <c r="E321" s="200">
        <f>Dat_02!C320</f>
        <v>6.1163461269388204</v>
      </c>
      <c r="F321" s="200">
        <f>Dat_02!D320</f>
        <v>15.363630405709555</v>
      </c>
      <c r="G321" s="200">
        <f>Dat_02!E320</f>
        <v>6.1163461269388204</v>
      </c>
      <c r="I321" s="201">
        <f>Dat_02!G320</f>
        <v>0</v>
      </c>
      <c r="J321" s="207" t="str">
        <f>IF(Dat_02!H320=0,"",Dat_02!H320)</f>
        <v/>
      </c>
    </row>
    <row r="322" spans="2:10">
      <c r="B322" s="198"/>
      <c r="C322" s="199">
        <f>Dat_02!B321</f>
        <v>45518</v>
      </c>
      <c r="D322" s="198"/>
      <c r="E322" s="200">
        <f>Dat_02!C321</f>
        <v>11.974662251003625</v>
      </c>
      <c r="F322" s="200">
        <f>Dat_02!D321</f>
        <v>15.363630405709555</v>
      </c>
      <c r="G322" s="200">
        <f>Dat_02!E321</f>
        <v>11.974662251003625</v>
      </c>
      <c r="I322" s="201">
        <f>Dat_02!G321</f>
        <v>0</v>
      </c>
      <c r="J322" s="207" t="str">
        <f>IF(Dat_02!H321=0,"",Dat_02!H321)</f>
        <v/>
      </c>
    </row>
    <row r="323" spans="2:10">
      <c r="B323" s="198"/>
      <c r="C323" s="199">
        <f>Dat_02!B322</f>
        <v>45519</v>
      </c>
      <c r="D323" s="198"/>
      <c r="E323" s="200">
        <f>Dat_02!C322</f>
        <v>2.313891444005487</v>
      </c>
      <c r="F323" s="200">
        <f>Dat_02!D322</f>
        <v>15.363630405709555</v>
      </c>
      <c r="G323" s="200">
        <f>Dat_02!E322</f>
        <v>2.313891444005487</v>
      </c>
      <c r="I323" s="201">
        <f>Dat_02!G322</f>
        <v>15.363630405709555</v>
      </c>
      <c r="J323" s="207" t="str">
        <f>IF(Dat_02!H322=0,"",Dat_02!H322)</f>
        <v/>
      </c>
    </row>
    <row r="324" spans="2:10">
      <c r="B324" s="198"/>
      <c r="C324" s="199">
        <f>Dat_02!B323</f>
        <v>45520</v>
      </c>
      <c r="D324" s="198"/>
      <c r="E324" s="200">
        <f>Dat_02!C323</f>
        <v>2.7889215240073537</v>
      </c>
      <c r="F324" s="200">
        <f>Dat_02!D323</f>
        <v>15.363630405709555</v>
      </c>
      <c r="G324" s="200">
        <f>Dat_02!E323</f>
        <v>2.7889215240073537</v>
      </c>
      <c r="I324" s="201">
        <f>Dat_02!G323</f>
        <v>0</v>
      </c>
      <c r="J324" s="207" t="str">
        <f>IF(Dat_02!H323=0,"",Dat_02!H323)</f>
        <v/>
      </c>
    </row>
    <row r="325" spans="2:10">
      <c r="B325" s="198"/>
      <c r="C325" s="199">
        <f>Dat_02!B324</f>
        <v>45521</v>
      </c>
      <c r="D325" s="198"/>
      <c r="E325" s="200">
        <f>Dat_02!C324</f>
        <v>3.6637183840073484</v>
      </c>
      <c r="F325" s="200">
        <f>Dat_02!D324</f>
        <v>15.363630405709555</v>
      </c>
      <c r="G325" s="200">
        <f>Dat_02!E324</f>
        <v>3.6637183840073484</v>
      </c>
      <c r="I325" s="201">
        <f>Dat_02!G324</f>
        <v>0</v>
      </c>
      <c r="J325" s="207" t="str">
        <f>IF(Dat_02!H324=0,"",Dat_02!H324)</f>
        <v/>
      </c>
    </row>
    <row r="326" spans="2:10">
      <c r="B326" s="198"/>
      <c r="C326" s="199">
        <f>Dat_02!B325</f>
        <v>45522</v>
      </c>
      <c r="D326" s="198"/>
      <c r="E326" s="200">
        <f>Dat_02!C325</f>
        <v>3.1426225090036239</v>
      </c>
      <c r="F326" s="200">
        <f>Dat_02!D325</f>
        <v>15.363630405709555</v>
      </c>
      <c r="G326" s="200">
        <f>Dat_02!E325</f>
        <v>3.1426225090036239</v>
      </c>
      <c r="I326" s="201">
        <f>Dat_02!G325</f>
        <v>0</v>
      </c>
      <c r="J326" s="207" t="str">
        <f>IF(Dat_02!H325=0,"",Dat_02!H325)</f>
        <v/>
      </c>
    </row>
    <row r="327" spans="2:10">
      <c r="B327" s="198"/>
      <c r="C327" s="199">
        <f>Dat_02!B326</f>
        <v>45523</v>
      </c>
      <c r="D327" s="198"/>
      <c r="E327" s="200">
        <f>Dat_02!C326</f>
        <v>2.7647522880036268</v>
      </c>
      <c r="F327" s="200">
        <f>Dat_02!D326</f>
        <v>15.363630405709555</v>
      </c>
      <c r="G327" s="200">
        <f>Dat_02!E326</f>
        <v>2.7647522880036268</v>
      </c>
      <c r="I327" s="201">
        <f>Dat_02!G326</f>
        <v>0</v>
      </c>
      <c r="J327" s="207" t="str">
        <f>IF(Dat_02!H326=0,"",Dat_02!H326)</f>
        <v/>
      </c>
    </row>
    <row r="328" spans="2:10">
      <c r="B328" s="198"/>
      <c r="C328" s="199">
        <f>Dat_02!B327</f>
        <v>45524</v>
      </c>
      <c r="D328" s="198"/>
      <c r="E328" s="200">
        <f>Dat_02!C327</f>
        <v>8.3475346870073484</v>
      </c>
      <c r="F328" s="200">
        <f>Dat_02!D327</f>
        <v>15.363630405709555</v>
      </c>
      <c r="G328" s="200">
        <f>Dat_02!E327</f>
        <v>8.3475346870073484</v>
      </c>
      <c r="I328" s="201">
        <f>Dat_02!G327</f>
        <v>0</v>
      </c>
      <c r="J328" s="207" t="str">
        <f>IF(Dat_02!H327=0,"",Dat_02!H327)</f>
        <v/>
      </c>
    </row>
    <row r="329" spans="2:10">
      <c r="B329" s="198"/>
      <c r="C329" s="199">
        <f>Dat_02!B328</f>
        <v>45525</v>
      </c>
      <c r="D329" s="198"/>
      <c r="E329" s="200">
        <f>Dat_02!C328</f>
        <v>13.457443864621782</v>
      </c>
      <c r="F329" s="200">
        <f>Dat_02!D328</f>
        <v>15.363630405709555</v>
      </c>
      <c r="G329" s="200">
        <f>Dat_02!E328</f>
        <v>13.457443864621782</v>
      </c>
      <c r="I329" s="201">
        <f>Dat_02!G328</f>
        <v>0</v>
      </c>
      <c r="J329" s="207" t="str">
        <f>IF(Dat_02!H328=0,"",Dat_02!H328)</f>
        <v/>
      </c>
    </row>
    <row r="330" spans="2:10">
      <c r="B330" s="198"/>
      <c r="C330" s="199">
        <f>Dat_02!B329</f>
        <v>45526</v>
      </c>
      <c r="D330" s="198"/>
      <c r="E330" s="200">
        <f>Dat_02!C329</f>
        <v>17.84504337562737</v>
      </c>
      <c r="F330" s="200">
        <f>Dat_02!D329</f>
        <v>15.363630405709555</v>
      </c>
      <c r="G330" s="200">
        <f>Dat_02!E329</f>
        <v>15.363630405709555</v>
      </c>
      <c r="I330" s="201">
        <f>Dat_02!G329</f>
        <v>0</v>
      </c>
      <c r="J330" s="207" t="str">
        <f>IF(Dat_02!H329=0,"",Dat_02!H329)</f>
        <v/>
      </c>
    </row>
    <row r="331" spans="2:10">
      <c r="B331" s="198"/>
      <c r="C331" s="199">
        <f>Dat_02!B330</f>
        <v>45527</v>
      </c>
      <c r="D331" s="198"/>
      <c r="E331" s="200">
        <f>Dat_02!C330</f>
        <v>13.587899395625515</v>
      </c>
      <c r="F331" s="200">
        <f>Dat_02!D330</f>
        <v>15.363630405709555</v>
      </c>
      <c r="G331" s="200">
        <f>Dat_02!E330</f>
        <v>13.587899395625515</v>
      </c>
      <c r="I331" s="201">
        <f>Dat_02!G330</f>
        <v>0</v>
      </c>
      <c r="J331" s="207" t="str">
        <f>IF(Dat_02!H330=0,"",Dat_02!H330)</f>
        <v/>
      </c>
    </row>
    <row r="332" spans="2:10">
      <c r="B332" s="198"/>
      <c r="C332" s="199">
        <f>Dat_02!B331</f>
        <v>45528</v>
      </c>
      <c r="D332" s="198"/>
      <c r="E332" s="200">
        <f>Dat_02!C331</f>
        <v>3.139176939625504</v>
      </c>
      <c r="F332" s="200">
        <f>Dat_02!D331</f>
        <v>15.363630405709555</v>
      </c>
      <c r="G332" s="200">
        <f>Dat_02!E331</f>
        <v>3.139176939625504</v>
      </c>
      <c r="I332" s="201">
        <f>Dat_02!G331</f>
        <v>0</v>
      </c>
      <c r="J332" s="207" t="str">
        <f>IF(Dat_02!H331=0,"",Dat_02!H331)</f>
        <v/>
      </c>
    </row>
    <row r="333" spans="2:10">
      <c r="B333" s="198"/>
      <c r="C333" s="199">
        <f>Dat_02!B332</f>
        <v>45529</v>
      </c>
      <c r="D333" s="198"/>
      <c r="E333" s="200">
        <f>Dat_02!C332</f>
        <v>3.6239849436255063</v>
      </c>
      <c r="F333" s="200">
        <f>Dat_02!D332</f>
        <v>15.363630405709555</v>
      </c>
      <c r="G333" s="200">
        <f>Dat_02!E332</f>
        <v>3.6239849436255063</v>
      </c>
      <c r="I333" s="201">
        <f>Dat_02!G332</f>
        <v>0</v>
      </c>
      <c r="J333" s="207" t="str">
        <f>IF(Dat_02!H332=0,"",Dat_02!H332)</f>
        <v/>
      </c>
    </row>
    <row r="334" spans="2:10">
      <c r="B334" s="198"/>
      <c r="C334" s="199">
        <f>Dat_02!B333</f>
        <v>45530</v>
      </c>
      <c r="D334" s="198"/>
      <c r="E334" s="200">
        <f>Dat_02!C333</f>
        <v>18.695398971623646</v>
      </c>
      <c r="F334" s="200">
        <f>Dat_02!D333</f>
        <v>15.363630405709555</v>
      </c>
      <c r="G334" s="200">
        <f>Dat_02!E333</f>
        <v>15.363630405709555</v>
      </c>
      <c r="I334" s="201">
        <f>Dat_02!G333</f>
        <v>0</v>
      </c>
      <c r="J334" s="207" t="str">
        <f>IF(Dat_02!H333=0,"",Dat_02!H333)</f>
        <v/>
      </c>
    </row>
    <row r="335" spans="2:10">
      <c r="B335" s="198"/>
      <c r="C335" s="199">
        <f>Dat_02!B334</f>
        <v>45531</v>
      </c>
      <c r="D335" s="198"/>
      <c r="E335" s="200">
        <f>Dat_02!C334</f>
        <v>19.764271587625508</v>
      </c>
      <c r="F335" s="200">
        <f>Dat_02!D334</f>
        <v>15.363630405709555</v>
      </c>
      <c r="G335" s="200">
        <f>Dat_02!E334</f>
        <v>15.363630405709555</v>
      </c>
      <c r="I335" s="201">
        <f>Dat_02!G334</f>
        <v>0</v>
      </c>
      <c r="J335" s="207" t="str">
        <f>IF(Dat_02!H334=0,"",Dat_02!H334)</f>
        <v/>
      </c>
    </row>
    <row r="336" spans="2:10">
      <c r="B336" s="198"/>
      <c r="C336" s="199">
        <f>Dat_02!B335</f>
        <v>45532</v>
      </c>
      <c r="D336" s="198"/>
      <c r="E336" s="200">
        <f>Dat_02!C335</f>
        <v>25.071713284847881</v>
      </c>
      <c r="F336" s="200">
        <f>Dat_02!D335</f>
        <v>15.363630405709555</v>
      </c>
      <c r="G336" s="200">
        <f>Dat_02!E335</f>
        <v>15.363630405709555</v>
      </c>
      <c r="I336" s="201">
        <f>Dat_02!G335</f>
        <v>0</v>
      </c>
      <c r="J336" s="207" t="str">
        <f>IF(Dat_02!H335=0,"",Dat_02!H335)</f>
        <v/>
      </c>
    </row>
    <row r="337" spans="2:10">
      <c r="B337" s="198"/>
      <c r="C337" s="199">
        <f>Dat_02!B336</f>
        <v>45533</v>
      </c>
      <c r="D337" s="198"/>
      <c r="E337" s="200">
        <f>Dat_02!C336</f>
        <v>17.686682008849747</v>
      </c>
      <c r="F337" s="200">
        <f>Dat_02!D336</f>
        <v>15.363630405709555</v>
      </c>
      <c r="G337" s="200">
        <f>Dat_02!E336</f>
        <v>15.363630405709555</v>
      </c>
      <c r="I337" s="201">
        <f>Dat_02!G336</f>
        <v>0</v>
      </c>
      <c r="J337" s="207" t="str">
        <f>IF(Dat_02!H336=0,"",Dat_02!H336)</f>
        <v/>
      </c>
    </row>
    <row r="338" spans="2:10">
      <c r="B338" s="198"/>
      <c r="C338" s="199">
        <f>Dat_02!B337</f>
        <v>45534</v>
      </c>
      <c r="D338" s="198"/>
      <c r="E338" s="200">
        <f>Dat_02!C337</f>
        <v>20.918469743849744</v>
      </c>
      <c r="F338" s="200">
        <f>Dat_02!D337</f>
        <v>15.363630405709555</v>
      </c>
      <c r="G338" s="200">
        <f>Dat_02!E337</f>
        <v>15.363630405709555</v>
      </c>
      <c r="I338" s="201">
        <f>Dat_02!G337</f>
        <v>0</v>
      </c>
      <c r="J338" s="207" t="str">
        <f>IF(Dat_02!H337=0,"",Dat_02!H337)</f>
        <v/>
      </c>
    </row>
    <row r="339" spans="2:10">
      <c r="B339" s="198" t="s">
        <v>175</v>
      </c>
      <c r="C339" s="199">
        <f>Dat_02!B338</f>
        <v>45535</v>
      </c>
      <c r="D339" s="198"/>
      <c r="E339" s="200">
        <f>Dat_02!C338</f>
        <v>2.742251960849746</v>
      </c>
      <c r="F339" s="200">
        <f>Dat_02!D338</f>
        <v>15.363630405709555</v>
      </c>
      <c r="G339" s="200">
        <f>Dat_02!E338</f>
        <v>2.742251960849746</v>
      </c>
      <c r="I339" s="201">
        <f>Dat_02!G338</f>
        <v>0</v>
      </c>
      <c r="J339" s="207" t="str">
        <f>IF(Dat_02!H338=0,"",Dat_02!H338)</f>
        <v/>
      </c>
    </row>
    <row r="340" spans="2:10">
      <c r="B340" s="198"/>
      <c r="C340" s="199">
        <f>Dat_02!B339</f>
        <v>45536</v>
      </c>
      <c r="D340" s="198"/>
      <c r="E340" s="200">
        <f>Dat_02!C339</f>
        <v>3.3861522168516096</v>
      </c>
      <c r="F340" s="200">
        <f>Dat_02!D339</f>
        <v>19.885734840413747</v>
      </c>
      <c r="G340" s="200">
        <f>Dat_02!E339</f>
        <v>3.3861522168516096</v>
      </c>
      <c r="I340" s="201">
        <f>Dat_02!G339</f>
        <v>0</v>
      </c>
      <c r="J340" s="207" t="str">
        <f>IF(Dat_02!H339=0,"",Dat_02!H339)</f>
        <v/>
      </c>
    </row>
    <row r="341" spans="2:10">
      <c r="B341" s="198"/>
      <c r="C341" s="199">
        <f>Dat_02!B340</f>
        <v>45537</v>
      </c>
      <c r="D341" s="198"/>
      <c r="E341" s="200">
        <f>Dat_02!C340</f>
        <v>3.4677666688497486</v>
      </c>
      <c r="F341" s="200">
        <f>Dat_02!D340</f>
        <v>19.885734840413747</v>
      </c>
      <c r="G341" s="200">
        <f>Dat_02!E340</f>
        <v>3.4677666688497486</v>
      </c>
      <c r="I341" s="201">
        <f>Dat_02!G340</f>
        <v>0</v>
      </c>
      <c r="J341" s="207" t="str">
        <f>IF(Dat_02!H340=0,"",Dat_02!H340)</f>
        <v/>
      </c>
    </row>
    <row r="342" spans="2:10">
      <c r="B342" s="198"/>
      <c r="C342" s="199">
        <f>Dat_02!B341</f>
        <v>45538</v>
      </c>
      <c r="D342" s="198"/>
      <c r="E342" s="200">
        <f>Dat_02!C341</f>
        <v>2.9788258928478828</v>
      </c>
      <c r="F342" s="200">
        <f>Dat_02!D341</f>
        <v>19.885734840413747</v>
      </c>
      <c r="G342" s="200">
        <f>Dat_02!E341</f>
        <v>2.9788258928478828</v>
      </c>
      <c r="I342" s="201">
        <f>Dat_02!G341</f>
        <v>0</v>
      </c>
      <c r="J342" s="207" t="str">
        <f>IF(Dat_02!H341=0,"",Dat_02!H341)</f>
        <v/>
      </c>
    </row>
    <row r="343" spans="2:10">
      <c r="B343" s="198"/>
      <c r="C343" s="199">
        <f>Dat_02!B342</f>
        <v>45539</v>
      </c>
      <c r="D343" s="198"/>
      <c r="E343" s="200">
        <f>Dat_02!C342</f>
        <v>13.350197940835489</v>
      </c>
      <c r="F343" s="200">
        <f>Dat_02!D342</f>
        <v>19.885734840413747</v>
      </c>
      <c r="G343" s="200">
        <f>Dat_02!E342</f>
        <v>13.350197940835489</v>
      </c>
      <c r="I343" s="201">
        <f>Dat_02!G342</f>
        <v>0</v>
      </c>
      <c r="J343" s="207" t="str">
        <f>IF(Dat_02!H342=0,"",Dat_02!H342)</f>
        <v/>
      </c>
    </row>
    <row r="344" spans="2:10">
      <c r="B344" s="198"/>
      <c r="C344" s="199">
        <f>Dat_02!B343</f>
        <v>45540</v>
      </c>
      <c r="D344" s="198"/>
      <c r="E344" s="200">
        <f>Dat_02!C343</f>
        <v>44.858035183837345</v>
      </c>
      <c r="F344" s="200">
        <f>Dat_02!D343</f>
        <v>19.885734840413747</v>
      </c>
      <c r="G344" s="200">
        <f>Dat_02!E343</f>
        <v>19.885734840413747</v>
      </c>
      <c r="I344" s="201">
        <f>Dat_02!G343</f>
        <v>0</v>
      </c>
      <c r="J344" s="207" t="str">
        <f>IF(Dat_02!H343=0,"",Dat_02!H343)</f>
        <v/>
      </c>
    </row>
    <row r="345" spans="2:10">
      <c r="B345" s="198"/>
      <c r="C345" s="199">
        <f>Dat_02!B344</f>
        <v>45541</v>
      </c>
      <c r="D345" s="198"/>
      <c r="E345" s="200">
        <f>Dat_02!C344</f>
        <v>39.888847947835487</v>
      </c>
      <c r="F345" s="200">
        <f>Dat_02!D344</f>
        <v>19.885734840413747</v>
      </c>
      <c r="G345" s="200">
        <f>Dat_02!E344</f>
        <v>19.885734840413747</v>
      </c>
      <c r="I345" s="201">
        <f>Dat_02!G344</f>
        <v>0</v>
      </c>
      <c r="J345" s="207" t="str">
        <f>IF(Dat_02!H344=0,"",Dat_02!H344)</f>
        <v/>
      </c>
    </row>
    <row r="346" spans="2:10">
      <c r="B346" s="198"/>
      <c r="C346" s="199">
        <f>Dat_02!B345</f>
        <v>45542</v>
      </c>
      <c r="D346" s="198"/>
      <c r="E346" s="200">
        <f>Dat_02!C345</f>
        <v>44.693236418833621</v>
      </c>
      <c r="F346" s="200">
        <f>Dat_02!D345</f>
        <v>19.885734840413747</v>
      </c>
      <c r="G346" s="200">
        <f>Dat_02!E345</f>
        <v>19.885734840413747</v>
      </c>
      <c r="I346" s="201">
        <f>Dat_02!G345</f>
        <v>0</v>
      </c>
      <c r="J346" s="207" t="str">
        <f>IF(Dat_02!H345=0,"",Dat_02!H345)</f>
        <v/>
      </c>
    </row>
    <row r="347" spans="2:10">
      <c r="B347" s="198"/>
      <c r="C347" s="199">
        <f>Dat_02!B346</f>
        <v>45543</v>
      </c>
      <c r="D347" s="198"/>
      <c r="E347" s="200">
        <f>Dat_02!C346</f>
        <v>24.864796343835486</v>
      </c>
      <c r="F347" s="200">
        <f>Dat_02!D346</f>
        <v>19.885734840413747</v>
      </c>
      <c r="G347" s="200">
        <f>Dat_02!E346</f>
        <v>19.885734840413747</v>
      </c>
      <c r="I347" s="201">
        <f>Dat_02!G346</f>
        <v>0</v>
      </c>
      <c r="J347" s="207" t="str">
        <f>IF(Dat_02!H346=0,"",Dat_02!H346)</f>
        <v/>
      </c>
    </row>
    <row r="348" spans="2:10">
      <c r="B348" s="198"/>
      <c r="C348" s="199">
        <f>Dat_02!B347</f>
        <v>45544</v>
      </c>
      <c r="D348" s="198"/>
      <c r="E348" s="200">
        <f>Dat_02!C347</f>
        <v>34.384552203833621</v>
      </c>
      <c r="F348" s="200">
        <f>Dat_02!D347</f>
        <v>19.885734840413747</v>
      </c>
      <c r="G348" s="200">
        <f>Dat_02!E347</f>
        <v>19.885734840413747</v>
      </c>
      <c r="I348" s="201">
        <f>Dat_02!G347</f>
        <v>0</v>
      </c>
      <c r="J348" s="207" t="str">
        <f>IF(Dat_02!H347=0,"",Dat_02!H347)</f>
        <v/>
      </c>
    </row>
    <row r="349" spans="2:10">
      <c r="B349" s="198"/>
      <c r="C349" s="199">
        <f>Dat_02!B348</f>
        <v>45545</v>
      </c>
      <c r="D349" s="198"/>
      <c r="E349" s="200">
        <f>Dat_02!C348</f>
        <v>31.774274239835488</v>
      </c>
      <c r="F349" s="200">
        <f>Dat_02!D348</f>
        <v>19.885734840413747</v>
      </c>
      <c r="G349" s="200">
        <f>Dat_02!E348</f>
        <v>19.885734840413747</v>
      </c>
      <c r="I349" s="201">
        <f>Dat_02!G348</f>
        <v>0</v>
      </c>
      <c r="J349" s="207" t="str">
        <f>IF(Dat_02!H348=0,"",Dat_02!H348)</f>
        <v/>
      </c>
    </row>
    <row r="350" spans="2:10">
      <c r="B350" s="198"/>
      <c r="C350" s="199">
        <f>Dat_02!B349</f>
        <v>45546</v>
      </c>
      <c r="D350" s="198"/>
      <c r="E350" s="200">
        <f>Dat_02!C349</f>
        <v>28.271422682858041</v>
      </c>
      <c r="F350" s="200">
        <f>Dat_02!D349</f>
        <v>19.885734840413747</v>
      </c>
      <c r="G350" s="200">
        <f>Dat_02!E349</f>
        <v>19.885734840413747</v>
      </c>
      <c r="I350" s="201">
        <f>Dat_02!G349</f>
        <v>0</v>
      </c>
      <c r="J350" s="207" t="str">
        <f>IF(Dat_02!H349=0,"",Dat_02!H349)</f>
        <v/>
      </c>
    </row>
    <row r="351" spans="2:10">
      <c r="B351" s="198"/>
      <c r="C351" s="199">
        <f>Dat_02!B350</f>
        <v>45547</v>
      </c>
      <c r="D351" s="198"/>
      <c r="E351" s="200">
        <f>Dat_02!C350</f>
        <v>31.615490350856177</v>
      </c>
      <c r="F351" s="200">
        <f>Dat_02!D350</f>
        <v>19.885734840413747</v>
      </c>
      <c r="G351" s="200">
        <f>Dat_02!E350</f>
        <v>19.885734840413747</v>
      </c>
      <c r="I351" s="201">
        <f>Dat_02!G350</f>
        <v>0</v>
      </c>
      <c r="J351" s="207" t="str">
        <f>IF(Dat_02!H350=0,"",Dat_02!H350)</f>
        <v/>
      </c>
    </row>
    <row r="352" spans="2:10">
      <c r="B352" s="198"/>
      <c r="C352" s="199">
        <f>Dat_02!B351</f>
        <v>45548</v>
      </c>
      <c r="D352" s="198"/>
      <c r="E352" s="200">
        <f>Dat_02!C351</f>
        <v>19.226709610854318</v>
      </c>
      <c r="F352" s="200">
        <f>Dat_02!D351</f>
        <v>19.885734840413747</v>
      </c>
      <c r="G352" s="200">
        <f>Dat_02!E351</f>
        <v>19.226709610854318</v>
      </c>
      <c r="I352" s="201">
        <f>Dat_02!G351</f>
        <v>0</v>
      </c>
      <c r="J352" s="207" t="str">
        <f>IF(Dat_02!H351=0,"",Dat_02!H351)</f>
        <v/>
      </c>
    </row>
    <row r="353" spans="2:10">
      <c r="B353" s="198"/>
      <c r="C353" s="199">
        <f>Dat_02!B352</f>
        <v>45549</v>
      </c>
      <c r="D353" s="198"/>
      <c r="E353" s="200">
        <f>Dat_02!C352</f>
        <v>10.20638647585618</v>
      </c>
      <c r="F353" s="200">
        <f>Dat_02!D352</f>
        <v>19.885734840413747</v>
      </c>
      <c r="G353" s="200">
        <f>Dat_02!E352</f>
        <v>10.20638647585618</v>
      </c>
      <c r="I353" s="201" t="str">
        <f>Dat_02!G352</f>
        <v/>
      </c>
      <c r="J353" s="207" t="str">
        <f>IF(Dat_02!H352=0,"",Dat_02!H352)</f>
        <v/>
      </c>
    </row>
    <row r="354" spans="2:10">
      <c r="B354" s="198"/>
      <c r="C354" s="199">
        <f>Dat_02!B353</f>
        <v>45550</v>
      </c>
      <c r="D354" s="198"/>
      <c r="E354" s="200">
        <f>Dat_02!C353</f>
        <v>4.7013636978543181</v>
      </c>
      <c r="F354" s="200">
        <f>Dat_02!D353</f>
        <v>19.885734840413747</v>
      </c>
      <c r="G354" s="200">
        <f>Dat_02!E353</f>
        <v>4.7013636978543181</v>
      </c>
      <c r="I354" s="201">
        <f>Dat_02!G353</f>
        <v>0</v>
      </c>
      <c r="J354" s="207" t="str">
        <f>IF(Dat_02!H353=0,"",Dat_02!H353)</f>
        <v/>
      </c>
    </row>
    <row r="355" spans="2:10">
      <c r="B355" s="198"/>
      <c r="C355" s="199">
        <f>Dat_02!B354</f>
        <v>45551</v>
      </c>
      <c r="D355" s="198"/>
      <c r="E355" s="200">
        <f>Dat_02!C354</f>
        <v>8.5534986828543182</v>
      </c>
      <c r="F355" s="200">
        <f>Dat_02!D354</f>
        <v>19.885734840413747</v>
      </c>
      <c r="G355" s="200">
        <f>Dat_02!E354</f>
        <v>8.5534986828543182</v>
      </c>
      <c r="I355" s="201">
        <f>Dat_02!G354</f>
        <v>0</v>
      </c>
      <c r="J355" s="207" t="str">
        <f>IF(Dat_02!H354=0,"",Dat_02!H354)</f>
        <v/>
      </c>
    </row>
    <row r="356" spans="2:10">
      <c r="B356" s="198"/>
      <c r="C356" s="199">
        <f>Dat_02!B355</f>
        <v>45552</v>
      </c>
      <c r="D356" s="198"/>
      <c r="E356" s="200">
        <f>Dat_02!C355</f>
        <v>9.7971874988580421</v>
      </c>
      <c r="F356" s="200">
        <f>Dat_02!D355</f>
        <v>19.885734840413747</v>
      </c>
      <c r="G356" s="200">
        <f>Dat_02!E355</f>
        <v>9.7971874988580421</v>
      </c>
      <c r="I356" s="201">
        <f>Dat_02!G355</f>
        <v>0</v>
      </c>
      <c r="J356" s="207" t="str">
        <f>IF(Dat_02!H355=0,"",Dat_02!H355)</f>
        <v/>
      </c>
    </row>
    <row r="357" spans="2:10">
      <c r="B357" s="198"/>
      <c r="C357" s="199">
        <f>Dat_02!B356</f>
        <v>45553</v>
      </c>
      <c r="D357" s="198"/>
      <c r="E357" s="200">
        <f>Dat_02!C356</f>
        <v>29.041916538356869</v>
      </c>
      <c r="F357" s="200">
        <f>Dat_02!D356</f>
        <v>19.885734840413747</v>
      </c>
      <c r="G357" s="200">
        <f>Dat_02!E356</f>
        <v>19.885734840413747</v>
      </c>
      <c r="I357" s="201">
        <f>Dat_02!G356</f>
        <v>0</v>
      </c>
      <c r="J357" s="207" t="str">
        <f>IF(Dat_02!H356=0,"",Dat_02!H356)</f>
        <v/>
      </c>
    </row>
    <row r="358" spans="2:10">
      <c r="B358" s="198"/>
      <c r="C358" s="199">
        <f>Dat_02!B357</f>
        <v>45554</v>
      </c>
      <c r="D358" s="198"/>
      <c r="E358" s="200">
        <f>Dat_02!C357</f>
        <v>60.274292950355012</v>
      </c>
      <c r="F358" s="200">
        <f>Dat_02!D357</f>
        <v>19.885734840413747</v>
      </c>
      <c r="G358" s="200">
        <f>Dat_02!E357</f>
        <v>19.885734840413747</v>
      </c>
      <c r="I358" s="201">
        <f>Dat_02!G357</f>
        <v>0</v>
      </c>
      <c r="J358" s="207" t="str">
        <f>IF(Dat_02!H357=0,"",Dat_02!H357)</f>
        <v/>
      </c>
    </row>
    <row r="359" spans="2:10">
      <c r="B359" s="198"/>
      <c r="C359" s="199">
        <f>Dat_02!B358</f>
        <v>45555</v>
      </c>
      <c r="D359" s="198"/>
      <c r="E359" s="200">
        <f>Dat_02!C358</f>
        <v>63.832625350356871</v>
      </c>
      <c r="F359" s="200">
        <f>Dat_02!D358</f>
        <v>19.885734840413747</v>
      </c>
      <c r="G359" s="200">
        <f>Dat_02!E358</f>
        <v>19.885734840413747</v>
      </c>
      <c r="I359" s="201">
        <f>Dat_02!G358</f>
        <v>0</v>
      </c>
      <c r="J359" s="207" t="str">
        <f>IF(Dat_02!H358=0,"",Dat_02!H358)</f>
        <v/>
      </c>
    </row>
    <row r="360" spans="2:10">
      <c r="B360" s="198"/>
      <c r="C360" s="199">
        <f>Dat_02!B359</f>
        <v>45556</v>
      </c>
      <c r="D360" s="198"/>
      <c r="E360" s="200">
        <f>Dat_02!C359</f>
        <v>50.197664322356871</v>
      </c>
      <c r="F360" s="200">
        <f>Dat_02!D359</f>
        <v>19.885734840413747</v>
      </c>
      <c r="G360" s="200">
        <f>Dat_02!E359</f>
        <v>19.885734840413747</v>
      </c>
      <c r="I360" s="201">
        <f>Dat_02!G359</f>
        <v>0</v>
      </c>
      <c r="J360" s="207" t="str">
        <f>IF(Dat_02!H359=0,"",Dat_02!H359)</f>
        <v/>
      </c>
    </row>
    <row r="361" spans="2:10">
      <c r="B361" s="198"/>
      <c r="C361" s="199">
        <f>Dat_02!B360</f>
        <v>45557</v>
      </c>
      <c r="D361" s="198"/>
      <c r="E361" s="200">
        <f>Dat_02!C360</f>
        <v>43.917412422356882</v>
      </c>
      <c r="F361" s="200">
        <f>Dat_02!D360</f>
        <v>19.885734840413747</v>
      </c>
      <c r="G361" s="200">
        <f>Dat_02!E360</f>
        <v>19.885734840413747</v>
      </c>
      <c r="I361" s="201">
        <f>Dat_02!G360</f>
        <v>0</v>
      </c>
      <c r="J361" s="207" t="str">
        <f>IF(Dat_02!H360=0,"",Dat_02!H360)</f>
        <v/>
      </c>
    </row>
    <row r="362" spans="2:10">
      <c r="B362" s="198"/>
      <c r="C362" s="199">
        <f>Dat_02!B361</f>
        <v>45558</v>
      </c>
      <c r="D362" s="198"/>
      <c r="E362" s="200">
        <f>Dat_02!C361</f>
        <v>42.279065178355012</v>
      </c>
      <c r="F362" s="200">
        <f>Dat_02!D361</f>
        <v>19.885734840413747</v>
      </c>
      <c r="G362" s="200">
        <f>Dat_02!E361</f>
        <v>19.885734840413747</v>
      </c>
      <c r="I362" s="201">
        <f>Dat_02!G361</f>
        <v>0</v>
      </c>
      <c r="J362" s="207" t="str">
        <f>IF(Dat_02!H361=0,"",Dat_02!H361)</f>
        <v/>
      </c>
    </row>
    <row r="363" spans="2:10">
      <c r="B363" s="198"/>
      <c r="C363" s="199">
        <f>Dat_02!B362</f>
        <v>45559</v>
      </c>
      <c r="D363" s="198"/>
      <c r="E363" s="200">
        <f>Dat_02!C362</f>
        <v>43.818669830356868</v>
      </c>
      <c r="F363" s="200">
        <f>Dat_02!D362</f>
        <v>19.885734840413747</v>
      </c>
      <c r="G363" s="200">
        <f>Dat_02!E362</f>
        <v>19.885734840413747</v>
      </c>
      <c r="I363" s="201">
        <f>Dat_02!G362</f>
        <v>0</v>
      </c>
      <c r="J363" s="207" t="str">
        <f>IF(Dat_02!H362=0,"",Dat_02!H362)</f>
        <v/>
      </c>
    </row>
    <row r="364" spans="2:10">
      <c r="B364" s="198"/>
      <c r="C364" s="199">
        <f>Dat_02!B363</f>
        <v>45560</v>
      </c>
      <c r="D364" s="198"/>
      <c r="E364" s="200">
        <f>Dat_02!C363</f>
        <v>49.660390897962571</v>
      </c>
      <c r="F364" s="200">
        <f>Dat_02!D363</f>
        <v>19.885734840413747</v>
      </c>
      <c r="G364" s="200">
        <f>Dat_02!E363</f>
        <v>19.885734840413747</v>
      </c>
      <c r="I364" s="201">
        <f>Dat_02!G363</f>
        <v>0</v>
      </c>
      <c r="J364" s="207" t="str">
        <f>IF(Dat_02!H363=0,"",Dat_02!H363)</f>
        <v/>
      </c>
    </row>
    <row r="365" spans="2:10">
      <c r="B365" s="198"/>
      <c r="C365" s="199">
        <f>Dat_02!B364</f>
        <v>45561</v>
      </c>
      <c r="D365" s="198"/>
      <c r="E365" s="200">
        <f>Dat_02!C364</f>
        <v>36.476566837960704</v>
      </c>
      <c r="F365" s="200">
        <f>Dat_02!D364</f>
        <v>19.885734840413747</v>
      </c>
      <c r="G365" s="200">
        <f>Dat_02!E364</f>
        <v>19.885734840413747</v>
      </c>
      <c r="I365" s="201">
        <f>Dat_02!G364</f>
        <v>0</v>
      </c>
      <c r="J365" s="207" t="str">
        <f>IF(Dat_02!H364=0,"",Dat_02!H364)</f>
        <v/>
      </c>
    </row>
    <row r="366" spans="2:10">
      <c r="B366" s="198"/>
      <c r="C366" s="199">
        <f>Dat_02!B365</f>
        <v>45562</v>
      </c>
      <c r="D366" s="198"/>
      <c r="E366" s="200">
        <f>Dat_02!C365</f>
        <v>37.369163633964433</v>
      </c>
      <c r="F366" s="200">
        <f>Dat_02!D365</f>
        <v>19.885734840413747</v>
      </c>
      <c r="G366" s="200">
        <f>Dat_02!E365</f>
        <v>19.885734840413747</v>
      </c>
      <c r="I366" s="201">
        <f>Dat_02!G365</f>
        <v>0</v>
      </c>
      <c r="J366" s="207" t="str">
        <f>IF(Dat_02!H365=0,"",Dat_02!H365)</f>
        <v/>
      </c>
    </row>
    <row r="367" spans="2:10">
      <c r="B367" s="198"/>
      <c r="C367" s="199">
        <f>Dat_02!B366</f>
        <v>45563</v>
      </c>
      <c r="D367" s="198"/>
      <c r="E367" s="200">
        <f>Dat_02!C366</f>
        <v>45.754677949964432</v>
      </c>
      <c r="F367" s="200">
        <f>Dat_02!D366</f>
        <v>19.885734840413747</v>
      </c>
      <c r="G367" s="200">
        <f>Dat_02!E366</f>
        <v>19.885734840413747</v>
      </c>
      <c r="I367" s="201">
        <f>Dat_02!G366</f>
        <v>0</v>
      </c>
      <c r="J367" s="207" t="str">
        <f>IF(Dat_02!H366=0,"",Dat_02!H366)</f>
        <v/>
      </c>
    </row>
    <row r="368" spans="2:10">
      <c r="B368" s="198"/>
      <c r="C368" s="199">
        <f>Dat_02!B367</f>
        <v>45564</v>
      </c>
      <c r="D368" s="198"/>
      <c r="E368" s="200">
        <f>Dat_02!C367</f>
        <v>37.675193005962569</v>
      </c>
      <c r="F368" s="200">
        <f>Dat_02!D367</f>
        <v>19.885734840413747</v>
      </c>
      <c r="G368" s="200">
        <f>Dat_02!E367</f>
        <v>19.885734840413747</v>
      </c>
      <c r="I368" s="201">
        <f>Dat_02!G367</f>
        <v>0</v>
      </c>
      <c r="J368" s="207" t="str">
        <f>IF(Dat_02!H367=0,"",Dat_02!H367)</f>
        <v/>
      </c>
    </row>
    <row r="369" spans="2:10">
      <c r="B369" s="198" t="s">
        <v>176</v>
      </c>
      <c r="C369" s="199">
        <f>Dat_02!B368</f>
        <v>45565</v>
      </c>
      <c r="D369" s="198"/>
      <c r="E369" s="200">
        <f>Dat_02!C368</f>
        <v>63.93063872696257</v>
      </c>
      <c r="F369" s="200">
        <f>Dat_02!D368</f>
        <v>19.885734840413747</v>
      </c>
      <c r="G369" s="200">
        <f>Dat_02!E368</f>
        <v>19.885734840413747</v>
      </c>
      <c r="I369" s="201">
        <f>Dat_02!G368</f>
        <v>0</v>
      </c>
      <c r="J369" s="207" t="str">
        <f>IF(Dat_02!H368=0,"",Dat_02!H368)</f>
        <v/>
      </c>
    </row>
    <row r="370" spans="2:10">
      <c r="B370" s="198"/>
      <c r="C370" s="199">
        <f>Dat_02!B369</f>
        <v>45566</v>
      </c>
      <c r="D370" s="198"/>
      <c r="E370" s="200">
        <f>Dat_02!C369</f>
        <v>70.068381224962565</v>
      </c>
      <c r="F370" s="200">
        <f>Dat_02!D369</f>
        <v>40.505689176644211</v>
      </c>
      <c r="G370" s="200">
        <f>Dat_02!E369</f>
        <v>40.505689176644211</v>
      </c>
      <c r="I370" s="201">
        <f>Dat_02!G369</f>
        <v>0</v>
      </c>
      <c r="J370" s="207" t="str">
        <f>IF(Dat_02!H369=0,"",Dat_02!H369)</f>
        <v/>
      </c>
    </row>
    <row r="371" spans="2:10">
      <c r="B371" s="198"/>
      <c r="C371" s="199">
        <f>Dat_02!B370</f>
        <v>45567</v>
      </c>
      <c r="D371" s="198"/>
      <c r="E371" s="200">
        <f>Dat_02!C370</f>
        <v>58.052029492615212</v>
      </c>
      <c r="F371" s="200">
        <f>Dat_02!D370</f>
        <v>40.505689176644211</v>
      </c>
      <c r="G371" s="200">
        <f>Dat_02!E370</f>
        <v>40.505689176644211</v>
      </c>
      <c r="I371" s="201">
        <f>Dat_02!G370</f>
        <v>0</v>
      </c>
      <c r="J371" s="207" t="str">
        <f>IF(Dat_02!H370=0,"",Dat_02!H370)</f>
        <v/>
      </c>
    </row>
    <row r="372" spans="2:10">
      <c r="B372" s="198"/>
      <c r="C372" s="199">
        <f>Dat_02!B371</f>
        <v>45568</v>
      </c>
      <c r="D372" s="198"/>
      <c r="E372" s="200">
        <f>Dat_02!C371</f>
        <v>63.437394593613355</v>
      </c>
      <c r="F372" s="200">
        <f>Dat_02!D371</f>
        <v>40.505689176644211</v>
      </c>
      <c r="G372" s="200">
        <f>Dat_02!E371</f>
        <v>40.505689176644211</v>
      </c>
      <c r="I372" s="201">
        <f>Dat_02!G371</f>
        <v>0</v>
      </c>
      <c r="J372" s="207" t="str">
        <f>IF(Dat_02!H371=0,"",Dat_02!H371)</f>
        <v/>
      </c>
    </row>
    <row r="373" spans="2:10">
      <c r="B373" s="198"/>
      <c r="C373" s="199">
        <f>Dat_02!B372</f>
        <v>45569</v>
      </c>
      <c r="D373" s="198"/>
      <c r="E373" s="200">
        <f>Dat_02!C372</f>
        <v>75.007707163617084</v>
      </c>
      <c r="F373" s="200">
        <f>Dat_02!D372</f>
        <v>40.505689176644211</v>
      </c>
      <c r="G373" s="200">
        <f>Dat_02!E372</f>
        <v>40.505689176644211</v>
      </c>
      <c r="I373" s="201">
        <f>Dat_02!G372</f>
        <v>0</v>
      </c>
      <c r="J373" s="207" t="str">
        <f>IF(Dat_02!H372=0,"",Dat_02!H372)</f>
        <v/>
      </c>
    </row>
    <row r="374" spans="2:10">
      <c r="B374" s="198"/>
      <c r="C374" s="199">
        <f>Dat_02!B373</f>
        <v>45570</v>
      </c>
      <c r="D374" s="198"/>
      <c r="E374" s="200">
        <f>Dat_02!C373</f>
        <v>63.616250232613353</v>
      </c>
      <c r="F374" s="200">
        <f>Dat_02!D373</f>
        <v>40.505689176644211</v>
      </c>
      <c r="G374" s="200">
        <f>Dat_02!E373</f>
        <v>40.505689176644211</v>
      </c>
      <c r="I374" s="201">
        <f>Dat_02!G373</f>
        <v>0</v>
      </c>
      <c r="J374" s="207" t="str">
        <f>IF(Dat_02!H373=0,"",Dat_02!H373)</f>
        <v/>
      </c>
    </row>
    <row r="375" spans="2:10">
      <c r="B375" s="198"/>
      <c r="C375" s="199">
        <f>Dat_02!B374</f>
        <v>45571</v>
      </c>
      <c r="D375" s="198"/>
      <c r="E375" s="200">
        <f>Dat_02!C374</f>
        <v>32.810350096617086</v>
      </c>
      <c r="F375" s="200">
        <f>Dat_02!D374</f>
        <v>40.505689176644211</v>
      </c>
      <c r="G375" s="200">
        <f>Dat_02!E374</f>
        <v>32.810350096617086</v>
      </c>
      <c r="I375" s="201">
        <f>Dat_02!G374</f>
        <v>0</v>
      </c>
      <c r="J375" s="207" t="str">
        <f>IF(Dat_02!H374=0,"",Dat_02!H374)</f>
        <v/>
      </c>
    </row>
    <row r="376" spans="2:10">
      <c r="B376" s="198"/>
      <c r="C376" s="199">
        <f>Dat_02!B375</f>
        <v>45572</v>
      </c>
      <c r="D376" s="198"/>
      <c r="E376" s="200">
        <f>Dat_02!C375</f>
        <v>54.122171761615213</v>
      </c>
      <c r="F376" s="200">
        <f>Dat_02!D375</f>
        <v>40.505689176644211</v>
      </c>
      <c r="G376" s="200">
        <f>Dat_02!E375</f>
        <v>40.505689176644211</v>
      </c>
      <c r="I376" s="201">
        <f>Dat_02!G375</f>
        <v>0</v>
      </c>
      <c r="J376" s="207" t="str">
        <f>IF(Dat_02!H375=0,"",Dat_02!H375)</f>
        <v/>
      </c>
    </row>
    <row r="377" spans="2:10">
      <c r="B377" s="198"/>
      <c r="C377" s="199">
        <f>Dat_02!B376</f>
        <v>45573</v>
      </c>
      <c r="D377" s="198"/>
      <c r="E377" s="200">
        <f>Dat_02!C376</f>
        <v>44.16330611961336</v>
      </c>
      <c r="F377" s="200">
        <f>Dat_02!D376</f>
        <v>40.505689176644211</v>
      </c>
      <c r="G377" s="200">
        <f>Dat_02!E376</f>
        <v>40.505689176644211</v>
      </c>
      <c r="I377" s="201">
        <f>Dat_02!G376</f>
        <v>0</v>
      </c>
      <c r="J377" s="207" t="str">
        <f>IF(Dat_02!H376=0,"",Dat_02!H376)</f>
        <v/>
      </c>
    </row>
    <row r="378" spans="2:10">
      <c r="B378" s="198"/>
      <c r="C378" s="199">
        <f>Dat_02!B377</f>
        <v>45574</v>
      </c>
      <c r="D378" s="198"/>
      <c r="E378" s="200">
        <f>Dat_02!C377</f>
        <v>108.57079895363435</v>
      </c>
      <c r="F378" s="200">
        <f>Dat_02!D377</f>
        <v>40.505689176644211</v>
      </c>
      <c r="G378" s="200">
        <f>Dat_02!E377</f>
        <v>40.505689176644211</v>
      </c>
      <c r="I378" s="201">
        <f>Dat_02!G377</f>
        <v>0</v>
      </c>
      <c r="J378" s="207" t="str">
        <f>IF(Dat_02!H377=0,"",Dat_02!H377)</f>
        <v/>
      </c>
    </row>
    <row r="379" spans="2:10">
      <c r="B379" s="198"/>
      <c r="C379" s="199">
        <f>Dat_02!B378</f>
        <v>45575</v>
      </c>
      <c r="D379" s="198"/>
      <c r="E379" s="200">
        <f>Dat_02!C378</f>
        <v>142.66093879663435</v>
      </c>
      <c r="F379" s="200">
        <f>Dat_02!D378</f>
        <v>40.505689176644211</v>
      </c>
      <c r="G379" s="200">
        <f>Dat_02!E378</f>
        <v>40.505689176644211</v>
      </c>
      <c r="I379" s="201">
        <f>Dat_02!G378</f>
        <v>0</v>
      </c>
      <c r="J379" s="207" t="str">
        <f>IF(Dat_02!H378=0,"",Dat_02!H378)</f>
        <v/>
      </c>
    </row>
    <row r="380" spans="2:10">
      <c r="B380" s="198"/>
      <c r="C380" s="199">
        <f>Dat_02!B379</f>
        <v>45576</v>
      </c>
      <c r="D380" s="198"/>
      <c r="E380" s="200">
        <f>Dat_02!C379</f>
        <v>165.5278694396325</v>
      </c>
      <c r="F380" s="200">
        <f>Dat_02!D379</f>
        <v>40.505689176644211</v>
      </c>
      <c r="G380" s="200">
        <f>Dat_02!E379</f>
        <v>40.505689176644211</v>
      </c>
      <c r="I380" s="201">
        <f>Dat_02!G379</f>
        <v>0</v>
      </c>
      <c r="J380" s="207" t="str">
        <f>IF(Dat_02!H379=0,"",Dat_02!H379)</f>
        <v/>
      </c>
    </row>
    <row r="381" spans="2:10">
      <c r="B381" s="198"/>
      <c r="C381" s="199">
        <f>Dat_02!B380</f>
        <v>45577</v>
      </c>
      <c r="D381" s="198"/>
      <c r="E381" s="200">
        <f>Dat_02!C380</f>
        <v>154.03467495263436</v>
      </c>
      <c r="F381" s="200">
        <f>Dat_02!D380</f>
        <v>40.505689176644211</v>
      </c>
      <c r="G381" s="200">
        <f>Dat_02!E380</f>
        <v>40.505689176644211</v>
      </c>
      <c r="I381" s="201">
        <f>Dat_02!G380</f>
        <v>0</v>
      </c>
      <c r="J381" s="207" t="str">
        <f>IF(Dat_02!H380=0,"",Dat_02!H380)</f>
        <v/>
      </c>
    </row>
    <row r="382" spans="2:10">
      <c r="B382" s="198"/>
      <c r="C382" s="199">
        <f>Dat_02!B381</f>
        <v>45578</v>
      </c>
      <c r="D382" s="198"/>
      <c r="E382" s="200">
        <f>Dat_02!C381</f>
        <v>138.60919570463437</v>
      </c>
      <c r="F382" s="200">
        <f>Dat_02!D381</f>
        <v>40.505689176644211</v>
      </c>
      <c r="G382" s="200">
        <f>Dat_02!E381</f>
        <v>40.505689176644211</v>
      </c>
      <c r="I382" s="201">
        <f>Dat_02!G381</f>
        <v>0</v>
      </c>
      <c r="J382" s="207" t="str">
        <f>IF(Dat_02!H381=0,"",Dat_02!H381)</f>
        <v/>
      </c>
    </row>
    <row r="383" spans="2:10">
      <c r="B383" s="198"/>
      <c r="C383" s="199">
        <f>Dat_02!B382</f>
        <v>45579</v>
      </c>
      <c r="D383" s="198"/>
      <c r="E383" s="200">
        <f>Dat_02!C382</f>
        <v>174.22466010063437</v>
      </c>
      <c r="F383" s="200">
        <f>Dat_02!D382</f>
        <v>40.505689176644211</v>
      </c>
      <c r="G383" s="200">
        <f>Dat_02!E382</f>
        <v>40.505689176644211</v>
      </c>
      <c r="I383" s="201">
        <f>Dat_02!G382</f>
        <v>0</v>
      </c>
      <c r="J383" s="207" t="str">
        <f>IF(Dat_02!H382=0,"",Dat_02!H382)</f>
        <v/>
      </c>
    </row>
    <row r="384" spans="2:10">
      <c r="B384" s="198"/>
      <c r="C384" s="199">
        <f>Dat_02!B383</f>
        <v>45580</v>
      </c>
      <c r="D384" s="198"/>
      <c r="E384" s="200">
        <f>Dat_02!C383</f>
        <v>159.80809982463248</v>
      </c>
      <c r="F384" s="200">
        <f>Dat_02!D383</f>
        <v>40.505689176644211</v>
      </c>
      <c r="G384" s="200">
        <f>Dat_02!E383</f>
        <v>40.505689176644211</v>
      </c>
      <c r="I384" s="201">
        <f>Dat_02!G383</f>
        <v>40.505689176644211</v>
      </c>
      <c r="J384" s="207" t="str">
        <f>IF(Dat_02!H383=0,"",Dat_02!H383)</f>
        <v/>
      </c>
    </row>
    <row r="385" spans="2:10">
      <c r="B385" s="198"/>
      <c r="C385" s="199">
        <f>Dat_02!B384</f>
        <v>45581</v>
      </c>
      <c r="D385" s="198"/>
      <c r="E385" s="200">
        <f>Dat_02!C384</f>
        <v>125.8817006946114</v>
      </c>
      <c r="F385" s="200">
        <f>Dat_02!D384</f>
        <v>40.505689176644211</v>
      </c>
      <c r="G385" s="200">
        <f>Dat_02!E384</f>
        <v>40.505689176644211</v>
      </c>
      <c r="I385" s="201">
        <f>Dat_02!G384</f>
        <v>0</v>
      </c>
      <c r="J385" s="207" t="str">
        <f>IF(Dat_02!H384=0,"",Dat_02!H384)</f>
        <v/>
      </c>
    </row>
    <row r="386" spans="2:10">
      <c r="B386" s="198"/>
      <c r="C386" s="199">
        <f>Dat_02!B385</f>
        <v>45582</v>
      </c>
      <c r="D386" s="198"/>
      <c r="E386" s="200">
        <f>Dat_02!C385</f>
        <v>121.5447070726114</v>
      </c>
      <c r="F386" s="200">
        <f>Dat_02!D385</f>
        <v>40.505689176644211</v>
      </c>
      <c r="G386" s="200">
        <f>Dat_02!E385</f>
        <v>40.505689176644211</v>
      </c>
      <c r="I386" s="201">
        <f>Dat_02!G385</f>
        <v>0</v>
      </c>
      <c r="J386" s="207" t="str">
        <f>IF(Dat_02!H385=0,"",Dat_02!H385)</f>
        <v/>
      </c>
    </row>
    <row r="387" spans="2:10">
      <c r="B387" s="198"/>
      <c r="C387" s="199">
        <f>Dat_02!B386</f>
        <v>45583</v>
      </c>
      <c r="D387" s="198"/>
      <c r="E387" s="200">
        <f>Dat_02!C386</f>
        <v>130.54230420161514</v>
      </c>
      <c r="F387" s="200">
        <f>Dat_02!D386</f>
        <v>40.505689176644211</v>
      </c>
      <c r="G387" s="200">
        <f>Dat_02!E386</f>
        <v>40.505689176644211</v>
      </c>
      <c r="I387" s="201">
        <f>Dat_02!G386</f>
        <v>0</v>
      </c>
      <c r="J387" s="207" t="str">
        <f>IF(Dat_02!H386=0,"",Dat_02!H386)</f>
        <v/>
      </c>
    </row>
    <row r="388" spans="2:10">
      <c r="B388" s="198"/>
      <c r="C388" s="199">
        <f>Dat_02!B387</f>
        <v>45584</v>
      </c>
      <c r="D388" s="198"/>
      <c r="E388" s="200">
        <f>Dat_02!C387</f>
        <v>125.60238285760954</v>
      </c>
      <c r="F388" s="200">
        <f>Dat_02!D387</f>
        <v>40.505689176644211</v>
      </c>
      <c r="G388" s="200">
        <f>Dat_02!E387</f>
        <v>40.505689176644211</v>
      </c>
      <c r="I388" s="201">
        <f>Dat_02!G387</f>
        <v>0</v>
      </c>
      <c r="J388" s="207" t="str">
        <f>IF(Dat_02!H387=0,"",Dat_02!H387)</f>
        <v/>
      </c>
    </row>
    <row r="389" spans="2:10">
      <c r="B389" s="198"/>
      <c r="C389" s="199">
        <f>Dat_02!B388</f>
        <v>45585</v>
      </c>
      <c r="D389" s="198"/>
      <c r="E389" s="200">
        <f>Dat_02!C388</f>
        <v>114.77731400161326</v>
      </c>
      <c r="F389" s="200">
        <f>Dat_02!D388</f>
        <v>40.505689176644211</v>
      </c>
      <c r="G389" s="200">
        <f>Dat_02!E388</f>
        <v>40.505689176644211</v>
      </c>
      <c r="I389" s="201">
        <f>Dat_02!G388</f>
        <v>0</v>
      </c>
      <c r="J389" s="207" t="str">
        <f>IF(Dat_02!H388=0,"",Dat_02!H388)</f>
        <v/>
      </c>
    </row>
    <row r="390" spans="2:10">
      <c r="B390" s="198"/>
      <c r="C390" s="199">
        <f>Dat_02!B389</f>
        <v>45586</v>
      </c>
      <c r="D390" s="198"/>
      <c r="E390" s="200">
        <f>Dat_02!C389</f>
        <v>146.65737781060952</v>
      </c>
      <c r="F390" s="200">
        <f>Dat_02!D389</f>
        <v>40.505689176644211</v>
      </c>
      <c r="G390" s="200">
        <f>Dat_02!E389</f>
        <v>40.505689176644211</v>
      </c>
      <c r="I390" s="201">
        <f>Dat_02!G389</f>
        <v>0</v>
      </c>
      <c r="J390" s="207" t="str">
        <f>IF(Dat_02!H389=0,"",Dat_02!H389)</f>
        <v/>
      </c>
    </row>
    <row r="391" spans="2:10">
      <c r="B391" s="198"/>
      <c r="C391" s="199">
        <f>Dat_02!B390</f>
        <v>45587</v>
      </c>
      <c r="D391" s="198"/>
      <c r="E391" s="200">
        <f>Dat_02!C390</f>
        <v>144.62549306961139</v>
      </c>
      <c r="F391" s="200">
        <f>Dat_02!D390</f>
        <v>40.505689176644211</v>
      </c>
      <c r="G391" s="200">
        <f>Dat_02!E390</f>
        <v>40.505689176644211</v>
      </c>
      <c r="I391" s="201">
        <f>Dat_02!G390</f>
        <v>0</v>
      </c>
      <c r="J391" s="207" t="str">
        <f>IF(Dat_02!H390=0,"",Dat_02!H390)</f>
        <v/>
      </c>
    </row>
    <row r="392" spans="2:10">
      <c r="B392" s="198"/>
      <c r="C392" s="199">
        <f>Dat_02!B391</f>
        <v>45588</v>
      </c>
      <c r="D392" s="198"/>
      <c r="E392" s="200">
        <f>Dat_02!C391</f>
        <v>99.303005761531949</v>
      </c>
      <c r="F392" s="200">
        <f>Dat_02!D391</f>
        <v>40.505689176644211</v>
      </c>
      <c r="G392" s="200">
        <f>Dat_02!E391</f>
        <v>40.505689176644211</v>
      </c>
      <c r="I392" s="201">
        <f>Dat_02!G391</f>
        <v>0</v>
      </c>
      <c r="J392" s="207" t="str">
        <f>IF(Dat_02!H391=0,"",Dat_02!H391)</f>
        <v/>
      </c>
    </row>
    <row r="393" spans="2:10">
      <c r="B393" s="198"/>
      <c r="C393" s="199">
        <f>Dat_02!B392</f>
        <v>45589</v>
      </c>
      <c r="D393" s="198"/>
      <c r="E393" s="200">
        <f>Dat_02!C392</f>
        <v>89.790892455530084</v>
      </c>
      <c r="F393" s="200">
        <f>Dat_02!D392</f>
        <v>40.505689176644211</v>
      </c>
      <c r="G393" s="200">
        <f>Dat_02!E392</f>
        <v>40.505689176644211</v>
      </c>
      <c r="I393" s="201">
        <f>Dat_02!G392</f>
        <v>0</v>
      </c>
      <c r="J393" s="207" t="str">
        <f>IF(Dat_02!H392=0,"",Dat_02!H392)</f>
        <v/>
      </c>
    </row>
    <row r="394" spans="2:10">
      <c r="B394" s="198"/>
      <c r="C394" s="199">
        <f>Dat_02!B393</f>
        <v>45590</v>
      </c>
      <c r="D394" s="198"/>
      <c r="E394" s="200">
        <f>Dat_02!C393</f>
        <v>108.95479519853195</v>
      </c>
      <c r="F394" s="200">
        <f>Dat_02!D393</f>
        <v>40.505689176644211</v>
      </c>
      <c r="G394" s="200">
        <f>Dat_02!E393</f>
        <v>40.505689176644211</v>
      </c>
      <c r="I394" s="201">
        <f>Dat_02!G393</f>
        <v>0</v>
      </c>
      <c r="J394" s="207" t="str">
        <f>IF(Dat_02!H393=0,"",Dat_02!H393)</f>
        <v/>
      </c>
    </row>
    <row r="395" spans="2:10">
      <c r="B395" s="198"/>
      <c r="C395" s="199">
        <f>Dat_02!B394</f>
        <v>45591</v>
      </c>
      <c r="D395" s="198"/>
      <c r="E395" s="200">
        <f>Dat_02!C394</f>
        <v>104.75625435853009</v>
      </c>
      <c r="F395" s="200">
        <f>Dat_02!D394</f>
        <v>40.505689176644211</v>
      </c>
      <c r="G395" s="200">
        <f>Dat_02!E394</f>
        <v>40.505689176644211</v>
      </c>
      <c r="I395" s="201">
        <f>Dat_02!G394</f>
        <v>0</v>
      </c>
      <c r="J395" s="207" t="str">
        <f>IF(Dat_02!H394=0,"",Dat_02!H394)</f>
        <v/>
      </c>
    </row>
    <row r="396" spans="2:10">
      <c r="B396" s="198"/>
      <c r="C396" s="199">
        <f>Dat_02!B395</f>
        <v>45592</v>
      </c>
      <c r="D396" s="198"/>
      <c r="E396" s="200">
        <f>Dat_02!C395</f>
        <v>100.9805895135338</v>
      </c>
      <c r="F396" s="200">
        <f>Dat_02!D395</f>
        <v>40.505689176644211</v>
      </c>
      <c r="G396" s="200">
        <f>Dat_02!E395</f>
        <v>40.505689176644211</v>
      </c>
      <c r="I396" s="201">
        <f>Dat_02!G395</f>
        <v>0</v>
      </c>
      <c r="J396" s="207" t="str">
        <f>IF(Dat_02!H395=0,"",Dat_02!H395)</f>
        <v/>
      </c>
    </row>
    <row r="397" spans="2:10">
      <c r="B397" s="198"/>
      <c r="C397" s="199">
        <f>Dat_02!B396</f>
        <v>45593</v>
      </c>
      <c r="D397" s="198"/>
      <c r="E397" s="200">
        <f>Dat_02!C396</f>
        <v>85.280425566530084</v>
      </c>
      <c r="F397" s="200">
        <f>Dat_02!D396</f>
        <v>40.505689176644211</v>
      </c>
      <c r="G397" s="200">
        <f>Dat_02!E396</f>
        <v>40.505689176644211</v>
      </c>
      <c r="I397" s="201">
        <f>Dat_02!G396</f>
        <v>0</v>
      </c>
      <c r="J397" s="207" t="str">
        <f>IF(Dat_02!H396=0,"",Dat_02!H396)</f>
        <v/>
      </c>
    </row>
    <row r="398" spans="2:10">
      <c r="B398" s="198"/>
      <c r="C398" s="199">
        <f>Dat_02!B397</f>
        <v>45594</v>
      </c>
      <c r="D398" s="198"/>
      <c r="E398" s="200">
        <f>Dat_02!C397</f>
        <v>107.49838493853008</v>
      </c>
      <c r="F398" s="200">
        <f>Dat_02!D397</f>
        <v>40.505689176644211</v>
      </c>
      <c r="G398" s="200">
        <f>Dat_02!E397</f>
        <v>40.505689176644211</v>
      </c>
      <c r="I398" s="201">
        <f>Dat_02!G397</f>
        <v>0</v>
      </c>
      <c r="J398" s="207" t="str">
        <f>IF(Dat_02!H397=0,"",Dat_02!H397)</f>
        <v/>
      </c>
    </row>
    <row r="399" spans="2:10">
      <c r="B399" s="198"/>
      <c r="C399" s="199">
        <f>Dat_02!B398</f>
        <v>45595</v>
      </c>
      <c r="D399" s="198"/>
      <c r="E399" s="200">
        <f>Dat_02!C398</f>
        <v>114.20029164982061</v>
      </c>
      <c r="F399" s="200">
        <f>Dat_02!D398</f>
        <v>40.505689176644211</v>
      </c>
      <c r="G399" s="200">
        <f>Dat_02!E398</f>
        <v>40.505689176644211</v>
      </c>
      <c r="I399" s="201">
        <f>Dat_02!G398</f>
        <v>0</v>
      </c>
      <c r="J399" s="207"/>
    </row>
    <row r="400" spans="2:10">
      <c r="B400" s="198"/>
      <c r="C400" s="199">
        <f>Dat_02!B399</f>
        <v>45596</v>
      </c>
      <c r="D400" s="198"/>
      <c r="E400" s="200">
        <f>Dat_02!C399</f>
        <v>120.56744921381875</v>
      </c>
      <c r="F400" s="200">
        <f>Dat_02!D399</f>
        <v>40.505689176644211</v>
      </c>
      <c r="G400" s="200">
        <f>Dat_02!E399</f>
        <v>40.505689176644211</v>
      </c>
      <c r="I400" s="201">
        <f>Dat_02!G399</f>
        <v>0</v>
      </c>
      <c r="J400" s="207"/>
    </row>
    <row r="401" spans="2:10">
      <c r="B401" s="198"/>
      <c r="C401" s="199">
        <f>Dat_02!B400</f>
        <v>45597</v>
      </c>
      <c r="D401" s="198"/>
      <c r="E401" s="200">
        <f>Dat_02!C400</f>
        <v>108.72068790582061</v>
      </c>
      <c r="F401" s="200">
        <f>Dat_02!D400</f>
        <v>82.040549235563063</v>
      </c>
      <c r="G401" s="200">
        <f>Dat_02!E400</f>
        <v>82.040549235563063</v>
      </c>
      <c r="I401" s="201">
        <f>Dat_02!G400</f>
        <v>0</v>
      </c>
      <c r="J401" s="207"/>
    </row>
    <row r="402" spans="2:10">
      <c r="B402" s="198"/>
      <c r="C402" s="199">
        <f>Dat_02!B401</f>
        <v>45598</v>
      </c>
      <c r="D402" s="198"/>
      <c r="E402" s="200">
        <f>Dat_02!C401</f>
        <v>109.19724974981874</v>
      </c>
      <c r="F402" s="200">
        <f>Dat_02!D401</f>
        <v>82.040549235563063</v>
      </c>
      <c r="G402" s="200">
        <f>Dat_02!E401</f>
        <v>82.040549235563063</v>
      </c>
      <c r="I402" s="201">
        <f>Dat_02!G401</f>
        <v>0</v>
      </c>
      <c r="J402" s="207"/>
    </row>
    <row r="403" spans="2:10">
      <c r="B403" s="198"/>
      <c r="C403" s="199">
        <f>Dat_02!B402</f>
        <v>45599</v>
      </c>
      <c r="D403" s="198"/>
      <c r="E403" s="200">
        <f>Dat_02!C402</f>
        <v>95.714585525818748</v>
      </c>
      <c r="F403" s="200">
        <f>Dat_02!D402</f>
        <v>82.040549235563063</v>
      </c>
      <c r="G403" s="200">
        <f>Dat_02!E402</f>
        <v>82.040549235563063</v>
      </c>
      <c r="I403" s="201">
        <f>Dat_02!G402</f>
        <v>0</v>
      </c>
      <c r="J403" s="207"/>
    </row>
    <row r="404" spans="2:10">
      <c r="B404" s="198"/>
      <c r="C404" s="199">
        <f>Dat_02!B403</f>
        <v>45600</v>
      </c>
      <c r="D404" s="198"/>
      <c r="E404" s="200">
        <f>Dat_02!C403</f>
        <v>119.13054744981875</v>
      </c>
      <c r="F404" s="200">
        <f>Dat_02!D403</f>
        <v>82.040549235563063</v>
      </c>
      <c r="G404" s="200">
        <f>Dat_02!E403</f>
        <v>82.040549235563063</v>
      </c>
      <c r="I404" s="201">
        <f>Dat_02!G403</f>
        <v>0</v>
      </c>
      <c r="J404" s="207"/>
    </row>
    <row r="405" spans="2:10">
      <c r="B405" s="198"/>
      <c r="C405" s="199">
        <f>Dat_02!B404</f>
        <v>45601</v>
      </c>
      <c r="D405" s="198"/>
      <c r="E405" s="200">
        <f>Dat_02!C404</f>
        <v>129.5196712458206</v>
      </c>
      <c r="F405" s="200">
        <f>Dat_02!D404</f>
        <v>82.040549235563063</v>
      </c>
      <c r="G405" s="200">
        <f>Dat_02!E404</f>
        <v>82.040549235563063</v>
      </c>
      <c r="I405" s="201">
        <f>Dat_02!G404</f>
        <v>0</v>
      </c>
      <c r="J405" s="207"/>
    </row>
    <row r="406" spans="2:10">
      <c r="B406" s="198"/>
      <c r="C406" s="199">
        <f>Dat_02!B405</f>
        <v>45602</v>
      </c>
      <c r="D406" s="198"/>
      <c r="E406" s="200">
        <f>Dat_02!C405</f>
        <v>87.747738995033558</v>
      </c>
      <c r="F406" s="200">
        <f>Dat_02!D405</f>
        <v>82.040549235563063</v>
      </c>
      <c r="G406" s="200">
        <f>Dat_02!E405</f>
        <v>82.040549235563063</v>
      </c>
      <c r="I406" s="201">
        <f>Dat_02!G405</f>
        <v>0</v>
      </c>
      <c r="J406" s="207"/>
    </row>
    <row r="407" spans="2:10">
      <c r="B407" s="198"/>
      <c r="C407" s="199">
        <f>Dat_02!B406</f>
        <v>45603</v>
      </c>
      <c r="D407" s="198"/>
      <c r="E407" s="200">
        <f>Dat_02!C406</f>
        <v>88.905466919029848</v>
      </c>
      <c r="F407" s="200">
        <f>Dat_02!D406</f>
        <v>82.040549235563063</v>
      </c>
      <c r="G407" s="200">
        <f>Dat_02!E406</f>
        <v>82.040549235563063</v>
      </c>
      <c r="I407" s="201">
        <f>Dat_02!G406</f>
        <v>0</v>
      </c>
      <c r="J407" s="207"/>
    </row>
    <row r="408" spans="2:10">
      <c r="B408" s="198"/>
      <c r="C408" s="199">
        <f>Dat_02!B407</f>
        <v>45604</v>
      </c>
      <c r="D408" s="198"/>
      <c r="E408" s="200">
        <f>Dat_02!C407</f>
        <v>102.83224174303358</v>
      </c>
      <c r="F408" s="200">
        <f>Dat_02!D407</f>
        <v>82.040549235563063</v>
      </c>
      <c r="G408" s="200">
        <f>Dat_02!E407</f>
        <v>82.040549235563063</v>
      </c>
      <c r="I408" s="201">
        <f>Dat_02!G407</f>
        <v>0</v>
      </c>
      <c r="J408" s="207"/>
    </row>
    <row r="409" spans="2:10">
      <c r="B409" s="198"/>
      <c r="C409" s="199">
        <f>Dat_02!B408</f>
        <v>45605</v>
      </c>
      <c r="D409" s="198"/>
      <c r="E409" s="200">
        <f>Dat_02!C408</f>
        <v>68.936405255031715</v>
      </c>
      <c r="F409" s="200">
        <f>Dat_02!D408</f>
        <v>82.040549235563063</v>
      </c>
      <c r="G409" s="200">
        <f>Dat_02!E408</f>
        <v>68.936405255031715</v>
      </c>
      <c r="I409" s="201">
        <f>Dat_02!G408</f>
        <v>0</v>
      </c>
      <c r="J409" s="207"/>
    </row>
    <row r="410" spans="2:10">
      <c r="B410" s="198"/>
      <c r="C410" s="199">
        <f>Dat_02!B409</f>
        <v>45606</v>
      </c>
      <c r="D410" s="198"/>
      <c r="E410" s="200">
        <f>Dat_02!C409</f>
        <v>48.757162151029846</v>
      </c>
      <c r="F410" s="200">
        <f>Dat_02!D409</f>
        <v>82.040549235563063</v>
      </c>
      <c r="G410" s="200">
        <f>Dat_02!E409</f>
        <v>48.757162151029846</v>
      </c>
      <c r="I410" s="201">
        <f>Dat_02!G409</f>
        <v>0</v>
      </c>
      <c r="J410" s="207"/>
    </row>
    <row r="411" spans="2:10">
      <c r="B411" s="198"/>
      <c r="C411" s="199">
        <f>Dat_02!B410</f>
        <v>45607</v>
      </c>
      <c r="D411" s="198"/>
      <c r="E411" s="200">
        <f>Dat_02!C410</f>
        <v>48.689695399035436</v>
      </c>
      <c r="F411" s="200">
        <f>Dat_02!D410</f>
        <v>82.040549235563063</v>
      </c>
      <c r="G411" s="200">
        <f>Dat_02!E410</f>
        <v>48.689695399035436</v>
      </c>
      <c r="I411" s="201">
        <f>Dat_02!G410</f>
        <v>0</v>
      </c>
      <c r="J411" s="207"/>
    </row>
    <row r="412" spans="2:10">
      <c r="B412" s="198"/>
      <c r="C412" s="199">
        <f>Dat_02!B411</f>
        <v>45608</v>
      </c>
      <c r="D412" s="198"/>
      <c r="E412" s="200">
        <f>Dat_02!C411</f>
        <v>40.047803227031707</v>
      </c>
      <c r="F412" s="200">
        <f>Dat_02!D411</f>
        <v>82.040549235563063</v>
      </c>
      <c r="G412" s="200">
        <f>Dat_02!E411</f>
        <v>40.047803227031707</v>
      </c>
      <c r="I412" s="201">
        <f>Dat_02!G411</f>
        <v>0</v>
      </c>
      <c r="J412" s="207"/>
    </row>
    <row r="413" spans="2:10">
      <c r="B413" s="198"/>
      <c r="C413" s="199">
        <f>Dat_02!B412</f>
        <v>45609</v>
      </c>
      <c r="D413" s="198"/>
      <c r="E413" s="200">
        <f>Dat_02!C412</f>
        <v>68.855309445166483</v>
      </c>
      <c r="F413" s="200">
        <f>Dat_02!D412</f>
        <v>82.040549235563063</v>
      </c>
      <c r="G413" s="200">
        <f>Dat_02!E412</f>
        <v>68.855309445166483</v>
      </c>
      <c r="I413" s="201">
        <f>Dat_02!G412</f>
        <v>0</v>
      </c>
      <c r="J413" s="207"/>
    </row>
    <row r="414" spans="2:10">
      <c r="B414" s="198"/>
      <c r="C414" s="199">
        <f>Dat_02!B413</f>
        <v>45610</v>
      </c>
      <c r="D414" s="198"/>
      <c r="E414" s="200">
        <f>Dat_02!C413</f>
        <v>75.299004657168354</v>
      </c>
      <c r="F414" s="200">
        <f>Dat_02!D413</f>
        <v>82.040549235563063</v>
      </c>
      <c r="G414" s="200">
        <f>Dat_02!E413</f>
        <v>75.299004657168354</v>
      </c>
      <c r="I414" s="201">
        <f>Dat_02!G413</f>
        <v>0</v>
      </c>
      <c r="J414" s="207"/>
    </row>
    <row r="415" spans="2:10">
      <c r="B415" s="198"/>
      <c r="C415" s="199">
        <f>Dat_02!B414</f>
        <v>45611</v>
      </c>
      <c r="D415" s="198"/>
      <c r="E415" s="200">
        <f>Dat_02!C414</f>
        <v>68.215954553168345</v>
      </c>
      <c r="F415" s="200">
        <f>Dat_02!D414</f>
        <v>82.040549235563063</v>
      </c>
      <c r="G415" s="200">
        <f>Dat_02!E414</f>
        <v>68.215954553168345</v>
      </c>
      <c r="I415" s="201">
        <f>Dat_02!G414</f>
        <v>82.040549235563063</v>
      </c>
      <c r="J415" s="207"/>
    </row>
    <row r="416" spans="2:10">
      <c r="B416" s="198"/>
      <c r="C416" s="199">
        <f>Dat_02!B415</f>
        <v>45612</v>
      </c>
      <c r="D416" s="198"/>
      <c r="E416" s="200">
        <f>Dat_02!C415</f>
        <v>58.871465425168338</v>
      </c>
      <c r="F416" s="200">
        <f>Dat_02!D415</f>
        <v>82.040549235563063</v>
      </c>
      <c r="G416" s="200">
        <f>Dat_02!E415</f>
        <v>58.871465425168338</v>
      </c>
      <c r="I416" s="201">
        <f>Dat_02!G415</f>
        <v>0</v>
      </c>
      <c r="J416" s="207"/>
    </row>
    <row r="417" spans="2:10">
      <c r="B417" s="198"/>
      <c r="C417" s="199">
        <f>Dat_02!B416</f>
        <v>45613</v>
      </c>
      <c r="D417" s="198"/>
      <c r="E417" s="200">
        <f>Dat_02!C416</f>
        <v>58.597059901168336</v>
      </c>
      <c r="F417" s="200">
        <f>Dat_02!D416</f>
        <v>82.040549235563063</v>
      </c>
      <c r="G417" s="200">
        <f>Dat_02!E416</f>
        <v>58.597059901168336</v>
      </c>
      <c r="I417" s="201">
        <f>Dat_02!G416</f>
        <v>0</v>
      </c>
      <c r="J417" s="207"/>
    </row>
    <row r="418" spans="2:10">
      <c r="B418" s="198"/>
      <c r="C418" s="199">
        <f>Dat_02!B417</f>
        <v>45614</v>
      </c>
      <c r="D418" s="198"/>
      <c r="E418" s="200">
        <f>Dat_02!C417</f>
        <v>72.038170989168336</v>
      </c>
      <c r="F418" s="200">
        <f>Dat_02!D417</f>
        <v>82.040549235563063</v>
      </c>
      <c r="G418" s="200">
        <f>Dat_02!E417</f>
        <v>72.038170989168336</v>
      </c>
      <c r="I418" s="201">
        <f>Dat_02!G417</f>
        <v>0</v>
      </c>
      <c r="J418" s="207"/>
    </row>
    <row r="419" spans="2:10">
      <c r="B419" s="198"/>
      <c r="C419" s="199">
        <f>Dat_02!B418</f>
        <v>45615</v>
      </c>
      <c r="D419" s="198"/>
      <c r="E419" s="200">
        <f>Dat_02!C418</f>
        <v>61.939732837168343</v>
      </c>
      <c r="F419" s="200">
        <f>Dat_02!D418</f>
        <v>82.040549235563063</v>
      </c>
      <c r="G419" s="200">
        <f>Dat_02!E418</f>
        <v>61.939732837168343</v>
      </c>
      <c r="I419" s="201">
        <f>Dat_02!G418</f>
        <v>0</v>
      </c>
      <c r="J419" s="207"/>
    </row>
    <row r="420" spans="2:10">
      <c r="B420" s="198"/>
      <c r="C420" s="199">
        <f>Dat_02!B419</f>
        <v>45616</v>
      </c>
      <c r="D420" s="198"/>
      <c r="E420" s="200">
        <f>Dat_02!C419</f>
        <v>57.604023443207126</v>
      </c>
      <c r="F420" s="200">
        <f>Dat_02!D419</f>
        <v>82.040549235563063</v>
      </c>
      <c r="G420" s="200">
        <f>Dat_02!E419</f>
        <v>57.604023443207126</v>
      </c>
      <c r="I420" s="201">
        <f>Dat_02!G419</f>
        <v>0</v>
      </c>
      <c r="J420" s="207"/>
    </row>
    <row r="421" spans="2:10">
      <c r="B421" s="198"/>
      <c r="C421" s="199">
        <f>Dat_02!B420</f>
        <v>45617</v>
      </c>
      <c r="D421" s="198"/>
      <c r="E421" s="200">
        <f>Dat_02!C420</f>
        <v>54.52021600720898</v>
      </c>
      <c r="F421" s="200">
        <f>Dat_02!D420</f>
        <v>82.040549235563063</v>
      </c>
      <c r="G421" s="200">
        <f>Dat_02!E420</f>
        <v>54.52021600720898</v>
      </c>
      <c r="I421" s="201">
        <f>Dat_02!G420</f>
        <v>0</v>
      </c>
      <c r="J421" s="207"/>
    </row>
    <row r="422" spans="2:10">
      <c r="B422" s="198"/>
      <c r="C422" s="199">
        <f>Dat_02!B421</f>
        <v>45618</v>
      </c>
      <c r="D422" s="198"/>
      <c r="E422" s="200">
        <f>Dat_02!C421</f>
        <v>77.539787579208976</v>
      </c>
      <c r="F422" s="200">
        <f>Dat_02!D421</f>
        <v>82.040549235563063</v>
      </c>
      <c r="G422" s="200">
        <f>Dat_02!E421</f>
        <v>77.539787579208976</v>
      </c>
      <c r="I422" s="201">
        <f>Dat_02!G421</f>
        <v>0</v>
      </c>
      <c r="J422" s="207"/>
    </row>
    <row r="423" spans="2:10">
      <c r="B423" s="198"/>
      <c r="C423" s="199">
        <f>Dat_02!B422</f>
        <v>45619</v>
      </c>
      <c r="D423" s="198"/>
      <c r="E423" s="200">
        <f>Dat_02!C422</f>
        <v>43.110696247205254</v>
      </c>
      <c r="F423" s="200">
        <f>Dat_02!D422</f>
        <v>82.040549235563063</v>
      </c>
      <c r="G423" s="200">
        <f>Dat_02!E422</f>
        <v>43.110696247205254</v>
      </c>
      <c r="I423" s="201">
        <f>Dat_02!G422</f>
        <v>0</v>
      </c>
      <c r="J423" s="207"/>
    </row>
    <row r="424" spans="2:10">
      <c r="B424" s="198"/>
      <c r="C424" s="199">
        <f>Dat_02!B423</f>
        <v>45620</v>
      </c>
      <c r="D424" s="198"/>
      <c r="E424" s="200">
        <f>Dat_02!C423</f>
        <v>43.692276563208978</v>
      </c>
      <c r="F424" s="200">
        <f>Dat_02!D423</f>
        <v>82.040549235563063</v>
      </c>
      <c r="G424" s="200">
        <f>Dat_02!E423</f>
        <v>43.692276563208978</v>
      </c>
      <c r="I424" s="201">
        <f>Dat_02!G423</f>
        <v>0</v>
      </c>
      <c r="J424" s="207"/>
    </row>
    <row r="425" spans="2:10">
      <c r="B425" s="198"/>
      <c r="C425" s="199">
        <f>Dat_02!B424</f>
        <v>45621</v>
      </c>
      <c r="D425" s="198"/>
      <c r="E425" s="200">
        <f>Dat_02!C424</f>
        <v>66.915898435208973</v>
      </c>
      <c r="F425" s="200">
        <f>Dat_02!D424</f>
        <v>82.040549235563063</v>
      </c>
      <c r="G425" s="200">
        <f>Dat_02!E424</f>
        <v>66.915898435208973</v>
      </c>
      <c r="I425" s="201">
        <f>Dat_02!G424</f>
        <v>0</v>
      </c>
      <c r="J425" s="207"/>
    </row>
    <row r="426" spans="2:10">
      <c r="B426" s="198"/>
      <c r="C426" s="199">
        <f>Dat_02!B425</f>
        <v>45622</v>
      </c>
      <c r="D426" s="198"/>
      <c r="E426" s="200">
        <f>Dat_02!C425</f>
        <v>92.756794711207121</v>
      </c>
      <c r="F426" s="200">
        <f>Dat_02!D425</f>
        <v>82.040549235563063</v>
      </c>
      <c r="G426" s="200">
        <f>Dat_02!E425</f>
        <v>82.040549235563063</v>
      </c>
      <c r="I426" s="201">
        <f>Dat_02!G425</f>
        <v>0</v>
      </c>
      <c r="J426" s="207"/>
    </row>
    <row r="427" spans="2:10">
      <c r="B427" s="198"/>
      <c r="C427" s="199">
        <f>Dat_02!B426</f>
        <v>45623</v>
      </c>
      <c r="D427" s="198"/>
      <c r="E427" s="200">
        <f>Dat_02!C426</f>
        <v>88.907669110948547</v>
      </c>
      <c r="F427" s="200">
        <f>Dat_02!D426</f>
        <v>82.040549235563063</v>
      </c>
      <c r="G427" s="200">
        <f>Dat_02!E426</f>
        <v>82.040549235563063</v>
      </c>
      <c r="I427" s="201">
        <f>Dat_02!G426</f>
        <v>0</v>
      </c>
      <c r="J427" s="207"/>
    </row>
    <row r="428" spans="2:10">
      <c r="B428" s="198"/>
      <c r="C428" s="199">
        <f>Dat_02!B427</f>
        <v>45624</v>
      </c>
      <c r="D428" s="198"/>
      <c r="E428" s="200">
        <f>Dat_02!C427</f>
        <v>87.877523222946678</v>
      </c>
      <c r="F428" s="200">
        <f>Dat_02!D427</f>
        <v>82.040549235563063</v>
      </c>
      <c r="G428" s="200">
        <f>Dat_02!E427</f>
        <v>82.040549235563063</v>
      </c>
      <c r="I428" s="201">
        <f>Dat_02!G427</f>
        <v>0</v>
      </c>
      <c r="J428" s="207"/>
    </row>
    <row r="429" spans="2:10">
      <c r="B429" s="198"/>
      <c r="C429" s="199">
        <f>Dat_02!B428</f>
        <v>45625</v>
      </c>
      <c r="D429" s="198"/>
      <c r="E429" s="200">
        <f>Dat_02!C428</f>
        <v>83.668051382946686</v>
      </c>
      <c r="F429" s="200">
        <f>Dat_02!D428</f>
        <v>82.040549235563063</v>
      </c>
      <c r="G429" s="200">
        <f>Dat_02!E428</f>
        <v>82.040549235563063</v>
      </c>
      <c r="I429" s="201">
        <f>Dat_02!G428</f>
        <v>0</v>
      </c>
      <c r="J429" s="207"/>
    </row>
    <row r="430" spans="2:10">
      <c r="B430" s="198"/>
      <c r="C430" s="199">
        <f>Dat_02!B429</f>
        <v>45626</v>
      </c>
      <c r="D430" s="198"/>
      <c r="E430" s="200">
        <f>Dat_02!C429</f>
        <v>75.554168506946681</v>
      </c>
      <c r="F430" s="200">
        <f>Dat_02!D429</f>
        <v>82.040549235563063</v>
      </c>
      <c r="G430" s="200">
        <f>Dat_02!E429</f>
        <v>75.554168506946681</v>
      </c>
      <c r="I430" s="201">
        <f>Dat_02!G429</f>
        <v>0</v>
      </c>
      <c r="J430" s="207"/>
    </row>
    <row r="431" spans="2:10">
      <c r="B431" s="198"/>
      <c r="C431" s="199">
        <f>Dat_02!B430</f>
        <v>45627</v>
      </c>
      <c r="D431" s="198"/>
      <c r="E431" s="200">
        <f>Dat_02!C430</f>
        <v>83.351727374948538</v>
      </c>
      <c r="F431" s="200">
        <f>Dat_02!D430</f>
        <v>104.34579689704225</v>
      </c>
      <c r="G431" s="200">
        <f>Dat_02!E430</f>
        <v>83.351727374948538</v>
      </c>
      <c r="I431" s="201">
        <f>Dat_02!G430</f>
        <v>0</v>
      </c>
      <c r="J431" s="207"/>
    </row>
    <row r="432" spans="2:10">
      <c r="B432" s="198"/>
      <c r="C432" s="199">
        <f>Dat_02!B431</f>
        <v>45628</v>
      </c>
      <c r="D432" s="198"/>
      <c r="E432" s="200">
        <f>Dat_02!C431</f>
        <v>89.505745218946672</v>
      </c>
      <c r="F432" s="200">
        <f>Dat_02!D431</f>
        <v>104.34579689704225</v>
      </c>
      <c r="G432" s="200">
        <f>Dat_02!E431</f>
        <v>89.505745218946672</v>
      </c>
      <c r="I432" s="201">
        <f>Dat_02!G431</f>
        <v>0</v>
      </c>
      <c r="J432" s="207"/>
    </row>
    <row r="433" spans="2:10">
      <c r="B433" s="198"/>
      <c r="C433" s="199">
        <f>Dat_02!B432</f>
        <v>45629</v>
      </c>
      <c r="D433" s="198"/>
      <c r="E433" s="200">
        <f>Dat_02!C432</f>
        <v>85.303495534948539</v>
      </c>
      <c r="F433" s="200">
        <f>Dat_02!D432</f>
        <v>104.34579689704225</v>
      </c>
      <c r="G433" s="200">
        <f>Dat_02!E432</f>
        <v>85.303495534948539</v>
      </c>
      <c r="I433" s="201">
        <f>Dat_02!G432</f>
        <v>0</v>
      </c>
      <c r="J433" s="207"/>
    </row>
    <row r="434" spans="2:10">
      <c r="B434" s="198"/>
      <c r="C434" s="199">
        <f>Dat_02!B433</f>
        <v>45630</v>
      </c>
      <c r="D434" s="198"/>
      <c r="E434" s="200">
        <f>Dat_02!C433</f>
        <v>79.086734727937156</v>
      </c>
      <c r="F434" s="200">
        <f>Dat_02!D433</f>
        <v>104.34579689704225</v>
      </c>
      <c r="G434" s="200">
        <f>Dat_02!E433</f>
        <v>79.086734727937156</v>
      </c>
      <c r="I434" s="201">
        <f>Dat_02!G433</f>
        <v>0</v>
      </c>
      <c r="J434" s="207"/>
    </row>
    <row r="435" spans="2:10">
      <c r="B435" s="198"/>
      <c r="C435" s="199">
        <f>Dat_02!B434</f>
        <v>45631</v>
      </c>
      <c r="D435" s="198"/>
      <c r="E435" s="200">
        <f>Dat_02!C434</f>
        <v>78.93060100793528</v>
      </c>
      <c r="F435" s="200">
        <f>Dat_02!D434</f>
        <v>104.34579689704225</v>
      </c>
      <c r="G435" s="200">
        <f>Dat_02!E434</f>
        <v>78.93060100793528</v>
      </c>
      <c r="I435" s="201">
        <f>Dat_02!G434</f>
        <v>0</v>
      </c>
      <c r="J435" s="207"/>
    </row>
    <row r="436" spans="2:10">
      <c r="B436" s="198"/>
      <c r="C436" s="199">
        <f>Dat_02!B435</f>
        <v>45632</v>
      </c>
      <c r="D436" s="198"/>
      <c r="E436" s="200">
        <f>Dat_02!C435</f>
        <v>64.088982263935293</v>
      </c>
      <c r="F436" s="200">
        <f>Dat_02!D435</f>
        <v>104.34579689704225</v>
      </c>
      <c r="G436" s="200">
        <f>Dat_02!E435</f>
        <v>64.088982263935293</v>
      </c>
      <c r="I436" s="201">
        <f>Dat_02!G435</f>
        <v>0</v>
      </c>
      <c r="J436" s="207"/>
    </row>
    <row r="437" spans="2:10">
      <c r="B437" s="198"/>
      <c r="C437" s="199">
        <f>Dat_02!B436</f>
        <v>45633</v>
      </c>
      <c r="D437" s="198"/>
      <c r="E437" s="200">
        <f>Dat_02!C436</f>
        <v>40.162962339937152</v>
      </c>
      <c r="F437" s="200">
        <f>Dat_02!D436</f>
        <v>104.34579689704225</v>
      </c>
      <c r="G437" s="200">
        <f>Dat_02!E436</f>
        <v>40.162962339937152</v>
      </c>
      <c r="I437" s="201">
        <f>Dat_02!G436</f>
        <v>0</v>
      </c>
      <c r="J437" s="207"/>
    </row>
    <row r="438" spans="2:10">
      <c r="B438" s="198"/>
      <c r="C438" s="199">
        <f>Dat_02!B437</f>
        <v>45634</v>
      </c>
      <c r="D438" s="198"/>
      <c r="E438" s="200">
        <f>Dat_02!C437</f>
        <v>38.804149971937157</v>
      </c>
      <c r="F438" s="200">
        <f>Dat_02!D437</f>
        <v>104.34579689704225</v>
      </c>
      <c r="G438" s="200">
        <f>Dat_02!E437</f>
        <v>38.804149971937157</v>
      </c>
      <c r="I438" s="201">
        <f>Dat_02!G437</f>
        <v>0</v>
      </c>
      <c r="J438" s="207"/>
    </row>
    <row r="439" spans="2:10">
      <c r="B439" s="198"/>
      <c r="C439" s="199">
        <f>Dat_02!B438</f>
        <v>45635</v>
      </c>
      <c r="D439" s="198"/>
      <c r="E439" s="200">
        <f>Dat_02!C438</f>
        <v>63.322006991937151</v>
      </c>
      <c r="F439" s="200">
        <f>Dat_02!D438</f>
        <v>104.34579689704225</v>
      </c>
      <c r="G439" s="200">
        <f>Dat_02!E438</f>
        <v>63.322006991937151</v>
      </c>
      <c r="I439" s="201">
        <f>Dat_02!G438</f>
        <v>0</v>
      </c>
      <c r="J439" s="207"/>
    </row>
    <row r="440" spans="2:10">
      <c r="B440" s="198"/>
      <c r="C440" s="199">
        <f>Dat_02!B439</f>
        <v>45636</v>
      </c>
      <c r="D440" s="198"/>
      <c r="E440" s="200">
        <f>Dat_02!C439</f>
        <v>102.49785781593529</v>
      </c>
      <c r="F440" s="200">
        <f>Dat_02!D439</f>
        <v>104.34579689704225</v>
      </c>
      <c r="G440" s="200">
        <f>Dat_02!E439</f>
        <v>102.49785781593529</v>
      </c>
      <c r="I440" s="201">
        <f>Dat_02!G439</f>
        <v>0</v>
      </c>
      <c r="J440" s="207"/>
    </row>
    <row r="441" spans="2:10">
      <c r="B441" s="198"/>
      <c r="C441" s="199">
        <f>Dat_02!B440</f>
        <v>45637</v>
      </c>
      <c r="D441" s="198"/>
      <c r="E441" s="200">
        <f>Dat_02!C440</f>
        <v>108.2293404624332</v>
      </c>
      <c r="F441" s="200">
        <f>Dat_02!D440</f>
        <v>104.34579689704225</v>
      </c>
      <c r="G441" s="200">
        <f>Dat_02!E440</f>
        <v>104.34579689704225</v>
      </c>
      <c r="I441" s="201">
        <f>Dat_02!G440</f>
        <v>0</v>
      </c>
      <c r="J441" s="207"/>
    </row>
    <row r="442" spans="2:10">
      <c r="B442" s="198"/>
      <c r="C442" s="199">
        <f>Dat_02!B441</f>
        <v>45638</v>
      </c>
      <c r="D442" s="198"/>
      <c r="E442" s="200">
        <f>Dat_02!C441</f>
        <v>113.80277490243134</v>
      </c>
      <c r="F442" s="200">
        <f>Dat_02!D441</f>
        <v>104.34579689704225</v>
      </c>
      <c r="G442" s="200">
        <f>Dat_02!E441</f>
        <v>104.34579689704225</v>
      </c>
      <c r="I442" s="201">
        <f>Dat_02!G441</f>
        <v>0</v>
      </c>
      <c r="J442" s="207"/>
    </row>
    <row r="443" spans="2:10">
      <c r="B443" s="198"/>
      <c r="C443" s="199">
        <f>Dat_02!B442</f>
        <v>45639</v>
      </c>
      <c r="D443" s="198"/>
      <c r="E443" s="200">
        <f>Dat_02!C442</f>
        <v>110.82258629043135</v>
      </c>
      <c r="F443" s="200">
        <f>Dat_02!D442</f>
        <v>104.34579689704225</v>
      </c>
      <c r="G443" s="200">
        <f>Dat_02!E442</f>
        <v>104.34579689704225</v>
      </c>
      <c r="I443" s="201">
        <f>Dat_02!G442</f>
        <v>0</v>
      </c>
      <c r="J443" s="207"/>
    </row>
    <row r="444" spans="2:10">
      <c r="B444" s="198"/>
      <c r="C444" s="199">
        <f>Dat_02!B443</f>
        <v>45640</v>
      </c>
      <c r="D444" s="198"/>
      <c r="E444" s="200">
        <f>Dat_02!C443</f>
        <v>80.227083350431329</v>
      </c>
      <c r="F444" s="200">
        <f>Dat_02!D443</f>
        <v>104.34579689704225</v>
      </c>
      <c r="G444" s="200">
        <f>Dat_02!E443</f>
        <v>80.227083350431329</v>
      </c>
      <c r="I444" s="201">
        <f>Dat_02!G443</f>
        <v>0</v>
      </c>
      <c r="J444" s="207"/>
    </row>
    <row r="445" spans="2:10">
      <c r="B445" s="198"/>
      <c r="C445" s="199">
        <f>Dat_02!B444</f>
        <v>45641</v>
      </c>
      <c r="D445" s="198"/>
      <c r="E445" s="200">
        <f>Dat_02!C444</f>
        <v>39.7176590744332</v>
      </c>
      <c r="F445" s="200">
        <f>Dat_02!D444</f>
        <v>104.34579689704225</v>
      </c>
      <c r="G445" s="200">
        <f>Dat_02!E444</f>
        <v>39.7176590744332</v>
      </c>
      <c r="I445" s="201">
        <f>Dat_02!G444</f>
        <v>104.34579689704225</v>
      </c>
      <c r="J445" s="207"/>
    </row>
    <row r="446" spans="2:10">
      <c r="B446" s="198"/>
      <c r="C446" s="199">
        <f>Dat_02!B445</f>
        <v>45642</v>
      </c>
      <c r="D446" s="198"/>
      <c r="E446" s="200">
        <f>Dat_02!C445</f>
        <v>64.088950914433198</v>
      </c>
      <c r="F446" s="200">
        <f>Dat_02!D445</f>
        <v>104.34579689704225</v>
      </c>
      <c r="G446" s="200">
        <f>Dat_02!E445</f>
        <v>64.088950914433198</v>
      </c>
      <c r="I446" s="201">
        <f>Dat_02!G445</f>
        <v>0</v>
      </c>
      <c r="J446" s="207"/>
    </row>
    <row r="447" spans="2:10">
      <c r="B447" s="198"/>
      <c r="C447" s="199">
        <f>Dat_02!B446</f>
        <v>45643</v>
      </c>
      <c r="D447" s="198"/>
      <c r="E447" s="200">
        <f>Dat_02!C446</f>
        <v>70.47621098243134</v>
      </c>
      <c r="F447" s="200">
        <f>Dat_02!D446</f>
        <v>104.34579689704225</v>
      </c>
      <c r="G447" s="200">
        <f>Dat_02!E446</f>
        <v>70.47621098243134</v>
      </c>
      <c r="I447" s="201">
        <f>Dat_02!G446</f>
        <v>0</v>
      </c>
      <c r="J447" s="207"/>
    </row>
    <row r="448" spans="2:10">
      <c r="B448" s="198"/>
      <c r="C448" s="199">
        <f>Dat_02!B447</f>
        <v>45644</v>
      </c>
      <c r="D448" s="198"/>
      <c r="E448" s="200">
        <f>Dat_02!C447</f>
        <v>92.598211698818446</v>
      </c>
      <c r="F448" s="200">
        <f>Dat_02!D447</f>
        <v>104.34579689704225</v>
      </c>
      <c r="G448" s="200">
        <f>Dat_02!E447</f>
        <v>92.598211698818446</v>
      </c>
      <c r="I448" s="201">
        <f>Dat_02!G447</f>
        <v>0</v>
      </c>
      <c r="J448" s="207"/>
    </row>
    <row r="449" spans="2:10">
      <c r="B449" s="198"/>
      <c r="C449" s="199">
        <f>Dat_02!B448</f>
        <v>45645</v>
      </c>
      <c r="D449" s="198"/>
      <c r="E449" s="200">
        <f>Dat_02!C448</f>
        <v>75.712627666816587</v>
      </c>
      <c r="F449" s="200">
        <f>Dat_02!D448</f>
        <v>104.34579689704225</v>
      </c>
      <c r="G449" s="200">
        <f>Dat_02!E448</f>
        <v>75.712627666816587</v>
      </c>
      <c r="I449" s="201">
        <f>Dat_02!G448</f>
        <v>0</v>
      </c>
      <c r="J449" s="207"/>
    </row>
    <row r="450" spans="2:10">
      <c r="B450" s="198"/>
      <c r="C450" s="199">
        <f>Dat_02!B449</f>
        <v>45646</v>
      </c>
      <c r="D450" s="198"/>
      <c r="E450" s="200">
        <f>Dat_02!C449</f>
        <v>92.45569500281843</v>
      </c>
      <c r="F450" s="200">
        <f>Dat_02!D449</f>
        <v>104.34579689704225</v>
      </c>
      <c r="G450" s="200">
        <f>Dat_02!E449</f>
        <v>92.45569500281843</v>
      </c>
      <c r="I450" s="201">
        <f>Dat_02!G449</f>
        <v>0</v>
      </c>
      <c r="J450" s="207"/>
    </row>
    <row r="451" spans="2:10">
      <c r="B451" s="198"/>
      <c r="C451" s="199">
        <f>Dat_02!B450</f>
        <v>45647</v>
      </c>
      <c r="D451" s="198"/>
      <c r="E451" s="200">
        <f>Dat_02!C450</f>
        <v>78.206707970816581</v>
      </c>
      <c r="F451" s="200">
        <f>Dat_02!D450</f>
        <v>104.34579689704225</v>
      </c>
      <c r="G451" s="200">
        <f>Dat_02!E450</f>
        <v>78.206707970816581</v>
      </c>
      <c r="I451" s="201">
        <f>Dat_02!G450</f>
        <v>0</v>
      </c>
      <c r="J451" s="207"/>
    </row>
    <row r="452" spans="2:10">
      <c r="B452" s="198"/>
      <c r="C452" s="199">
        <f>Dat_02!B451</f>
        <v>45648</v>
      </c>
      <c r="D452" s="198"/>
      <c r="E452" s="200">
        <f>Dat_02!C451</f>
        <v>61.799051530818438</v>
      </c>
      <c r="F452" s="200">
        <f>Dat_02!D451</f>
        <v>104.34579689704225</v>
      </c>
      <c r="G452" s="200">
        <f>Dat_02!E451</f>
        <v>61.799051530818438</v>
      </c>
      <c r="I452" s="201">
        <f>Dat_02!G451</f>
        <v>0</v>
      </c>
      <c r="J452" s="207"/>
    </row>
    <row r="453" spans="2:10">
      <c r="B453" s="198"/>
      <c r="C453" s="199">
        <f>Dat_02!B452</f>
        <v>45649</v>
      </c>
      <c r="D453" s="198"/>
      <c r="E453" s="200">
        <f>Dat_02!C452</f>
        <v>57.386626711818444</v>
      </c>
      <c r="F453" s="200">
        <f>Dat_02!D452</f>
        <v>104.34579689704225</v>
      </c>
      <c r="G453" s="200">
        <f>Dat_02!E452</f>
        <v>57.386626711818444</v>
      </c>
      <c r="I453" s="201">
        <f>Dat_02!G452</f>
        <v>0</v>
      </c>
      <c r="J453" s="207"/>
    </row>
    <row r="454" spans="2:10">
      <c r="B454" s="198"/>
      <c r="C454" s="199">
        <f>Dat_02!B453</f>
        <v>45650</v>
      </c>
      <c r="D454" s="198"/>
      <c r="E454" s="200">
        <f>Dat_02!C453</f>
        <v>52.449582449816582</v>
      </c>
      <c r="F454" s="200">
        <f>Dat_02!D453</f>
        <v>104.34579689704225</v>
      </c>
      <c r="G454" s="200">
        <f>Dat_02!E453</f>
        <v>52.449582449816582</v>
      </c>
      <c r="I454" s="201">
        <f>Dat_02!G453</f>
        <v>0</v>
      </c>
      <c r="J454" s="207"/>
    </row>
    <row r="455" spans="2:10">
      <c r="B455" s="198"/>
      <c r="C455" s="199">
        <f>Dat_02!B454</f>
        <v>45651</v>
      </c>
      <c r="D455" s="198"/>
      <c r="E455" s="200">
        <f>Dat_02!C454</f>
        <v>61.08341566762121</v>
      </c>
      <c r="F455" s="200">
        <f>Dat_02!D454</f>
        <v>104.34579689704225</v>
      </c>
      <c r="G455" s="200">
        <f>Dat_02!E454</f>
        <v>61.08341566762121</v>
      </c>
      <c r="I455" s="201">
        <f>Dat_02!G454</f>
        <v>0</v>
      </c>
      <c r="J455" s="207"/>
    </row>
    <row r="456" spans="2:10">
      <c r="B456" s="198"/>
      <c r="C456" s="199">
        <f>Dat_02!B455</f>
        <v>45652</v>
      </c>
      <c r="D456" s="198"/>
      <c r="E456" s="200">
        <f>Dat_02!C455</f>
        <v>89.46091912362121</v>
      </c>
      <c r="F456" s="200">
        <f>Dat_02!D455</f>
        <v>104.34579689704225</v>
      </c>
      <c r="G456" s="200">
        <f>Dat_02!E455</f>
        <v>89.46091912362121</v>
      </c>
      <c r="I456" s="201">
        <f>Dat_02!G455</f>
        <v>0</v>
      </c>
      <c r="J456" s="207"/>
    </row>
    <row r="457" spans="2:10">
      <c r="B457" s="198"/>
      <c r="C457" s="199">
        <f>Dat_02!B456</f>
        <v>45653</v>
      </c>
      <c r="D457" s="198"/>
      <c r="E457" s="200">
        <f>Dat_02!C456</f>
        <v>90.775996751621207</v>
      </c>
      <c r="F457" s="200">
        <f>Dat_02!D456</f>
        <v>104.34579689704225</v>
      </c>
      <c r="G457" s="200">
        <f>Dat_02!E456</f>
        <v>90.775996751621207</v>
      </c>
      <c r="I457" s="201">
        <f>Dat_02!G456</f>
        <v>0</v>
      </c>
      <c r="J457" s="207"/>
    </row>
    <row r="458" spans="2:10">
      <c r="B458" s="198"/>
      <c r="C458" s="199">
        <f>Dat_02!B457</f>
        <v>45654</v>
      </c>
      <c r="D458" s="198"/>
      <c r="E458" s="200">
        <f>Dat_02!C457</f>
        <v>93.651292132621208</v>
      </c>
      <c r="F458" s="200">
        <f>Dat_02!D457</f>
        <v>104.34579689704225</v>
      </c>
      <c r="G458" s="200">
        <f>Dat_02!E457</f>
        <v>93.651292132621208</v>
      </c>
      <c r="I458" s="201">
        <f>Dat_02!G457</f>
        <v>0</v>
      </c>
      <c r="J458" s="207"/>
    </row>
    <row r="459" spans="2:10">
      <c r="B459" s="198"/>
      <c r="C459" s="199">
        <f>Dat_02!B458</f>
        <v>45655</v>
      </c>
      <c r="D459" s="198"/>
      <c r="E459" s="200">
        <f>Dat_02!C458</f>
        <v>85.887283035621209</v>
      </c>
      <c r="F459" s="200">
        <f>Dat_02!D458</f>
        <v>104.34579689704225</v>
      </c>
      <c r="G459" s="200">
        <f>Dat_02!E458</f>
        <v>85.887283035621209</v>
      </c>
      <c r="I459" s="201">
        <f>Dat_02!G458</f>
        <v>0</v>
      </c>
      <c r="J459" s="207"/>
    </row>
    <row r="460" spans="2:10">
      <c r="B460" s="198"/>
      <c r="C460" s="199">
        <f>Dat_02!B459</f>
        <v>45656</v>
      </c>
      <c r="D460" s="198"/>
      <c r="E460" s="200">
        <f>Dat_02!C459</f>
        <v>98.553430639621212</v>
      </c>
      <c r="F460" s="200">
        <f>Dat_02!D459</f>
        <v>104.34579689704225</v>
      </c>
      <c r="G460" s="200">
        <f>Dat_02!E459</f>
        <v>98.553430639621212</v>
      </c>
      <c r="I460" s="201">
        <f>Dat_02!G459</f>
        <v>0</v>
      </c>
      <c r="J460" s="207"/>
    </row>
    <row r="461" spans="2:10">
      <c r="B461" s="198"/>
      <c r="C461" s="199">
        <f>Dat_02!B460</f>
        <v>45657</v>
      </c>
      <c r="D461" s="198"/>
      <c r="E461" s="200">
        <f>Dat_02!C460</f>
        <v>93.224963215623077</v>
      </c>
      <c r="F461" s="200">
        <f>Dat_02!D460</f>
        <v>104.34579689704225</v>
      </c>
      <c r="G461" s="200">
        <f>Dat_02!E460</f>
        <v>93.224963215623077</v>
      </c>
      <c r="I461" s="201">
        <f>Dat_02!G460</f>
        <v>0</v>
      </c>
      <c r="J461" s="207"/>
    </row>
    <row r="462" spans="2:10">
      <c r="B462" s="198"/>
      <c r="C462" s="199">
        <f>Dat_02!B461</f>
        <v>45658</v>
      </c>
      <c r="D462" s="198"/>
      <c r="E462" s="200">
        <f>Dat_02!C461</f>
        <v>53.764441277254129</v>
      </c>
      <c r="F462" s="200">
        <f>Dat_02!D461</f>
        <v>119.24912559323448</v>
      </c>
      <c r="G462" s="200">
        <f>Dat_02!E461</f>
        <v>53.764441277254129</v>
      </c>
      <c r="I462" s="201">
        <f>Dat_02!G461</f>
        <v>0</v>
      </c>
      <c r="J462" s="207"/>
    </row>
    <row r="463" spans="2:10">
      <c r="B463" s="198"/>
      <c r="C463" s="199">
        <f>Dat_02!B462</f>
        <v>45659</v>
      </c>
      <c r="D463" s="198"/>
      <c r="E463" s="200">
        <f>Dat_02!C462</f>
        <v>69.234749627254118</v>
      </c>
      <c r="F463" s="200">
        <f>Dat_02!D462</f>
        <v>119.24912559323448</v>
      </c>
      <c r="G463" s="200">
        <f>Dat_02!E462</f>
        <v>69.234749627254118</v>
      </c>
      <c r="I463" s="201">
        <f>Dat_02!G462</f>
        <v>0</v>
      </c>
      <c r="J463" s="207"/>
    </row>
    <row r="464" spans="2:10">
      <c r="B464" s="198"/>
      <c r="C464" s="199">
        <f>Dat_02!B463</f>
        <v>45660</v>
      </c>
      <c r="D464" s="198"/>
      <c r="E464" s="200">
        <f>Dat_02!C463</f>
        <v>66.199535153254118</v>
      </c>
      <c r="F464" s="200">
        <f>Dat_02!D463</f>
        <v>119.24912559323448</v>
      </c>
      <c r="G464" s="200">
        <f>Dat_02!E463</f>
        <v>66.199535153254118</v>
      </c>
      <c r="I464" s="201">
        <f>Dat_02!G463</f>
        <v>0</v>
      </c>
      <c r="J464" s="207"/>
    </row>
    <row r="465" spans="2:10">
      <c r="B465" s="198"/>
      <c r="C465" s="199">
        <f>Dat_02!B464</f>
        <v>45661</v>
      </c>
      <c r="D465" s="198"/>
      <c r="E465" s="200">
        <f>Dat_02!C464</f>
        <v>75.288390178257842</v>
      </c>
      <c r="F465" s="200">
        <f>Dat_02!D464</f>
        <v>119.24912559323448</v>
      </c>
      <c r="G465" s="200">
        <f>Dat_02!E464</f>
        <v>75.288390178257842</v>
      </c>
      <c r="I465" s="201">
        <f>Dat_02!G464</f>
        <v>0</v>
      </c>
      <c r="J465" s="207"/>
    </row>
    <row r="466" spans="2:10">
      <c r="B466" s="198"/>
      <c r="C466" s="199">
        <f>Dat_02!B465</f>
        <v>45662</v>
      </c>
      <c r="D466" s="198"/>
      <c r="E466" s="200">
        <f>Dat_02!C465</f>
        <v>41.450572590254126</v>
      </c>
      <c r="F466" s="200">
        <f>Dat_02!D465</f>
        <v>119.24912559323448</v>
      </c>
      <c r="G466" s="200">
        <f>Dat_02!E465</f>
        <v>41.450572590254126</v>
      </c>
      <c r="I466" s="201">
        <f>Dat_02!G465</f>
        <v>0</v>
      </c>
      <c r="J466" s="207"/>
    </row>
    <row r="467" spans="2:10">
      <c r="B467" s="198"/>
      <c r="C467" s="199">
        <f>Dat_02!B466</f>
        <v>45663</v>
      </c>
      <c r="D467" s="198"/>
      <c r="E467" s="200">
        <f>Dat_02!C466</f>
        <v>49.20759138225413</v>
      </c>
      <c r="F467" s="200">
        <f>Dat_02!D466</f>
        <v>119.24912559323448</v>
      </c>
      <c r="G467" s="200">
        <f>Dat_02!E466</f>
        <v>49.20759138225413</v>
      </c>
      <c r="I467" s="201">
        <f>Dat_02!G466</f>
        <v>0</v>
      </c>
      <c r="J467" s="207"/>
    </row>
    <row r="468" spans="2:10">
      <c r="B468" s="198"/>
      <c r="C468" s="199">
        <f>Dat_02!B467</f>
        <v>45664</v>
      </c>
      <c r="D468" s="198"/>
      <c r="E468" s="200">
        <f>Dat_02!C467</f>
        <v>67.076790990255986</v>
      </c>
      <c r="F468" s="200">
        <f>Dat_02!D467</f>
        <v>119.24912559323448</v>
      </c>
      <c r="G468" s="200">
        <f>Dat_02!E467</f>
        <v>67.076790990255986</v>
      </c>
      <c r="I468" s="201">
        <f>Dat_02!G467</f>
        <v>0</v>
      </c>
      <c r="J468" s="207"/>
    </row>
    <row r="469" spans="2:10">
      <c r="B469" s="198"/>
      <c r="C469" s="199">
        <f>Dat_02!B468</f>
        <v>45665</v>
      </c>
      <c r="D469" s="198"/>
      <c r="E469" s="200">
        <f>Dat_02!C468</f>
        <v>136.52447012135673</v>
      </c>
      <c r="F469" s="200">
        <f>Dat_02!D468</f>
        <v>119.24912559323448</v>
      </c>
      <c r="G469" s="200">
        <f>Dat_02!E468</f>
        <v>119.24912559323448</v>
      </c>
      <c r="I469" s="201">
        <f>Dat_02!G468</f>
        <v>0</v>
      </c>
      <c r="J469" s="207"/>
    </row>
    <row r="470" spans="2:10">
      <c r="B470" s="198"/>
      <c r="C470" s="199">
        <f>Dat_02!B469</f>
        <v>45666</v>
      </c>
      <c r="D470" s="198"/>
      <c r="E470" s="200">
        <f>Dat_02!C469</f>
        <v>137.15978352435482</v>
      </c>
      <c r="F470" s="200">
        <f>Dat_02!D469</f>
        <v>119.24912559323448</v>
      </c>
      <c r="G470" s="200">
        <f>Dat_02!E469</f>
        <v>119.24912559323448</v>
      </c>
      <c r="I470" s="201">
        <f>Dat_02!G469</f>
        <v>0</v>
      </c>
      <c r="J470" s="207"/>
    </row>
    <row r="471" spans="2:10">
      <c r="B471" s="198"/>
      <c r="C471" s="199">
        <f>Dat_02!B470</f>
        <v>45667</v>
      </c>
      <c r="D471" s="198"/>
      <c r="E471" s="200">
        <f>Dat_02!C470</f>
        <v>160.75150758735668</v>
      </c>
      <c r="F471" s="200">
        <f>Dat_02!D470</f>
        <v>119.24912559323448</v>
      </c>
      <c r="G471" s="200">
        <f>Dat_02!E470</f>
        <v>119.24912559323448</v>
      </c>
      <c r="I471" s="201">
        <f>Dat_02!G470</f>
        <v>0</v>
      </c>
      <c r="J471" s="207"/>
    </row>
    <row r="472" spans="2:10">
      <c r="B472" s="198"/>
      <c r="C472" s="199">
        <f>Dat_02!B471</f>
        <v>45668</v>
      </c>
      <c r="D472" s="198"/>
      <c r="E472" s="200">
        <f>Dat_02!C471</f>
        <v>126.24398214435671</v>
      </c>
      <c r="F472" s="200">
        <f>Dat_02!D471</f>
        <v>119.24912559323448</v>
      </c>
      <c r="G472" s="200">
        <f>Dat_02!E471</f>
        <v>119.24912559323448</v>
      </c>
      <c r="I472" s="201">
        <f>Dat_02!G471</f>
        <v>0</v>
      </c>
      <c r="J472" s="207"/>
    </row>
    <row r="473" spans="2:10">
      <c r="B473" s="198"/>
      <c r="C473" s="199">
        <f>Dat_02!B472</f>
        <v>45669</v>
      </c>
      <c r="D473" s="198"/>
      <c r="E473" s="200">
        <f>Dat_02!C472</f>
        <v>111.39764761635669</v>
      </c>
      <c r="F473" s="200">
        <f>Dat_02!D472</f>
        <v>119.24912559323448</v>
      </c>
      <c r="G473" s="200">
        <f>Dat_02!E472</f>
        <v>111.39764761635669</v>
      </c>
      <c r="I473" s="201">
        <f>Dat_02!G472</f>
        <v>0</v>
      </c>
      <c r="J473" s="207"/>
    </row>
    <row r="474" spans="2:10">
      <c r="B474" s="198"/>
      <c r="C474" s="199">
        <f>Dat_02!B473</f>
        <v>45670</v>
      </c>
      <c r="D474" s="198"/>
      <c r="E474" s="200">
        <f>Dat_02!C473</f>
        <v>151.45372460435669</v>
      </c>
      <c r="F474" s="200">
        <f>Dat_02!D473</f>
        <v>119.24912559323448</v>
      </c>
      <c r="G474" s="200">
        <f>Dat_02!E473</f>
        <v>119.24912559323448</v>
      </c>
      <c r="I474" s="201">
        <f>Dat_02!G473</f>
        <v>0</v>
      </c>
      <c r="J474" s="207"/>
    </row>
    <row r="475" spans="2:10">
      <c r="B475" s="198"/>
      <c r="C475" s="199">
        <f>Dat_02!B474</f>
        <v>45671</v>
      </c>
      <c r="D475" s="198"/>
      <c r="E475" s="200">
        <f>Dat_02!C474</f>
        <v>166.9272434003567</v>
      </c>
      <c r="F475" s="200">
        <f>Dat_02!D474</f>
        <v>119.24912559323448</v>
      </c>
      <c r="G475" s="200">
        <f>Dat_02!E474</f>
        <v>119.24912559323448</v>
      </c>
      <c r="I475" s="201">
        <f>Dat_02!G474</f>
        <v>0</v>
      </c>
      <c r="J475" s="207"/>
    </row>
    <row r="476" spans="2:10">
      <c r="B476" s="198"/>
      <c r="C476" s="199">
        <f>Dat_02!B475</f>
        <v>45672</v>
      </c>
      <c r="D476" s="198"/>
      <c r="E476" s="200">
        <f>Dat_02!C475</f>
        <v>102.28984713263283</v>
      </c>
      <c r="F476" s="200">
        <f>Dat_02!D475</f>
        <v>119.24912559323448</v>
      </c>
      <c r="G476" s="200">
        <f>Dat_02!E475</f>
        <v>102.28984713263283</v>
      </c>
      <c r="I476" s="201">
        <f>Dat_02!G475</f>
        <v>119.24912559323448</v>
      </c>
      <c r="J476" s="207"/>
    </row>
    <row r="477" spans="2:10">
      <c r="B477" s="198"/>
      <c r="C477" s="199">
        <f>Dat_02!B476</f>
        <v>45673</v>
      </c>
      <c r="D477" s="198"/>
      <c r="E477" s="200">
        <f>Dat_02!C476</f>
        <v>105.35180540863281</v>
      </c>
      <c r="F477" s="200">
        <f>Dat_02!D476</f>
        <v>119.24912559323448</v>
      </c>
      <c r="G477" s="200">
        <f>Dat_02!E476</f>
        <v>105.35180540863281</v>
      </c>
      <c r="I477" s="201">
        <f>Dat_02!G476</f>
        <v>0</v>
      </c>
      <c r="J477" s="207"/>
    </row>
    <row r="478" spans="2:10">
      <c r="B478" s="198"/>
      <c r="C478" s="199">
        <f>Dat_02!B477</f>
        <v>45674</v>
      </c>
      <c r="D478" s="198"/>
      <c r="E478" s="200">
        <f>Dat_02!C477</f>
        <v>109.97886628463283</v>
      </c>
      <c r="F478" s="200">
        <f>Dat_02!D477</f>
        <v>119.24912559323448</v>
      </c>
      <c r="G478" s="200">
        <f>Dat_02!E477</f>
        <v>109.97886628463283</v>
      </c>
      <c r="I478" s="201">
        <f>Dat_02!G477</f>
        <v>0</v>
      </c>
      <c r="J478" s="207"/>
    </row>
    <row r="479" spans="2:10">
      <c r="B479" s="198"/>
      <c r="C479" s="199">
        <f>Dat_02!B478</f>
        <v>45675</v>
      </c>
      <c r="D479" s="198"/>
      <c r="E479" s="200">
        <f>Dat_02!C478</f>
        <v>105.25200464463283</v>
      </c>
      <c r="F479" s="200">
        <f>Dat_02!D478</f>
        <v>119.24912559323448</v>
      </c>
      <c r="G479" s="200">
        <f>Dat_02!E478</f>
        <v>105.25200464463283</v>
      </c>
      <c r="I479" s="201">
        <f>Dat_02!G478</f>
        <v>0</v>
      </c>
      <c r="J479" s="207"/>
    </row>
    <row r="480" spans="2:10">
      <c r="B480" s="198"/>
      <c r="C480" s="199">
        <f>Dat_02!B479</f>
        <v>45676</v>
      </c>
      <c r="D480" s="198"/>
      <c r="E480" s="200">
        <f>Dat_02!C479</f>
        <v>91.644863272630957</v>
      </c>
      <c r="F480" s="200">
        <f>Dat_02!D479</f>
        <v>119.24912559323448</v>
      </c>
      <c r="G480" s="200">
        <f>Dat_02!E479</f>
        <v>91.644863272630957</v>
      </c>
      <c r="I480" s="201">
        <f>Dat_02!G479</f>
        <v>0</v>
      </c>
      <c r="J480" s="207"/>
    </row>
    <row r="481" spans="2:10">
      <c r="B481" s="198"/>
      <c r="C481" s="199">
        <f>Dat_02!B480</f>
        <v>45677</v>
      </c>
      <c r="D481" s="198"/>
      <c r="E481" s="200">
        <f>Dat_02!C480</f>
        <v>106.65338957663282</v>
      </c>
      <c r="F481" s="200">
        <f>Dat_02!D480</f>
        <v>119.24912559323448</v>
      </c>
      <c r="G481" s="200">
        <f>Dat_02!E480</f>
        <v>106.65338957663282</v>
      </c>
      <c r="I481" s="201">
        <f>Dat_02!G480</f>
        <v>0</v>
      </c>
      <c r="J481" s="207"/>
    </row>
    <row r="482" spans="2:10">
      <c r="B482" s="198"/>
      <c r="C482" s="199">
        <f>Dat_02!B481</f>
        <v>45678</v>
      </c>
      <c r="D482" s="198"/>
      <c r="E482" s="200">
        <f>Dat_02!C481</f>
        <v>91.819980448634681</v>
      </c>
      <c r="F482" s="200">
        <f>Dat_02!D481</f>
        <v>119.24912559323448</v>
      </c>
      <c r="G482" s="200">
        <f>Dat_02!E481</f>
        <v>91.819980448634681</v>
      </c>
      <c r="I482" s="201">
        <f>Dat_02!G481</f>
        <v>0</v>
      </c>
      <c r="J482" s="207"/>
    </row>
    <row r="483" spans="2:10">
      <c r="B483" s="198"/>
      <c r="C483" s="199">
        <f>Dat_02!B482</f>
        <v>45679</v>
      </c>
      <c r="D483" s="198"/>
      <c r="E483" s="200">
        <f>Dat_02!C482</f>
        <v>168.19282105444529</v>
      </c>
      <c r="F483" s="200">
        <f>Dat_02!D482</f>
        <v>119.24912559323448</v>
      </c>
      <c r="G483" s="200">
        <f>Dat_02!E482</f>
        <v>119.24912559323448</v>
      </c>
      <c r="I483" s="201">
        <f>Dat_02!G482</f>
        <v>0</v>
      </c>
      <c r="J483" s="207"/>
    </row>
    <row r="484" spans="2:10">
      <c r="B484" s="198"/>
      <c r="C484" s="199">
        <f>Dat_02!B483</f>
        <v>45680</v>
      </c>
      <c r="D484" s="198"/>
      <c r="E484" s="200">
        <f>Dat_02!C483</f>
        <v>178.56540373044342</v>
      </c>
      <c r="F484" s="200">
        <f>Dat_02!D483</f>
        <v>119.24912559323448</v>
      </c>
      <c r="G484" s="200">
        <f>Dat_02!E483</f>
        <v>119.24912559323448</v>
      </c>
      <c r="I484" s="201">
        <f>Dat_02!G483</f>
        <v>0</v>
      </c>
      <c r="J484" s="207"/>
    </row>
    <row r="485" spans="2:10">
      <c r="B485" s="198"/>
      <c r="C485" s="199">
        <f>Dat_02!B484</f>
        <v>45681</v>
      </c>
      <c r="D485" s="198"/>
      <c r="E485" s="200">
        <f>Dat_02!C484</f>
        <v>159.96776198644716</v>
      </c>
      <c r="F485" s="200">
        <f>Dat_02!D484</f>
        <v>119.24912559323448</v>
      </c>
      <c r="G485" s="200">
        <f>Dat_02!E484</f>
        <v>119.24912559323448</v>
      </c>
      <c r="I485" s="201">
        <f>Dat_02!G484</f>
        <v>0</v>
      </c>
      <c r="J485" s="207"/>
    </row>
    <row r="486" spans="2:10">
      <c r="B486" s="198"/>
      <c r="C486" s="199">
        <f>Dat_02!B485</f>
        <v>45682</v>
      </c>
      <c r="D486" s="198"/>
      <c r="E486" s="200">
        <f>Dat_02!C485</f>
        <v>138.24897072644342</v>
      </c>
      <c r="F486" s="200">
        <f>Dat_02!D485</f>
        <v>119.24912559323448</v>
      </c>
      <c r="G486" s="200">
        <f>Dat_02!E485</f>
        <v>119.24912559323448</v>
      </c>
      <c r="I486" s="201">
        <f>Dat_02!G485</f>
        <v>0</v>
      </c>
      <c r="J486" s="207"/>
    </row>
    <row r="487" spans="2:10">
      <c r="B487" s="198"/>
      <c r="C487" s="199">
        <f>Dat_02!B486</f>
        <v>45683</v>
      </c>
      <c r="D487" s="198"/>
      <c r="E487" s="200">
        <f>Dat_02!C486</f>
        <v>126.93350439844528</v>
      </c>
      <c r="F487" s="200">
        <f>Dat_02!D486</f>
        <v>119.24912559323448</v>
      </c>
      <c r="G487" s="200">
        <f>Dat_02!E486</f>
        <v>119.24912559323448</v>
      </c>
      <c r="I487" s="201">
        <f>Dat_02!G486</f>
        <v>0</v>
      </c>
      <c r="J487" s="207"/>
    </row>
    <row r="488" spans="2:10">
      <c r="B488" s="198"/>
      <c r="C488" s="199">
        <f>Dat_02!B487</f>
        <v>45684</v>
      </c>
      <c r="D488" s="198"/>
      <c r="E488" s="200">
        <f>Dat_02!C487</f>
        <v>133.60649396244344</v>
      </c>
      <c r="F488" s="200">
        <f>Dat_02!D487</f>
        <v>119.24912559323448</v>
      </c>
      <c r="G488" s="200">
        <f>Dat_02!E487</f>
        <v>119.24912559323448</v>
      </c>
      <c r="I488" s="201">
        <f>Dat_02!G487</f>
        <v>0</v>
      </c>
      <c r="J488" s="207"/>
    </row>
    <row r="489" spans="2:10">
      <c r="B489" s="198"/>
      <c r="C489" s="199">
        <f>Dat_02!B488</f>
        <v>45685</v>
      </c>
      <c r="D489" s="198"/>
      <c r="E489" s="200">
        <f>Dat_02!C488</f>
        <v>163.06880287044345</v>
      </c>
      <c r="F489" s="200">
        <f>Dat_02!D488</f>
        <v>119.24912559323448</v>
      </c>
      <c r="G489" s="200">
        <f>Dat_02!E488</f>
        <v>119.24912559323448</v>
      </c>
      <c r="I489" s="201">
        <f>Dat_02!G488</f>
        <v>0</v>
      </c>
      <c r="J489" s="207"/>
    </row>
    <row r="490" spans="2:10">
      <c r="B490" s="198"/>
      <c r="C490" s="199">
        <f>Dat_02!B489</f>
        <v>45686</v>
      </c>
      <c r="D490" s="198"/>
      <c r="E490" s="200">
        <f>Dat_02!C489</f>
        <v>294.44144330035601</v>
      </c>
      <c r="F490" s="200">
        <f>Dat_02!D489</f>
        <v>119.24912559323448</v>
      </c>
      <c r="G490" s="200">
        <f>Dat_02!E489</f>
        <v>119.24912559323448</v>
      </c>
      <c r="I490" s="201">
        <f>Dat_02!G489</f>
        <v>0</v>
      </c>
      <c r="J490" s="207"/>
    </row>
    <row r="491" spans="2:10">
      <c r="B491" s="198"/>
      <c r="C491" s="199">
        <f>Dat_02!B490</f>
        <v>45687</v>
      </c>
      <c r="D491" s="198"/>
      <c r="E491" s="200">
        <f>Dat_02!C490</f>
        <v>284.45562372035045</v>
      </c>
      <c r="F491" s="200">
        <f>Dat_02!D490</f>
        <v>119.24912559323448</v>
      </c>
      <c r="G491" s="200">
        <f>Dat_02!E490</f>
        <v>119.24912559323448</v>
      </c>
      <c r="I491" s="201">
        <f>Dat_02!G490</f>
        <v>0</v>
      </c>
      <c r="J491" s="207"/>
    </row>
    <row r="492" spans="2:10">
      <c r="B492" s="198"/>
      <c r="C492" s="199">
        <f>Dat_02!B491</f>
        <v>45688</v>
      </c>
      <c r="D492" s="198"/>
      <c r="E492" s="200">
        <f>Dat_02!C491</f>
        <v>315.41940095635044</v>
      </c>
      <c r="F492" s="200">
        <f>Dat_02!D491</f>
        <v>119.24912559323448</v>
      </c>
      <c r="G492" s="200">
        <f>Dat_02!E491</f>
        <v>119.24912559323448</v>
      </c>
      <c r="I492" s="201">
        <f>Dat_02!G491</f>
        <v>0</v>
      </c>
      <c r="J492" s="207"/>
    </row>
    <row r="493" spans="2:10">
      <c r="B493" s="198"/>
      <c r="C493" s="199">
        <f>Dat_02!B492</f>
        <v>45689</v>
      </c>
      <c r="D493" s="198"/>
      <c r="E493" s="200">
        <f>Dat_02!C492</f>
        <v>307.08398144835604</v>
      </c>
      <c r="F493" s="200">
        <f>Dat_02!D492</f>
        <v>124.45770390135006</v>
      </c>
      <c r="G493" s="200">
        <f>Dat_02!E492</f>
        <v>124.45770390135006</v>
      </c>
      <c r="I493" s="201">
        <f>Dat_02!G492</f>
        <v>0</v>
      </c>
      <c r="J493" s="207"/>
    </row>
    <row r="494" spans="2:10">
      <c r="B494" s="198"/>
      <c r="C494" s="199">
        <f>Dat_02!B493</f>
        <v>45690</v>
      </c>
      <c r="D494" s="198"/>
      <c r="E494" s="200">
        <f>Dat_02!C493</f>
        <v>331.94847694435225</v>
      </c>
      <c r="F494" s="200">
        <f>Dat_02!D493</f>
        <v>124.45770390135006</v>
      </c>
      <c r="G494" s="200">
        <f>Dat_02!E493</f>
        <v>124.45770390135006</v>
      </c>
      <c r="I494" s="201">
        <f>Dat_02!G493</f>
        <v>0</v>
      </c>
      <c r="J494" s="207"/>
    </row>
    <row r="495" spans="2:10">
      <c r="B495" s="198"/>
      <c r="C495" s="199">
        <f>Dat_02!B494</f>
        <v>45691</v>
      </c>
      <c r="D495" s="198"/>
      <c r="E495" s="200">
        <f>Dat_02!C494</f>
        <v>338.42124530435234</v>
      </c>
      <c r="F495" s="200">
        <f>Dat_02!D494</f>
        <v>124.45770390135006</v>
      </c>
      <c r="G495" s="200">
        <f>Dat_02!E494</f>
        <v>124.45770390135006</v>
      </c>
      <c r="I495" s="201">
        <f>Dat_02!G494</f>
        <v>0</v>
      </c>
      <c r="J495" s="207"/>
    </row>
    <row r="496" spans="2:10">
      <c r="B496" s="198"/>
      <c r="C496" s="199">
        <f>Dat_02!B495</f>
        <v>45692</v>
      </c>
      <c r="D496" s="198"/>
      <c r="E496" s="200">
        <f>Dat_02!C495</f>
        <v>349.82128388435046</v>
      </c>
      <c r="F496" s="200">
        <f>Dat_02!D495</f>
        <v>124.45770390135006</v>
      </c>
      <c r="G496" s="200">
        <f>Dat_02!E495</f>
        <v>124.45770390135006</v>
      </c>
      <c r="I496" s="201">
        <f>Dat_02!G495</f>
        <v>0</v>
      </c>
      <c r="J496" s="207"/>
    </row>
    <row r="497" spans="2:10">
      <c r="B497" s="198"/>
      <c r="C497" s="199">
        <f>Dat_02!B496</f>
        <v>45693</v>
      </c>
      <c r="D497" s="198"/>
      <c r="E497" s="200">
        <f>Dat_02!C496</f>
        <v>158.4682391612061</v>
      </c>
      <c r="F497" s="200">
        <f>Dat_02!D496</f>
        <v>124.45770390135006</v>
      </c>
      <c r="G497" s="200">
        <f>Dat_02!E496</f>
        <v>124.45770390135006</v>
      </c>
      <c r="I497" s="201">
        <f>Dat_02!G496</f>
        <v>0</v>
      </c>
      <c r="J497" s="207"/>
    </row>
    <row r="498" spans="2:10">
      <c r="B498" s="198"/>
      <c r="C498" s="199">
        <f>Dat_02!B497</f>
        <v>45694</v>
      </c>
      <c r="D498" s="198"/>
      <c r="E498" s="200">
        <f>Dat_02!C497</f>
        <v>163.97102183720796</v>
      </c>
      <c r="F498" s="200">
        <f>Dat_02!D497</f>
        <v>124.45770390135006</v>
      </c>
      <c r="G498" s="200">
        <f>Dat_02!E497</f>
        <v>124.45770390135006</v>
      </c>
      <c r="I498" s="201">
        <f>Dat_02!G497</f>
        <v>0</v>
      </c>
      <c r="J498" s="207"/>
    </row>
    <row r="499" spans="2:10">
      <c r="B499" s="198"/>
      <c r="C499" s="199">
        <f>Dat_02!B498</f>
        <v>45695</v>
      </c>
      <c r="D499" s="198"/>
      <c r="E499" s="200">
        <f>Dat_02!C498</f>
        <v>156.45654961720609</v>
      </c>
      <c r="F499" s="200">
        <f>Dat_02!D498</f>
        <v>124.45770390135006</v>
      </c>
      <c r="G499" s="200">
        <f>Dat_02!E498</f>
        <v>124.45770390135006</v>
      </c>
      <c r="I499" s="201">
        <f>Dat_02!G498</f>
        <v>0</v>
      </c>
      <c r="J499" s="207"/>
    </row>
    <row r="500" spans="2:10">
      <c r="B500" s="198"/>
      <c r="C500" s="199">
        <f>Dat_02!B499</f>
        <v>45696</v>
      </c>
      <c r="D500" s="198"/>
      <c r="E500" s="200">
        <f>Dat_02!C499</f>
        <v>132.35781980120794</v>
      </c>
      <c r="F500" s="200">
        <f>Dat_02!D499</f>
        <v>124.45770390135006</v>
      </c>
      <c r="G500" s="200">
        <f>Dat_02!E499</f>
        <v>124.45770390135006</v>
      </c>
      <c r="I500" s="201">
        <f>Dat_02!G499</f>
        <v>0</v>
      </c>
      <c r="J500" s="207"/>
    </row>
    <row r="501" spans="2:10">
      <c r="B501" s="198"/>
      <c r="C501" s="199">
        <f>Dat_02!B500</f>
        <v>45697</v>
      </c>
      <c r="D501" s="198"/>
      <c r="E501" s="200">
        <f>Dat_02!C500</f>
        <v>141.77497368120981</v>
      </c>
      <c r="F501" s="200">
        <f>Dat_02!D500</f>
        <v>124.45770390135006</v>
      </c>
      <c r="G501" s="200">
        <f>Dat_02!E500</f>
        <v>124.45770390135006</v>
      </c>
      <c r="I501" s="201">
        <f>Dat_02!G500</f>
        <v>0</v>
      </c>
      <c r="J501" s="207"/>
    </row>
    <row r="502" spans="2:10">
      <c r="B502" s="198"/>
      <c r="C502" s="199">
        <f>Dat_02!B501</f>
        <v>45698</v>
      </c>
      <c r="D502" s="198"/>
      <c r="E502" s="200">
        <f>Dat_02!C501</f>
        <v>161.20363822520611</v>
      </c>
      <c r="F502" s="200">
        <f>Dat_02!D501</f>
        <v>124.45770390135006</v>
      </c>
      <c r="G502" s="200">
        <f>Dat_02!E501</f>
        <v>124.45770390135006</v>
      </c>
      <c r="I502" s="201">
        <f>Dat_02!G501</f>
        <v>0</v>
      </c>
      <c r="J502" s="207"/>
    </row>
    <row r="503" spans="2:10">
      <c r="B503" s="198"/>
      <c r="C503" s="199">
        <f>Dat_02!B502</f>
        <v>45699</v>
      </c>
      <c r="D503" s="198"/>
      <c r="E503" s="200">
        <f>Dat_02!C502</f>
        <v>157.23944000920611</v>
      </c>
      <c r="F503" s="200">
        <f>Dat_02!D502</f>
        <v>124.45770390135006</v>
      </c>
      <c r="G503" s="200">
        <f>Dat_02!E502</f>
        <v>124.45770390135006</v>
      </c>
      <c r="I503" s="201">
        <f>Dat_02!G502</f>
        <v>0</v>
      </c>
      <c r="J503" s="207"/>
    </row>
    <row r="504" spans="2:10">
      <c r="B504" s="198"/>
      <c r="C504" s="199">
        <f>Dat_02!B503</f>
        <v>45700</v>
      </c>
      <c r="D504" s="198"/>
      <c r="E504" s="200">
        <f>Dat_02!C503</f>
        <v>153.16354308996853</v>
      </c>
      <c r="F504" s="200">
        <f>Dat_02!D503</f>
        <v>124.45770390135006</v>
      </c>
      <c r="G504" s="200">
        <f>Dat_02!E503</f>
        <v>124.45770390135006</v>
      </c>
      <c r="I504" s="201">
        <f>Dat_02!G503</f>
        <v>0</v>
      </c>
      <c r="J504" s="207"/>
    </row>
    <row r="505" spans="2:10">
      <c r="B505" s="198"/>
      <c r="C505" s="199">
        <f>Dat_02!B504</f>
        <v>45701</v>
      </c>
      <c r="D505" s="198"/>
      <c r="E505" s="200">
        <f>Dat_02!C504</f>
        <v>153.18490336197038</v>
      </c>
      <c r="F505" s="200">
        <f>Dat_02!D504</f>
        <v>124.45770390135006</v>
      </c>
      <c r="G505" s="200">
        <f>Dat_02!E504</f>
        <v>124.45770390135006</v>
      </c>
      <c r="I505" s="201">
        <f>Dat_02!G504</f>
        <v>0</v>
      </c>
      <c r="J505" s="207"/>
    </row>
    <row r="506" spans="2:10">
      <c r="B506" s="198"/>
      <c r="C506" s="199">
        <f>Dat_02!B505</f>
        <v>45702</v>
      </c>
      <c r="D506" s="198"/>
      <c r="E506" s="200">
        <f>Dat_02!C505</f>
        <v>159.65514007396663</v>
      </c>
      <c r="F506" s="200">
        <f>Dat_02!D505</f>
        <v>124.45770390135006</v>
      </c>
      <c r="G506" s="200">
        <f>Dat_02!E505</f>
        <v>124.45770390135006</v>
      </c>
      <c r="I506" s="201" t="str">
        <f>Dat_02!G505</f>
        <v/>
      </c>
      <c r="J506" s="207"/>
    </row>
    <row r="507" spans="2:10">
      <c r="B507" s="198"/>
      <c r="C507" s="199">
        <f>Dat_02!B506</f>
        <v>45703</v>
      </c>
      <c r="D507" s="198"/>
      <c r="E507" s="200">
        <f>Dat_02!C506</f>
        <v>145.27400540197038</v>
      </c>
      <c r="F507" s="200">
        <f>Dat_02!D506</f>
        <v>124.45770390135006</v>
      </c>
      <c r="G507" s="200">
        <f>Dat_02!E506</f>
        <v>124.45770390135006</v>
      </c>
      <c r="I507" s="201">
        <f>Dat_02!G506</f>
        <v>0</v>
      </c>
      <c r="J507" s="207"/>
    </row>
    <row r="508" spans="2:10">
      <c r="B508" s="198"/>
      <c r="C508" s="199">
        <f>Dat_02!B507</f>
        <v>45704</v>
      </c>
      <c r="D508" s="198"/>
      <c r="E508" s="200">
        <f>Dat_02!C507</f>
        <v>139.34013846196666</v>
      </c>
      <c r="F508" s="200">
        <f>Dat_02!D507</f>
        <v>124.45770390135006</v>
      </c>
      <c r="G508" s="200">
        <f>Dat_02!E507</f>
        <v>124.45770390135006</v>
      </c>
      <c r="I508" s="201">
        <f>Dat_02!G507</f>
        <v>0</v>
      </c>
      <c r="J508" s="207"/>
    </row>
    <row r="509" spans="2:10">
      <c r="B509" s="198"/>
      <c r="C509" s="199">
        <f>Dat_02!B508</f>
        <v>45705</v>
      </c>
      <c r="D509" s="198"/>
      <c r="E509" s="200">
        <f>Dat_02!C508</f>
        <v>152.65729966597038</v>
      </c>
      <c r="F509" s="200">
        <f>Dat_02!D508</f>
        <v>124.45770390135006</v>
      </c>
      <c r="G509" s="200">
        <f>Dat_02!E508</f>
        <v>124.45770390135006</v>
      </c>
      <c r="I509" s="201">
        <f>Dat_02!G508</f>
        <v>0</v>
      </c>
      <c r="J509" s="207"/>
    </row>
    <row r="510" spans="2:10">
      <c r="B510" s="198"/>
      <c r="C510" s="199">
        <f>Dat_02!B509</f>
        <v>45706</v>
      </c>
      <c r="D510" s="198"/>
      <c r="E510" s="200">
        <f>Dat_02!C509</f>
        <v>136.08142172996853</v>
      </c>
      <c r="F510" s="200">
        <f>Dat_02!D509</f>
        <v>124.45770390135006</v>
      </c>
      <c r="G510" s="200">
        <f>Dat_02!E509</f>
        <v>124.45770390135006</v>
      </c>
      <c r="I510" s="201">
        <f>Dat_02!G509</f>
        <v>0</v>
      </c>
      <c r="J510" s="207"/>
    </row>
    <row r="511" spans="2:10">
      <c r="B511" s="198"/>
      <c r="C511" s="199">
        <f>Dat_02!B510</f>
        <v>45707</v>
      </c>
      <c r="D511" s="198"/>
      <c r="E511" s="200">
        <f>Dat_02!C510</f>
        <v>141.03594522971258</v>
      </c>
      <c r="F511" s="200">
        <f>Dat_02!D510</f>
        <v>124.45770390135006</v>
      </c>
      <c r="G511" s="200">
        <f>Dat_02!E510</f>
        <v>124.45770390135006</v>
      </c>
      <c r="I511" s="201">
        <f>Dat_02!G510</f>
        <v>0</v>
      </c>
      <c r="J511" s="207"/>
    </row>
    <row r="512" spans="2:10">
      <c r="B512" s="198"/>
      <c r="C512" s="199">
        <f>Dat_02!B511</f>
        <v>45708</v>
      </c>
      <c r="D512" s="198"/>
      <c r="E512" s="200">
        <f>Dat_02!C511</f>
        <v>121.78872529771444</v>
      </c>
      <c r="F512" s="200">
        <f>Dat_02!D511</f>
        <v>124.45770390135006</v>
      </c>
      <c r="G512" s="200">
        <f>Dat_02!E511</f>
        <v>121.78872529771444</v>
      </c>
      <c r="I512" s="201">
        <f>Dat_02!G511</f>
        <v>0</v>
      </c>
      <c r="J512" s="207"/>
    </row>
    <row r="513" spans="2:10">
      <c r="B513" s="198"/>
      <c r="C513" s="199">
        <f>Dat_02!B512</f>
        <v>45709</v>
      </c>
      <c r="D513" s="198"/>
      <c r="E513" s="200">
        <f>Dat_02!C512</f>
        <v>87.441745705710716</v>
      </c>
      <c r="F513" s="200">
        <f>Dat_02!D512</f>
        <v>124.45770390135006</v>
      </c>
      <c r="G513" s="200">
        <f>Dat_02!E512</f>
        <v>87.441745705710716</v>
      </c>
      <c r="I513" s="201">
        <f>Dat_02!G512</f>
        <v>0</v>
      </c>
      <c r="J513" s="207"/>
    </row>
    <row r="514" spans="2:10">
      <c r="B514" s="198"/>
      <c r="C514" s="199">
        <f>Dat_02!B513</f>
        <v>45710</v>
      </c>
      <c r="D514" s="198"/>
      <c r="E514" s="200">
        <f>Dat_02!C513</f>
        <v>114.18028520971816</v>
      </c>
      <c r="F514" s="200">
        <f>Dat_02!D513</f>
        <v>124.45770390135006</v>
      </c>
      <c r="G514" s="200">
        <f>Dat_02!E513</f>
        <v>114.18028520971816</v>
      </c>
      <c r="I514" s="201">
        <f>Dat_02!G513</f>
        <v>0</v>
      </c>
      <c r="J514" s="207"/>
    </row>
    <row r="515" spans="2:10">
      <c r="B515" s="198"/>
      <c r="C515" s="199">
        <f>Dat_02!B514</f>
        <v>45711</v>
      </c>
      <c r="D515" s="198"/>
      <c r="E515" s="200">
        <f>Dat_02!C514</f>
        <v>83.092447149710722</v>
      </c>
      <c r="F515" s="200">
        <f>Dat_02!D514</f>
        <v>124.45770390135006</v>
      </c>
      <c r="G515" s="200">
        <f>Dat_02!E514</f>
        <v>83.092447149710722</v>
      </c>
      <c r="I515" s="201">
        <f>Dat_02!G514</f>
        <v>0</v>
      </c>
      <c r="J515" s="207"/>
    </row>
    <row r="516" spans="2:10">
      <c r="B516" s="198"/>
      <c r="C516" s="199">
        <f>Dat_02!B515</f>
        <v>45712</v>
      </c>
      <c r="D516" s="198"/>
      <c r="E516" s="200">
        <f>Dat_02!C515</f>
        <v>99.209965373714439</v>
      </c>
      <c r="F516" s="200">
        <f>Dat_02!D515</f>
        <v>124.45770390135006</v>
      </c>
      <c r="G516" s="200">
        <f>Dat_02!E515</f>
        <v>99.209965373714439</v>
      </c>
      <c r="I516" s="201">
        <f>Dat_02!G515</f>
        <v>0</v>
      </c>
      <c r="J516" s="207"/>
    </row>
    <row r="517" spans="2:10">
      <c r="B517" s="198"/>
      <c r="C517" s="199">
        <f>Dat_02!B516</f>
        <v>45713</v>
      </c>
      <c r="D517" s="198"/>
      <c r="E517" s="200">
        <f>Dat_02!C516</f>
        <v>110.7750313257107</v>
      </c>
      <c r="F517" s="200">
        <f>Dat_02!D516</f>
        <v>124.45770390135006</v>
      </c>
      <c r="G517" s="200">
        <f>Dat_02!E516</f>
        <v>110.7750313257107</v>
      </c>
      <c r="I517" s="201">
        <f>Dat_02!G516</f>
        <v>0</v>
      </c>
      <c r="J517" s="207"/>
    </row>
    <row r="518" spans="2:10">
      <c r="B518" s="198"/>
      <c r="C518" s="199">
        <f>Dat_02!B517</f>
        <v>45714</v>
      </c>
      <c r="D518" s="198"/>
      <c r="E518" s="200">
        <f>Dat_02!C517</f>
        <v>124.45546917880809</v>
      </c>
      <c r="F518" s="200">
        <f>Dat_02!D517</f>
        <v>124.45770390135006</v>
      </c>
      <c r="G518" s="200">
        <f>Dat_02!E517</f>
        <v>124.45546917880809</v>
      </c>
      <c r="I518" s="201">
        <f>Dat_02!G517</f>
        <v>0</v>
      </c>
      <c r="J518" s="207"/>
    </row>
    <row r="519" spans="2:10">
      <c r="B519" s="198"/>
      <c r="C519" s="199">
        <f>Dat_02!B518</f>
        <v>45715</v>
      </c>
      <c r="D519" s="198"/>
      <c r="E519" s="200">
        <f>Dat_02!C518</f>
        <v>138.90708472280625</v>
      </c>
      <c r="F519" s="200">
        <f>Dat_02!D518</f>
        <v>124.45770390135006</v>
      </c>
      <c r="G519" s="200">
        <f>Dat_02!E518</f>
        <v>124.45770390135006</v>
      </c>
      <c r="I519" s="201">
        <f>Dat_02!G518</f>
        <v>0</v>
      </c>
      <c r="J519" s="207"/>
    </row>
    <row r="520" spans="2:10">
      <c r="B520" s="198"/>
      <c r="C520" s="199">
        <f>Dat_02!B519</f>
        <v>45716</v>
      </c>
      <c r="D520" s="198"/>
      <c r="E520" s="200">
        <f>Dat_02!C519</f>
        <v>131.33949614280809</v>
      </c>
      <c r="F520" s="200">
        <f>Dat_02!D519</f>
        <v>124.45770390135006</v>
      </c>
      <c r="G520" s="200">
        <f>Dat_02!E519</f>
        <v>124.45770390135006</v>
      </c>
      <c r="I520" s="201">
        <f>Dat_02!G519</f>
        <v>0</v>
      </c>
      <c r="J520" s="207"/>
    </row>
    <row r="521" spans="2:10">
      <c r="B521" s="198"/>
      <c r="C521" s="199">
        <f>Dat_02!B520</f>
        <v>45717</v>
      </c>
      <c r="D521" s="198"/>
      <c r="E521" s="200">
        <f>Dat_02!C520</f>
        <v>80.179807062808095</v>
      </c>
      <c r="F521" s="200">
        <f>Dat_02!D520</f>
        <v>129.67177197597073</v>
      </c>
      <c r="G521" s="200">
        <f>Dat_02!E520</f>
        <v>80.179807062808095</v>
      </c>
      <c r="I521" s="201">
        <f>Dat_02!G520</f>
        <v>0</v>
      </c>
      <c r="J521" s="207"/>
    </row>
    <row r="522" spans="2:10">
      <c r="B522" s="198"/>
      <c r="C522" s="199">
        <f>Dat_02!B521</f>
        <v>45718</v>
      </c>
      <c r="D522" s="198"/>
      <c r="E522" s="200">
        <f>Dat_02!C521</f>
        <v>73.149780046808075</v>
      </c>
      <c r="F522" s="200">
        <f>Dat_02!D521</f>
        <v>129.67177197597073</v>
      </c>
      <c r="G522" s="200">
        <f>Dat_02!E521</f>
        <v>73.149780046808075</v>
      </c>
      <c r="I522" s="201">
        <f>Dat_02!G521</f>
        <v>0</v>
      </c>
      <c r="J522" s="207"/>
    </row>
    <row r="523" spans="2:10">
      <c r="B523" s="198"/>
      <c r="C523" s="199">
        <f>Dat_02!B522</f>
        <v>45719</v>
      </c>
      <c r="D523" s="198"/>
      <c r="E523" s="200">
        <f>Dat_02!C522</f>
        <v>121.22998893080623</v>
      </c>
      <c r="F523" s="200">
        <f>Dat_02!D522</f>
        <v>129.67177197597073</v>
      </c>
      <c r="G523" s="200">
        <f>Dat_02!E522</f>
        <v>121.22998893080623</v>
      </c>
      <c r="I523" s="201">
        <f>Dat_02!G522</f>
        <v>0</v>
      </c>
      <c r="J523" s="207"/>
    </row>
    <row r="524" spans="2:10">
      <c r="B524" s="198"/>
      <c r="C524" s="199">
        <f>Dat_02!B523</f>
        <v>45720</v>
      </c>
      <c r="D524" s="198"/>
      <c r="E524" s="200">
        <f>Dat_02!C523</f>
        <v>119.62776690280809</v>
      </c>
      <c r="F524" s="200">
        <f>Dat_02!D523</f>
        <v>129.67177197597073</v>
      </c>
      <c r="G524" s="200">
        <f>Dat_02!E523</f>
        <v>119.62776690280809</v>
      </c>
      <c r="I524" s="201">
        <f>Dat_02!G523</f>
        <v>0</v>
      </c>
      <c r="J524" s="207"/>
    </row>
    <row r="525" spans="2:10">
      <c r="B525" s="198"/>
      <c r="C525" s="199">
        <f>Dat_02!B524</f>
        <v>45721</v>
      </c>
      <c r="D525" s="198"/>
      <c r="E525" s="200">
        <f>Dat_02!C524</f>
        <v>186.19269156423655</v>
      </c>
      <c r="F525" s="200">
        <f>Dat_02!D524</f>
        <v>129.67177197597073</v>
      </c>
      <c r="G525" s="200">
        <f>Dat_02!E524</f>
        <v>129.67177197597073</v>
      </c>
      <c r="I525" s="201">
        <f>Dat_02!G524</f>
        <v>0</v>
      </c>
      <c r="J525" s="207"/>
    </row>
    <row r="526" spans="2:10">
      <c r="B526" s="198"/>
      <c r="C526" s="199">
        <f>Dat_02!B525</f>
        <v>45722</v>
      </c>
      <c r="D526" s="198"/>
      <c r="E526" s="200">
        <f>Dat_02!C525</f>
        <v>177.18801422823657</v>
      </c>
      <c r="F526" s="200">
        <f>Dat_02!D525</f>
        <v>129.67177197597073</v>
      </c>
      <c r="G526" s="200">
        <f>Dat_02!E525</f>
        <v>129.67177197597073</v>
      </c>
      <c r="I526" s="201">
        <f>Dat_02!G525</f>
        <v>0</v>
      </c>
      <c r="J526" s="207"/>
    </row>
    <row r="527" spans="2:10">
      <c r="B527" s="198"/>
      <c r="C527" s="199">
        <f>Dat_02!B526</f>
        <v>45723</v>
      </c>
      <c r="D527" s="198"/>
      <c r="E527" s="200">
        <f>Dat_02!C526</f>
        <v>163.07393469623472</v>
      </c>
      <c r="F527" s="200">
        <f>Dat_02!D526</f>
        <v>129.67177197597073</v>
      </c>
      <c r="G527" s="200">
        <f>Dat_02!E526</f>
        <v>129.67177197597073</v>
      </c>
      <c r="I527" s="201">
        <f>Dat_02!G526</f>
        <v>0</v>
      </c>
      <c r="J527" s="207"/>
    </row>
    <row r="528" spans="2:10">
      <c r="B528" s="198"/>
      <c r="C528" s="199">
        <f>Dat_02!B527</f>
        <v>45724</v>
      </c>
      <c r="D528" s="198"/>
      <c r="E528" s="200">
        <f>Dat_02!C527</f>
        <v>125.74691929223842</v>
      </c>
      <c r="F528" s="200">
        <f>Dat_02!D527</f>
        <v>129.67177197597073</v>
      </c>
      <c r="G528" s="200">
        <f>Dat_02!E527</f>
        <v>125.74691929223842</v>
      </c>
      <c r="I528" s="201">
        <f>Dat_02!G527</f>
        <v>0</v>
      </c>
      <c r="J528" s="207"/>
    </row>
    <row r="529" spans="2:10">
      <c r="B529" s="198"/>
      <c r="C529" s="199">
        <f>Dat_02!B528</f>
        <v>45725</v>
      </c>
      <c r="D529" s="198"/>
      <c r="E529" s="200">
        <f>Dat_02!C528</f>
        <v>150.77340681623468</v>
      </c>
      <c r="F529" s="200">
        <f>Dat_02!D528</f>
        <v>129.67177197597073</v>
      </c>
      <c r="G529" s="200">
        <f>Dat_02!E528</f>
        <v>129.67177197597073</v>
      </c>
      <c r="I529" s="201">
        <f>Dat_02!G528</f>
        <v>0</v>
      </c>
      <c r="J529" s="207"/>
    </row>
    <row r="530" spans="2:10">
      <c r="B530" s="198"/>
      <c r="C530" s="199">
        <f>Dat_02!B529</f>
        <v>45726</v>
      </c>
      <c r="D530" s="198"/>
      <c r="E530" s="200">
        <f>Dat_02!C529</f>
        <v>203.40770216823654</v>
      </c>
      <c r="F530" s="200">
        <f>Dat_02!D529</f>
        <v>129.67177197597073</v>
      </c>
      <c r="G530" s="200">
        <f>Dat_02!E529</f>
        <v>129.67177197597073</v>
      </c>
      <c r="I530" s="201">
        <f>Dat_02!G529</f>
        <v>0</v>
      </c>
      <c r="J530" s="207"/>
    </row>
    <row r="531" spans="2:10">
      <c r="B531" s="198"/>
      <c r="C531" s="199">
        <f>Dat_02!B530</f>
        <v>45727</v>
      </c>
      <c r="D531" s="198"/>
      <c r="E531" s="200">
        <f>Dat_02!C530</f>
        <v>206.67058230423282</v>
      </c>
      <c r="F531" s="200">
        <f>Dat_02!D530</f>
        <v>129.67177197597073</v>
      </c>
      <c r="G531" s="200">
        <f>Dat_02!E530</f>
        <v>129.67177197597073</v>
      </c>
      <c r="I531" s="201">
        <f>Dat_02!G530</f>
        <v>0</v>
      </c>
      <c r="J531" s="207"/>
    </row>
    <row r="532" spans="2:10">
      <c r="B532" s="198"/>
      <c r="C532" s="199">
        <f>Dat_02!B531</f>
        <v>45728</v>
      </c>
      <c r="D532" s="198"/>
      <c r="E532" s="200">
        <f>Dat_02!C531</f>
        <v>260.66490308219272</v>
      </c>
      <c r="F532" s="200">
        <f>Dat_02!D531</f>
        <v>129.67177197597073</v>
      </c>
      <c r="G532" s="200">
        <f>Dat_02!E531</f>
        <v>129.67177197597073</v>
      </c>
      <c r="I532" s="201">
        <f>Dat_02!G531</f>
        <v>0</v>
      </c>
      <c r="J532" s="207"/>
    </row>
    <row r="533" spans="2:10">
      <c r="B533" s="198"/>
      <c r="C533" s="199">
        <f>Dat_02!B532</f>
        <v>45729</v>
      </c>
      <c r="D533" s="198"/>
      <c r="E533" s="200">
        <f>Dat_02!C532</f>
        <v>279.58197524218531</v>
      </c>
      <c r="F533" s="200">
        <f>Dat_02!D532</f>
        <v>129.67177197597073</v>
      </c>
      <c r="G533" s="200">
        <f>Dat_02!E532</f>
        <v>129.67177197597073</v>
      </c>
      <c r="I533" s="201">
        <f>Dat_02!G532</f>
        <v>0</v>
      </c>
      <c r="J533" s="207"/>
    </row>
    <row r="534" spans="2:10">
      <c r="B534" s="198"/>
      <c r="C534" s="199">
        <f>Dat_02!B533</f>
        <v>45730</v>
      </c>
      <c r="D534" s="198"/>
      <c r="E534" s="200">
        <f>Dat_02!C533</f>
        <v>268.99954767018897</v>
      </c>
      <c r="F534" s="200">
        <f>Dat_02!D533</f>
        <v>129.67177197597073</v>
      </c>
      <c r="G534" s="200">
        <f>Dat_02!E533</f>
        <v>129.67177197597073</v>
      </c>
      <c r="I534" s="201">
        <f>Dat_02!G533</f>
        <v>0</v>
      </c>
      <c r="J534" s="207"/>
    </row>
    <row r="535" spans="2:10">
      <c r="B535" s="198"/>
      <c r="C535" s="199">
        <f>Dat_02!B534</f>
        <v>45731</v>
      </c>
      <c r="D535" s="198"/>
      <c r="E535" s="200">
        <f>Dat_02!C534</f>
        <v>259.33307406618712</v>
      </c>
      <c r="F535" s="200">
        <f>Dat_02!D534</f>
        <v>129.67177197597073</v>
      </c>
      <c r="G535" s="200">
        <f>Dat_02!E534</f>
        <v>129.67177197597073</v>
      </c>
      <c r="I535" s="201">
        <f>Dat_02!G534</f>
        <v>0</v>
      </c>
      <c r="J535" s="207"/>
    </row>
    <row r="536" spans="2:10">
      <c r="B536" s="198"/>
      <c r="C536" s="199">
        <f>Dat_02!B535</f>
        <v>45732</v>
      </c>
      <c r="D536" s="198"/>
      <c r="E536" s="200">
        <f>Dat_02!C535</f>
        <v>258.50382549818897</v>
      </c>
      <c r="F536" s="200">
        <f>Dat_02!D535</f>
        <v>129.67177197597073</v>
      </c>
      <c r="G536" s="200">
        <f>Dat_02!E535</f>
        <v>129.67177197597073</v>
      </c>
      <c r="I536" s="201">
        <f>Dat_02!G535</f>
        <v>0</v>
      </c>
      <c r="J536" s="207"/>
    </row>
    <row r="537" spans="2:10">
      <c r="B537" s="198"/>
      <c r="C537" s="199">
        <f>Dat_02!B536</f>
        <v>45733</v>
      </c>
      <c r="D537" s="198"/>
      <c r="E537" s="200">
        <f>Dat_02!C536</f>
        <v>274.61169779018712</v>
      </c>
      <c r="F537" s="200">
        <f>Dat_02!D536</f>
        <v>129.67177197597073</v>
      </c>
      <c r="G537" s="200">
        <f>Dat_02!E536</f>
        <v>129.67177197597073</v>
      </c>
      <c r="I537" s="201" t="str">
        <f>Dat_02!G536</f>
        <v/>
      </c>
      <c r="J537" s="207"/>
    </row>
    <row r="538" spans="2:10">
      <c r="B538" s="198"/>
      <c r="C538" s="199">
        <f>Dat_02!B537</f>
        <v>45734</v>
      </c>
      <c r="D538" s="198"/>
      <c r="E538" s="200">
        <f>Dat_02!C537</f>
        <v>268.36891911018898</v>
      </c>
      <c r="F538" s="200">
        <f>Dat_02!D537</f>
        <v>129.67177197597073</v>
      </c>
      <c r="G538" s="200">
        <f>Dat_02!E537</f>
        <v>129.67177197597073</v>
      </c>
      <c r="I538" s="201">
        <f>Dat_02!G537</f>
        <v>0</v>
      </c>
      <c r="J538" s="207"/>
    </row>
    <row r="539" spans="2:10">
      <c r="B539" s="198"/>
      <c r="C539" s="199">
        <f>Dat_02!B538</f>
        <v>45735</v>
      </c>
      <c r="D539" s="198"/>
      <c r="E539" s="200">
        <f>Dat_02!C538</f>
        <v>253.39516285485877</v>
      </c>
      <c r="F539" s="200">
        <f>Dat_02!D538</f>
        <v>129.67177197597073</v>
      </c>
      <c r="G539" s="200">
        <f>Dat_02!E538</f>
        <v>129.67177197597073</v>
      </c>
      <c r="I539" s="201">
        <f>Dat_02!G538</f>
        <v>0</v>
      </c>
      <c r="J539" s="207"/>
    </row>
    <row r="540" spans="2:10">
      <c r="B540" s="198"/>
      <c r="C540" s="199">
        <f>Dat_02!B539</f>
        <v>45736</v>
      </c>
      <c r="D540" s="198"/>
      <c r="E540" s="200">
        <f>Dat_02!C539</f>
        <v>244.56696613085688</v>
      </c>
      <c r="F540" s="200">
        <f>Dat_02!D539</f>
        <v>129.67177197597073</v>
      </c>
      <c r="G540" s="200">
        <f>Dat_02!E539</f>
        <v>129.67177197597073</v>
      </c>
      <c r="I540" s="201">
        <f>Dat_02!G539</f>
        <v>0</v>
      </c>
      <c r="J540" s="207"/>
    </row>
    <row r="541" spans="2:10">
      <c r="B541" s="198"/>
      <c r="C541" s="199">
        <f>Dat_02!B540</f>
        <v>45737</v>
      </c>
      <c r="D541" s="198"/>
      <c r="E541" s="200">
        <f>Dat_02!C540</f>
        <v>248.87512723485875</v>
      </c>
      <c r="F541" s="200">
        <f>Dat_02!D540</f>
        <v>129.67177197597073</v>
      </c>
      <c r="G541" s="200">
        <f>Dat_02!E540</f>
        <v>129.67177197597073</v>
      </c>
      <c r="I541" s="201">
        <f>Dat_02!G540</f>
        <v>0</v>
      </c>
      <c r="J541" s="207"/>
    </row>
    <row r="542" spans="2:10">
      <c r="B542" s="198"/>
      <c r="C542" s="199">
        <f>Dat_02!B541</f>
        <v>45738</v>
      </c>
      <c r="D542" s="198"/>
      <c r="E542" s="200">
        <f>Dat_02!C541</f>
        <v>257.39827158285874</v>
      </c>
      <c r="F542" s="200">
        <f>Dat_02!D541</f>
        <v>129.67177197597073</v>
      </c>
      <c r="G542" s="200">
        <f>Dat_02!E541</f>
        <v>129.67177197597073</v>
      </c>
      <c r="I542" s="201">
        <f>Dat_02!G541</f>
        <v>0</v>
      </c>
      <c r="J542" s="207"/>
    </row>
    <row r="543" spans="2:10">
      <c r="B543" s="198"/>
      <c r="C543" s="199">
        <f>Dat_02!B542</f>
        <v>45739</v>
      </c>
      <c r="D543" s="198"/>
      <c r="E543" s="200">
        <f>Dat_02!C542</f>
        <v>264.16365084285877</v>
      </c>
      <c r="F543" s="200">
        <f>Dat_02!D542</f>
        <v>129.67177197597073</v>
      </c>
      <c r="G543" s="200">
        <f>Dat_02!E542</f>
        <v>129.67177197597073</v>
      </c>
      <c r="I543" s="201">
        <f>Dat_02!G542</f>
        <v>0</v>
      </c>
      <c r="J543" s="207"/>
    </row>
    <row r="544" spans="2:10">
      <c r="B544" s="198"/>
      <c r="C544" s="199">
        <f>Dat_02!B543</f>
        <v>45740</v>
      </c>
      <c r="D544" s="198"/>
      <c r="E544" s="200">
        <f>Dat_02!C543</f>
        <v>287.02376599486064</v>
      </c>
      <c r="F544" s="200">
        <f>Dat_02!D543</f>
        <v>129.67177197597073</v>
      </c>
      <c r="G544" s="200">
        <f>Dat_02!E543</f>
        <v>129.67177197597073</v>
      </c>
      <c r="I544" s="201">
        <f>Dat_02!G543</f>
        <v>0</v>
      </c>
      <c r="J544" s="207"/>
    </row>
    <row r="545" spans="2:10">
      <c r="B545" s="198"/>
      <c r="C545" s="199">
        <f>Dat_02!B544</f>
        <v>45741</v>
      </c>
      <c r="D545" s="198"/>
      <c r="E545" s="200">
        <f>Dat_02!C544</f>
        <v>303.68461539086059</v>
      </c>
      <c r="F545" s="200">
        <f>Dat_02!D544</f>
        <v>129.67177197597073</v>
      </c>
      <c r="G545" s="200">
        <f>Dat_02!E544</f>
        <v>129.67177197597073</v>
      </c>
      <c r="I545" s="201">
        <f>Dat_02!G544</f>
        <v>0</v>
      </c>
      <c r="J545" s="207"/>
    </row>
    <row r="546" spans="2:10">
      <c r="B546" s="198"/>
      <c r="C546" s="199">
        <f>Dat_02!B545</f>
        <v>45742</v>
      </c>
      <c r="D546" s="198"/>
      <c r="E546" s="200">
        <f>Dat_02!C545</f>
        <v>243.07513922999721</v>
      </c>
      <c r="F546" s="200">
        <f>Dat_02!D545</f>
        <v>129.67177197597073</v>
      </c>
      <c r="G546" s="200">
        <f>Dat_02!E545</f>
        <v>129.67177197597073</v>
      </c>
      <c r="I546" s="201">
        <f>Dat_02!G545</f>
        <v>0</v>
      </c>
      <c r="J546" s="207"/>
    </row>
    <row r="547" spans="2:10">
      <c r="B547" s="198"/>
      <c r="C547" s="199">
        <f>Dat_02!B546</f>
        <v>45743</v>
      </c>
      <c r="D547" s="198"/>
      <c r="E547" s="200">
        <f>Dat_02!C546</f>
        <v>244.10366804599909</v>
      </c>
      <c r="F547" s="200">
        <f>Dat_02!D546</f>
        <v>129.67177197597073</v>
      </c>
      <c r="G547" s="200">
        <f>Dat_02!E546</f>
        <v>129.67177197597073</v>
      </c>
      <c r="I547" s="201">
        <f>Dat_02!G546</f>
        <v>0</v>
      </c>
      <c r="J547" s="207"/>
    </row>
    <row r="548" spans="2:10">
      <c r="B548" s="198"/>
      <c r="C548" s="199">
        <f>Dat_02!B547</f>
        <v>45744</v>
      </c>
      <c r="D548" s="198"/>
      <c r="E548" s="200">
        <f>Dat_02!C547</f>
        <v>231.19215472199534</v>
      </c>
      <c r="F548" s="200">
        <f>Dat_02!D547</f>
        <v>129.67177197597073</v>
      </c>
      <c r="G548" s="200">
        <f>Dat_02!E547</f>
        <v>129.67177197597073</v>
      </c>
      <c r="I548" s="201">
        <f>Dat_02!G547</f>
        <v>0</v>
      </c>
      <c r="J548" s="207"/>
    </row>
    <row r="549" spans="2:10">
      <c r="B549" s="198"/>
      <c r="C549" s="199">
        <f>Dat_02!B548</f>
        <v>45745</v>
      </c>
      <c r="D549" s="198"/>
      <c r="E549" s="200">
        <f>Dat_02!C548</f>
        <v>192.08118007399906</v>
      </c>
      <c r="F549" s="200">
        <f>Dat_02!D548</f>
        <v>129.67177197597073</v>
      </c>
      <c r="G549" s="200">
        <f>Dat_02!E548</f>
        <v>129.67177197597073</v>
      </c>
      <c r="I549" s="201">
        <f>Dat_02!G548</f>
        <v>0</v>
      </c>
      <c r="J549" s="207"/>
    </row>
    <row r="550" spans="2:10">
      <c r="B550" s="198"/>
      <c r="C550" s="199">
        <f>Dat_02!B549</f>
        <v>45746</v>
      </c>
      <c r="D550" s="198"/>
      <c r="E550" s="200">
        <f>Dat_02!C549</f>
        <v>163.67780198999907</v>
      </c>
      <c r="F550" s="200">
        <f>Dat_02!D549</f>
        <v>129.67177197597073</v>
      </c>
      <c r="G550" s="200">
        <f>Dat_02!E549</f>
        <v>129.67177197597073</v>
      </c>
      <c r="I550" s="201">
        <f>Dat_02!G549</f>
        <v>0</v>
      </c>
      <c r="J550" s="207"/>
    </row>
    <row r="551" spans="2:10">
      <c r="B551" s="198"/>
      <c r="C551" s="199">
        <f>Dat_02!B550</f>
        <v>45747</v>
      </c>
      <c r="D551" s="198"/>
      <c r="E551" s="200">
        <f>Dat_02!C550</f>
        <v>194.65612216599908</v>
      </c>
      <c r="F551" s="200">
        <f>Dat_02!D550</f>
        <v>129.67177197597073</v>
      </c>
      <c r="G551" s="200">
        <f>Dat_02!E550</f>
        <v>129.67177197597073</v>
      </c>
      <c r="I551" s="201">
        <f>Dat_02!G550</f>
        <v>0</v>
      </c>
      <c r="J551" s="207"/>
    </row>
    <row r="552" spans="2:10">
      <c r="B552" s="198"/>
      <c r="C552" s="199">
        <f>Dat_02!B551</f>
        <v>45748</v>
      </c>
      <c r="D552" s="198"/>
      <c r="E552" s="200">
        <f>Dat_02!C551</f>
        <v>220.91609711799907</v>
      </c>
      <c r="F552" s="200">
        <f>Dat_02!D551</f>
        <v>123.24737037204483</v>
      </c>
      <c r="G552" s="200">
        <f>Dat_02!E551</f>
        <v>123.24737037204483</v>
      </c>
      <c r="I552" s="201">
        <f>Dat_02!G551</f>
        <v>0</v>
      </c>
      <c r="J552" s="207"/>
    </row>
    <row r="553" spans="2:10">
      <c r="B553" s="198"/>
      <c r="C553" s="199">
        <f>Dat_02!B552</f>
        <v>45749</v>
      </c>
      <c r="D553" s="198"/>
      <c r="E553" s="200">
        <f>Dat_02!C552</f>
        <v>180.20444293612357</v>
      </c>
      <c r="F553" s="200">
        <f>Dat_02!D552</f>
        <v>123.24737037204483</v>
      </c>
      <c r="G553" s="200">
        <f>Dat_02!E552</f>
        <v>123.24737037204483</v>
      </c>
      <c r="I553" s="201">
        <f>Dat_02!G552</f>
        <v>0</v>
      </c>
      <c r="J553" s="207"/>
    </row>
    <row r="554" spans="2:10">
      <c r="B554" s="198"/>
      <c r="C554" s="199">
        <f>Dat_02!B553</f>
        <v>45750</v>
      </c>
      <c r="D554" s="198"/>
      <c r="E554" s="200">
        <f>Dat_02!C553</f>
        <v>180.65194961611985</v>
      </c>
      <c r="F554" s="200">
        <f>Dat_02!D553</f>
        <v>123.24737037204483</v>
      </c>
      <c r="G554" s="200">
        <f>Dat_02!E553</f>
        <v>123.24737037204483</v>
      </c>
      <c r="I554" s="201">
        <f>Dat_02!G553</f>
        <v>0</v>
      </c>
      <c r="J554" s="207"/>
    </row>
    <row r="555" spans="2:10">
      <c r="B555" s="198"/>
      <c r="C555" s="199">
        <f>Dat_02!B554</f>
        <v>45751</v>
      </c>
      <c r="D555" s="198"/>
      <c r="E555" s="200">
        <f>Dat_02!C554</f>
        <v>167.7407860641236</v>
      </c>
      <c r="F555" s="200">
        <f>Dat_02!D554</f>
        <v>123.24737037204483</v>
      </c>
      <c r="G555" s="200">
        <f>Dat_02!E554</f>
        <v>123.24737037204483</v>
      </c>
      <c r="I555" s="201">
        <f>Dat_02!G554</f>
        <v>0</v>
      </c>
      <c r="J555" s="207"/>
    </row>
    <row r="556" spans="2:10">
      <c r="B556" s="198"/>
      <c r="C556" s="199">
        <f>Dat_02!B555</f>
        <v>45752</v>
      </c>
      <c r="D556" s="198"/>
      <c r="E556" s="200">
        <f>Dat_02!C555</f>
        <v>159.5159401401236</v>
      </c>
      <c r="F556" s="200">
        <f>Dat_02!D555</f>
        <v>123.24737037204483</v>
      </c>
      <c r="G556" s="200">
        <f>Dat_02!E555</f>
        <v>123.24737037204483</v>
      </c>
      <c r="I556" s="201">
        <f>Dat_02!G555</f>
        <v>0</v>
      </c>
      <c r="J556" s="207"/>
    </row>
    <row r="557" spans="2:10">
      <c r="B557" s="198"/>
      <c r="C557" s="199">
        <f>Dat_02!B556</f>
        <v>45753</v>
      </c>
      <c r="D557" s="198"/>
      <c r="E557" s="200">
        <f>Dat_02!C556</f>
        <v>156.28354039611989</v>
      </c>
      <c r="F557" s="200">
        <f>Dat_02!D556</f>
        <v>123.24737037204483</v>
      </c>
      <c r="G557" s="200">
        <f>Dat_02!E556</f>
        <v>123.24737037204483</v>
      </c>
      <c r="I557" s="201">
        <f>Dat_02!G556</f>
        <v>0</v>
      </c>
      <c r="J557" s="207"/>
    </row>
    <row r="558" spans="2:10">
      <c r="B558" s="198"/>
      <c r="C558" s="199">
        <f>Dat_02!B557</f>
        <v>45754</v>
      </c>
      <c r="D558" s="198"/>
      <c r="E558" s="200">
        <f>Dat_02!C557</f>
        <v>182.49534861212356</v>
      </c>
      <c r="F558" s="200">
        <f>Dat_02!D557</f>
        <v>123.24737037204483</v>
      </c>
      <c r="G558" s="200">
        <f>Dat_02!E557</f>
        <v>123.24737037204483</v>
      </c>
      <c r="I558" s="201">
        <f>Dat_02!G557</f>
        <v>0</v>
      </c>
      <c r="J558" s="207"/>
    </row>
    <row r="559" spans="2:10">
      <c r="B559" s="198"/>
      <c r="C559" s="199">
        <f>Dat_02!B558</f>
        <v>45755</v>
      </c>
      <c r="D559" s="198"/>
      <c r="E559" s="200">
        <f>Dat_02!C558</f>
        <v>187.70822462812171</v>
      </c>
      <c r="F559" s="200">
        <f>Dat_02!D558</f>
        <v>123.24737037204483</v>
      </c>
      <c r="G559" s="200">
        <f>Dat_02!E558</f>
        <v>123.24737037204483</v>
      </c>
      <c r="I559" s="201">
        <f>Dat_02!G558</f>
        <v>0</v>
      </c>
      <c r="J559" s="207"/>
    </row>
    <row r="560" spans="2:10">
      <c r="B560" s="198"/>
      <c r="C560" s="199">
        <f>Dat_02!B559</f>
        <v>45756</v>
      </c>
      <c r="D560" s="198"/>
      <c r="E560" s="200">
        <f>Dat_02!C559</f>
        <v>173.59555560485555</v>
      </c>
      <c r="F560" s="200">
        <f>Dat_02!D559</f>
        <v>123.24737037204483</v>
      </c>
      <c r="G560" s="200">
        <f>Dat_02!E559</f>
        <v>123.24737037204483</v>
      </c>
      <c r="I560" s="201">
        <f>Dat_02!G559</f>
        <v>0</v>
      </c>
      <c r="J560" s="207"/>
    </row>
    <row r="561" spans="2:10">
      <c r="B561" s="198"/>
      <c r="C561" s="199">
        <f>Dat_02!B560</f>
        <v>45757</v>
      </c>
      <c r="D561" s="198"/>
      <c r="E561" s="200">
        <f>Dat_02!C560</f>
        <v>155.95361372885742</v>
      </c>
      <c r="F561" s="200">
        <f>Dat_02!D560</f>
        <v>123.24737037204483</v>
      </c>
      <c r="G561" s="200">
        <f>Dat_02!E560</f>
        <v>123.24737037204483</v>
      </c>
      <c r="I561" s="201">
        <f>Dat_02!G560</f>
        <v>0</v>
      </c>
      <c r="J561" s="207"/>
    </row>
    <row r="562" spans="2:10">
      <c r="B562" s="198"/>
      <c r="C562" s="199">
        <f>Dat_02!B561</f>
        <v>45758</v>
      </c>
      <c r="D562" s="198"/>
      <c r="E562" s="200">
        <f>Dat_02!C561</f>
        <v>162.01836914885556</v>
      </c>
      <c r="F562" s="200">
        <f>Dat_02!D561</f>
        <v>123.24737037204483</v>
      </c>
      <c r="G562" s="200">
        <f>Dat_02!E561</f>
        <v>123.24737037204483</v>
      </c>
      <c r="I562" s="201">
        <f>Dat_02!G561</f>
        <v>0</v>
      </c>
      <c r="J562" s="207"/>
    </row>
    <row r="563" spans="2:10">
      <c r="B563" s="198"/>
      <c r="C563" s="199">
        <f>Dat_02!B562</f>
        <v>45759</v>
      </c>
      <c r="D563" s="198"/>
      <c r="E563" s="200">
        <f>Dat_02!C562</f>
        <v>167.19396951285557</v>
      </c>
      <c r="F563" s="200">
        <f>Dat_02!D562</f>
        <v>123.24737037204483</v>
      </c>
      <c r="G563" s="200">
        <f>Dat_02!E562</f>
        <v>123.24737037204483</v>
      </c>
      <c r="I563" s="201">
        <f>Dat_02!G562</f>
        <v>0</v>
      </c>
      <c r="J563" s="207"/>
    </row>
    <row r="564" spans="2:10">
      <c r="B564" s="198"/>
      <c r="C564" s="199">
        <f>Dat_02!B563</f>
        <v>45760</v>
      </c>
      <c r="D564" s="198"/>
      <c r="E564" s="200">
        <f>Dat_02!C563</f>
        <v>150.14649389685371</v>
      </c>
      <c r="F564" s="200">
        <f>Dat_02!D563</f>
        <v>123.24737037204483</v>
      </c>
      <c r="G564" s="200">
        <f>Dat_02!E563</f>
        <v>123.24737037204483</v>
      </c>
      <c r="I564" s="201">
        <f>Dat_02!G563</f>
        <v>0</v>
      </c>
      <c r="J564" s="207"/>
    </row>
    <row r="565" spans="2:10">
      <c r="B565" s="198"/>
      <c r="C565" s="199">
        <f>Dat_02!B564</f>
        <v>45761</v>
      </c>
      <c r="D565" s="198"/>
      <c r="E565" s="200">
        <f>Dat_02!C564</f>
        <v>157.91851472486115</v>
      </c>
      <c r="F565" s="200">
        <f>Dat_02!D564</f>
        <v>123.24737037204483</v>
      </c>
      <c r="G565" s="200">
        <f>Dat_02!E564</f>
        <v>123.24737037204483</v>
      </c>
      <c r="I565" s="201">
        <f>Dat_02!G564</f>
        <v>0</v>
      </c>
      <c r="J565" s="207"/>
    </row>
    <row r="566" spans="2:10">
      <c r="B566" s="198"/>
      <c r="C566" s="199">
        <f>Dat_02!B565</f>
        <v>45762</v>
      </c>
      <c r="D566" s="198"/>
      <c r="E566" s="200">
        <f>Dat_02!C565</f>
        <v>143.22710196885558</v>
      </c>
      <c r="F566" s="200">
        <f>Dat_02!D565</f>
        <v>123.24737037204483</v>
      </c>
      <c r="G566" s="200">
        <f>Dat_02!E565</f>
        <v>123.24737037204483</v>
      </c>
      <c r="I566" s="201">
        <f>Dat_02!G565</f>
        <v>0</v>
      </c>
      <c r="J566" s="207"/>
    </row>
    <row r="567" spans="2:10">
      <c r="B567" s="198"/>
      <c r="C567" s="199">
        <f>Dat_02!B566</f>
        <v>45763</v>
      </c>
      <c r="D567" s="198"/>
      <c r="E567" s="200">
        <f>Dat_02!C566</f>
        <v>199.31030269631856</v>
      </c>
      <c r="F567" s="200">
        <f>Dat_02!D566</f>
        <v>123.24737037204483</v>
      </c>
      <c r="G567" s="200">
        <f>Dat_02!E566</f>
        <v>123.24737037204483</v>
      </c>
      <c r="I567" s="201">
        <f>Dat_02!G566</f>
        <v>0</v>
      </c>
      <c r="J567" s="207"/>
    </row>
    <row r="568" spans="2:10">
      <c r="B568" s="198"/>
      <c r="C568" s="199">
        <f>Dat_02!B567</f>
        <v>45764</v>
      </c>
      <c r="D568" s="198"/>
      <c r="E568" s="200">
        <f>Dat_02!C567</f>
        <v>196.35778235632415</v>
      </c>
      <c r="F568" s="200">
        <f>Dat_02!D567</f>
        <v>123.24737037204483</v>
      </c>
      <c r="G568" s="200">
        <f>Dat_02!E567</f>
        <v>123.24737037204483</v>
      </c>
      <c r="I568" s="201" t="str">
        <f>Dat_02!G567</f>
        <v/>
      </c>
      <c r="J568" s="207"/>
    </row>
    <row r="569" spans="2:10">
      <c r="B569" s="198"/>
      <c r="C569" s="199">
        <f>Dat_02!B568</f>
        <v>45765</v>
      </c>
      <c r="D569" s="198"/>
      <c r="E569" s="200">
        <f>Dat_02!C568</f>
        <v>192.44321123632042</v>
      </c>
      <c r="F569" s="200">
        <f>Dat_02!D568</f>
        <v>123.24737037204483</v>
      </c>
      <c r="G569" s="200">
        <f>Dat_02!E568</f>
        <v>123.24737037204483</v>
      </c>
      <c r="I569" s="201">
        <f>Dat_02!G568</f>
        <v>0</v>
      </c>
      <c r="J569" s="207"/>
    </row>
    <row r="570" spans="2:10">
      <c r="B570" s="198"/>
      <c r="C570" s="199">
        <f>Dat_02!B569</f>
        <v>45766</v>
      </c>
      <c r="D570" s="198"/>
      <c r="E570" s="200">
        <f>Dat_02!C569</f>
        <v>184.22701234032232</v>
      </c>
      <c r="F570" s="200">
        <f>Dat_02!D569</f>
        <v>123.24737037204483</v>
      </c>
      <c r="G570" s="200">
        <f>Dat_02!E569</f>
        <v>123.24737037204483</v>
      </c>
      <c r="I570" s="201">
        <f>Dat_02!G569</f>
        <v>0</v>
      </c>
      <c r="J570" s="207"/>
    </row>
    <row r="571" spans="2:10">
      <c r="B571" s="198"/>
      <c r="C571" s="199">
        <f>Dat_02!B570</f>
        <v>45767</v>
      </c>
      <c r="D571" s="198"/>
      <c r="E571" s="200">
        <f>Dat_02!C570</f>
        <v>200.55065833632415</v>
      </c>
      <c r="F571" s="200">
        <f>Dat_02!D570</f>
        <v>123.24737037204483</v>
      </c>
      <c r="G571" s="200">
        <f>Dat_02!E570</f>
        <v>123.24737037204483</v>
      </c>
      <c r="I571" s="201">
        <f>Dat_02!G570</f>
        <v>0</v>
      </c>
      <c r="J571" s="207"/>
    </row>
    <row r="572" spans="2:10">
      <c r="B572" s="198"/>
      <c r="C572" s="199">
        <f>Dat_02!B571</f>
        <v>45768</v>
      </c>
      <c r="D572" s="198"/>
      <c r="E572" s="200">
        <f>Dat_02!C571</f>
        <v>230.44826107632042</v>
      </c>
      <c r="F572" s="200">
        <f>Dat_02!D571</f>
        <v>123.24737037204483</v>
      </c>
      <c r="G572" s="200">
        <f>Dat_02!E571</f>
        <v>123.24737037204483</v>
      </c>
      <c r="I572" s="201">
        <f>Dat_02!G571</f>
        <v>0</v>
      </c>
      <c r="J572" s="207"/>
    </row>
    <row r="573" spans="2:10">
      <c r="B573" s="198"/>
      <c r="C573" s="199">
        <f>Dat_02!B572</f>
        <v>45769</v>
      </c>
      <c r="D573" s="198"/>
      <c r="E573" s="200">
        <f>Dat_02!C572</f>
        <v>246.66486100432601</v>
      </c>
      <c r="F573" s="200">
        <f>Dat_02!D572</f>
        <v>123.24737037204483</v>
      </c>
      <c r="G573" s="200">
        <f>Dat_02!E572</f>
        <v>123.24737037204483</v>
      </c>
      <c r="I573" s="201">
        <f>Dat_02!G572</f>
        <v>0</v>
      </c>
      <c r="J573" s="207"/>
    </row>
    <row r="574" spans="2:10">
      <c r="B574" s="198"/>
      <c r="C574" s="199">
        <f>Dat_02!B573</f>
        <v>45770</v>
      </c>
      <c r="D574" s="198"/>
      <c r="E574" s="200">
        <f>Dat_02!C573</f>
        <v>197.83856872807988</v>
      </c>
      <c r="F574" s="200">
        <f>Dat_02!D573</f>
        <v>123.24737037204483</v>
      </c>
      <c r="G574" s="200">
        <f>Dat_02!E573</f>
        <v>123.24737037204483</v>
      </c>
      <c r="I574" s="201">
        <f>Dat_02!G573</f>
        <v>0</v>
      </c>
      <c r="J574" s="207"/>
    </row>
    <row r="575" spans="2:10">
      <c r="B575" s="198"/>
      <c r="C575" s="199">
        <f>Dat_02!B574</f>
        <v>45771</v>
      </c>
      <c r="D575" s="198"/>
      <c r="E575" s="200">
        <f>Dat_02!C574</f>
        <v>180.858270072078</v>
      </c>
      <c r="F575" s="200">
        <f>Dat_02!D574</f>
        <v>123.24737037204483</v>
      </c>
      <c r="G575" s="200">
        <f>Dat_02!E574</f>
        <v>123.24737037204483</v>
      </c>
      <c r="I575" s="201">
        <f>Dat_02!G574</f>
        <v>0</v>
      </c>
      <c r="J575" s="207"/>
    </row>
    <row r="576" spans="2:10">
      <c r="B576" s="198"/>
      <c r="C576" s="199">
        <f>Dat_02!B575</f>
        <v>45772</v>
      </c>
      <c r="D576" s="198"/>
      <c r="E576" s="200">
        <f>Dat_02!C575</f>
        <v>183.52461616008173</v>
      </c>
      <c r="F576" s="200">
        <f>Dat_02!D575</f>
        <v>123.24737037204483</v>
      </c>
      <c r="G576" s="200">
        <f>Dat_02!E575</f>
        <v>123.24737037204483</v>
      </c>
      <c r="I576" s="201">
        <f>Dat_02!G575</f>
        <v>0</v>
      </c>
      <c r="J576" s="207"/>
    </row>
    <row r="577" spans="2:10">
      <c r="B577" s="198"/>
      <c r="C577" s="199">
        <f>Dat_02!B576</f>
        <v>45773</v>
      </c>
      <c r="D577" s="198"/>
      <c r="E577" s="200">
        <f>Dat_02!C576</f>
        <v>149.31526525208361</v>
      </c>
      <c r="F577" s="200">
        <f>Dat_02!D576</f>
        <v>123.24737037204483</v>
      </c>
      <c r="G577" s="200">
        <f>Dat_02!E576</f>
        <v>123.24737037204483</v>
      </c>
      <c r="I577" s="201">
        <f>Dat_02!G576</f>
        <v>0</v>
      </c>
      <c r="J577" s="207"/>
    </row>
    <row r="578" spans="2:10">
      <c r="B578" s="198"/>
      <c r="C578" s="199">
        <f>Dat_02!B577</f>
        <v>45774</v>
      </c>
      <c r="D578" s="198"/>
      <c r="E578" s="200">
        <f>Dat_02!C577</f>
        <v>134.77316206808359</v>
      </c>
      <c r="F578" s="200">
        <f>Dat_02!D577</f>
        <v>123.24737037204483</v>
      </c>
      <c r="G578" s="200">
        <f>Dat_02!E577</f>
        <v>123.24737037204483</v>
      </c>
      <c r="I578" s="201">
        <f>Dat_02!G577</f>
        <v>0</v>
      </c>
      <c r="J578" s="207"/>
    </row>
    <row r="579" spans="2:10">
      <c r="B579" s="198"/>
      <c r="C579" s="199">
        <f>Dat_02!B578</f>
        <v>45775</v>
      </c>
      <c r="D579" s="198"/>
      <c r="E579" s="200">
        <f>Dat_02!C578</f>
        <v>135.23444620407614</v>
      </c>
      <c r="F579" s="200">
        <f>Dat_02!D578</f>
        <v>123.24737037204483</v>
      </c>
      <c r="G579" s="200">
        <f>Dat_02!E578</f>
        <v>123.24737037204483</v>
      </c>
      <c r="I579" s="201">
        <f>Dat_02!G578</f>
        <v>0</v>
      </c>
      <c r="J579" s="207"/>
    </row>
    <row r="580" spans="2:10">
      <c r="B580" s="198"/>
      <c r="C580" s="199">
        <f>Dat_02!B579</f>
        <v>45776</v>
      </c>
      <c r="D580" s="198"/>
      <c r="E580" s="200">
        <f>Dat_02!C579</f>
        <v>199.08417822908359</v>
      </c>
      <c r="F580" s="200">
        <f>Dat_02!D579</f>
        <v>123.24737037204483</v>
      </c>
      <c r="G580" s="200">
        <f>Dat_02!E579</f>
        <v>123.24737037204483</v>
      </c>
      <c r="I580" s="201">
        <f>Dat_02!G579</f>
        <v>0</v>
      </c>
      <c r="J580" s="207"/>
    </row>
    <row r="581" spans="2:10">
      <c r="B581" s="198"/>
      <c r="C581" s="199">
        <f>Dat_02!B580</f>
        <v>45777</v>
      </c>
      <c r="D581" s="198"/>
      <c r="E581" s="200">
        <f>Dat_02!C580</f>
        <v>157.86412479189696</v>
      </c>
      <c r="F581" s="200">
        <f>Dat_02!D580</f>
        <v>123.24737037204483</v>
      </c>
      <c r="G581" s="200">
        <f>Dat_02!E580</f>
        <v>123.24737037204483</v>
      </c>
      <c r="I581" s="201">
        <f>Dat_02!G580</f>
        <v>0</v>
      </c>
      <c r="J581" s="207"/>
    </row>
    <row r="582" spans="2:10">
      <c r="B582" s="198"/>
      <c r="C582" s="199">
        <f>Dat_02!B581</f>
        <v>45778</v>
      </c>
      <c r="D582" s="198"/>
      <c r="E582" s="200">
        <f>Dat_02!C581</f>
        <v>140.12949234489508</v>
      </c>
      <c r="F582" s="200">
        <f>Dat_02!D581</f>
        <v>94.081084096418962</v>
      </c>
      <c r="G582" s="200">
        <f>Dat_02!E581</f>
        <v>94.081084096418962</v>
      </c>
      <c r="I582" s="201">
        <f>Dat_02!G581</f>
        <v>0</v>
      </c>
      <c r="J582" s="207"/>
    </row>
    <row r="583" spans="2:10">
      <c r="B583" s="198"/>
      <c r="C583" s="199">
        <f>Dat_02!B582</f>
        <v>45779</v>
      </c>
      <c r="D583" s="198"/>
      <c r="E583" s="200">
        <f>Dat_02!C582</f>
        <v>142.79682454489509</v>
      </c>
      <c r="F583" s="200">
        <f>Dat_02!D582</f>
        <v>94.081084096418962</v>
      </c>
      <c r="G583" s="200">
        <f>Dat_02!E582</f>
        <v>94.081084096418962</v>
      </c>
      <c r="I583" s="201">
        <f>Dat_02!G582</f>
        <v>0</v>
      </c>
      <c r="J583" s="207"/>
    </row>
    <row r="584" spans="2:10">
      <c r="B584" s="198"/>
      <c r="C584" s="199">
        <f>Dat_02!B583</f>
        <v>45780</v>
      </c>
      <c r="D584" s="198"/>
      <c r="E584" s="200">
        <f>Dat_02!C583</f>
        <v>143.09792462089322</v>
      </c>
      <c r="F584" s="200">
        <f>Dat_02!D583</f>
        <v>94.081084096418962</v>
      </c>
      <c r="G584" s="200">
        <f>Dat_02!E583</f>
        <v>94.081084096418962</v>
      </c>
      <c r="I584" s="201">
        <f>Dat_02!G583</f>
        <v>0</v>
      </c>
      <c r="J584" s="207"/>
    </row>
    <row r="585" spans="2:10">
      <c r="B585" s="198"/>
      <c r="C585" s="199">
        <f>Dat_02!B584</f>
        <v>45781</v>
      </c>
      <c r="D585" s="198"/>
      <c r="E585" s="200">
        <f>Dat_02!C584</f>
        <v>135.55519349689322</v>
      </c>
      <c r="F585" s="200">
        <f>Dat_02!D584</f>
        <v>94.081084096418962</v>
      </c>
      <c r="G585" s="200">
        <f>Dat_02!E584</f>
        <v>94.081084096418962</v>
      </c>
      <c r="I585" s="201">
        <f>Dat_02!G584</f>
        <v>0</v>
      </c>
      <c r="J585" s="207"/>
    </row>
    <row r="586" spans="2:10">
      <c r="B586" s="198"/>
      <c r="C586" s="199">
        <f>Dat_02!B585</f>
        <v>45782</v>
      </c>
      <c r="D586" s="198"/>
      <c r="E586" s="200">
        <f>Dat_02!C585</f>
        <v>149.29507635689694</v>
      </c>
      <c r="F586" s="200">
        <f>Dat_02!D585</f>
        <v>94.081084096418962</v>
      </c>
      <c r="G586" s="200">
        <f>Dat_02!E585</f>
        <v>94.081084096418962</v>
      </c>
      <c r="I586" s="201">
        <f>Dat_02!G585</f>
        <v>0</v>
      </c>
      <c r="J586" s="207"/>
    </row>
    <row r="587" spans="2:10">
      <c r="B587" s="198"/>
      <c r="C587" s="199">
        <f>Dat_02!B586</f>
        <v>45783</v>
      </c>
      <c r="D587" s="198"/>
      <c r="E587" s="200">
        <f>Dat_02!C586</f>
        <v>157.60283116089511</v>
      </c>
      <c r="F587" s="200">
        <f>Dat_02!D586</f>
        <v>94.081084096418962</v>
      </c>
      <c r="G587" s="200">
        <f>Dat_02!E586</f>
        <v>94.081084096418962</v>
      </c>
      <c r="I587" s="201">
        <f>Dat_02!G586</f>
        <v>0</v>
      </c>
      <c r="J587" s="207"/>
    </row>
    <row r="588" spans="2:10">
      <c r="B588" s="198"/>
      <c r="C588" s="199">
        <f>Dat_02!B587</f>
        <v>45784</v>
      </c>
      <c r="D588" s="198"/>
      <c r="E588" s="200">
        <f>Dat_02!C587</f>
        <v>154.75608242813192</v>
      </c>
      <c r="F588" s="200">
        <f>Dat_02!D587</f>
        <v>94.081084096418962</v>
      </c>
      <c r="G588" s="200">
        <f>Dat_02!E587</f>
        <v>94.081084096418962</v>
      </c>
      <c r="I588" s="201">
        <f>Dat_02!G587</f>
        <v>0</v>
      </c>
      <c r="J588" s="207"/>
    </row>
    <row r="589" spans="2:10">
      <c r="B589" s="198"/>
      <c r="C589" s="199">
        <f>Dat_02!B588</f>
        <v>45785</v>
      </c>
      <c r="D589" s="198"/>
      <c r="E589" s="200">
        <f>Dat_02!C588</f>
        <v>172.86082193213193</v>
      </c>
      <c r="F589" s="200">
        <f>Dat_02!D588</f>
        <v>94.081084096418962</v>
      </c>
      <c r="G589" s="200">
        <f>Dat_02!E588</f>
        <v>94.081084096418962</v>
      </c>
      <c r="I589" s="201">
        <f>Dat_02!G588</f>
        <v>0</v>
      </c>
      <c r="J589" s="207"/>
    </row>
    <row r="590" spans="2:10">
      <c r="B590" s="198"/>
      <c r="C590" s="199">
        <f>Dat_02!B589</f>
        <v>45786</v>
      </c>
      <c r="D590" s="198"/>
      <c r="E590" s="200">
        <f>Dat_02!C589</f>
        <v>172.2103047571338</v>
      </c>
      <c r="F590" s="200">
        <f>Dat_02!D589</f>
        <v>94.081084096418962</v>
      </c>
      <c r="G590" s="200">
        <f>Dat_02!E589</f>
        <v>94.081084096418962</v>
      </c>
      <c r="I590" s="201">
        <f>Dat_02!G589</f>
        <v>0</v>
      </c>
      <c r="J590" s="207"/>
    </row>
    <row r="591" spans="2:10">
      <c r="B591" s="198"/>
      <c r="C591" s="199">
        <f>Dat_02!B590</f>
        <v>45787</v>
      </c>
      <c r="D591" s="198"/>
      <c r="E591" s="200">
        <f>Dat_02!C590</f>
        <v>137.90163502413006</v>
      </c>
      <c r="F591" s="200">
        <f>Dat_02!D590</f>
        <v>94.081084096418962</v>
      </c>
      <c r="G591" s="200">
        <f>Dat_02!E590</f>
        <v>94.081084096418962</v>
      </c>
      <c r="I591" s="201">
        <f>Dat_02!G590</f>
        <v>0</v>
      </c>
      <c r="J591" s="207"/>
    </row>
    <row r="592" spans="2:10">
      <c r="B592" s="198"/>
      <c r="C592" s="199">
        <f>Dat_02!B591</f>
        <v>45788</v>
      </c>
      <c r="D592" s="198"/>
      <c r="E592" s="200">
        <f>Dat_02!C591</f>
        <v>125.87049791913192</v>
      </c>
      <c r="F592" s="200">
        <f>Dat_02!D591</f>
        <v>94.081084096418962</v>
      </c>
      <c r="G592" s="200">
        <f>Dat_02!E591</f>
        <v>94.081084096418962</v>
      </c>
      <c r="I592" s="201">
        <f>Dat_02!G591</f>
        <v>0</v>
      </c>
      <c r="J592" s="207"/>
    </row>
    <row r="593" spans="2:10">
      <c r="B593" s="198"/>
      <c r="C593" s="199">
        <f>Dat_02!B592</f>
        <v>45789</v>
      </c>
      <c r="D593" s="198"/>
      <c r="E593" s="200">
        <f>Dat_02!C592</f>
        <v>153.65334054513377</v>
      </c>
      <c r="F593" s="200">
        <f>Dat_02!D592</f>
        <v>94.081084096418962</v>
      </c>
      <c r="G593" s="200">
        <f>Dat_02!E592</f>
        <v>94.081084096418962</v>
      </c>
      <c r="I593" s="201">
        <f>Dat_02!G592</f>
        <v>0</v>
      </c>
      <c r="J593" s="207"/>
    </row>
    <row r="594" spans="2:10">
      <c r="B594" s="198"/>
      <c r="C594" s="199">
        <f>Dat_02!B593</f>
        <v>45790</v>
      </c>
      <c r="D594" s="198"/>
      <c r="E594" s="200">
        <f>Dat_02!C593</f>
        <v>153.22896172713376</v>
      </c>
      <c r="F594" s="200">
        <f>Dat_02!D593</f>
        <v>94.081084096418962</v>
      </c>
      <c r="G594" s="200">
        <f>Dat_02!E593</f>
        <v>94.081084096418962</v>
      </c>
      <c r="I594" s="201">
        <f>Dat_02!G593</f>
        <v>0</v>
      </c>
      <c r="J594" s="207"/>
    </row>
    <row r="595" spans="2:10">
      <c r="B595" s="198"/>
      <c r="C595" s="199">
        <f>Dat_02!B594</f>
        <v>45791</v>
      </c>
      <c r="D595" s="198"/>
      <c r="E595" s="200">
        <f>Dat_02!C594</f>
        <v>161.94604865030593</v>
      </c>
      <c r="F595" s="200">
        <f>Dat_02!D594</f>
        <v>94.081084096418962</v>
      </c>
      <c r="G595" s="200">
        <f>Dat_02!E594</f>
        <v>94.081084096418962</v>
      </c>
      <c r="I595" s="201">
        <f>Dat_02!G594</f>
        <v>0</v>
      </c>
      <c r="J595" s="207"/>
    </row>
    <row r="596" spans="2:10">
      <c r="B596" s="198"/>
      <c r="C596" s="199">
        <f>Dat_02!B595</f>
        <v>45792</v>
      </c>
      <c r="D596" s="198"/>
      <c r="E596" s="200">
        <f>Dat_02!C595</f>
        <v>154.06951616230779</v>
      </c>
      <c r="F596" s="200">
        <f>Dat_02!D595</f>
        <v>94.081084096418962</v>
      </c>
      <c r="G596" s="200">
        <f>Dat_02!E595</f>
        <v>94.081084096418962</v>
      </c>
      <c r="I596" s="201">
        <f>Dat_02!G595</f>
        <v>94.081084096418962</v>
      </c>
      <c r="J596" s="207"/>
    </row>
    <row r="597" spans="2:10">
      <c r="B597" s="198"/>
      <c r="C597" s="199">
        <f>Dat_02!B596</f>
        <v>45793</v>
      </c>
      <c r="D597" s="198"/>
      <c r="E597" s="200">
        <f>Dat_02!C596</f>
        <v>146.44976514230964</v>
      </c>
      <c r="F597" s="200">
        <f>Dat_02!D596</f>
        <v>94.081084096418962</v>
      </c>
      <c r="G597" s="200">
        <f>Dat_02!E596</f>
        <v>94.081084096418962</v>
      </c>
      <c r="I597" s="201">
        <f>Dat_02!G596</f>
        <v>0</v>
      </c>
      <c r="J597" s="207"/>
    </row>
    <row r="598" spans="2:10">
      <c r="B598" s="198"/>
      <c r="C598" s="199">
        <f>Dat_02!B597</f>
        <v>45794</v>
      </c>
      <c r="D598" s="198"/>
      <c r="E598" s="200">
        <f>Dat_02!C597</f>
        <v>148.80771684230777</v>
      </c>
      <c r="F598" s="200">
        <f>Dat_02!D597</f>
        <v>94.081084096418962</v>
      </c>
      <c r="G598" s="200">
        <f>Dat_02!E597</f>
        <v>94.081084096418962</v>
      </c>
      <c r="I598" s="201">
        <f>Dat_02!G597</f>
        <v>0</v>
      </c>
      <c r="J598" s="207"/>
    </row>
    <row r="599" spans="2:10">
      <c r="B599" s="198"/>
      <c r="C599" s="199">
        <f>Dat_02!B598</f>
        <v>45795</v>
      </c>
      <c r="D599" s="198"/>
      <c r="E599" s="200">
        <f>Dat_02!C598</f>
        <v>134.18698635830592</v>
      </c>
      <c r="F599" s="200">
        <f>Dat_02!D598</f>
        <v>94.081084096418962</v>
      </c>
      <c r="G599" s="200">
        <f>Dat_02!E598</f>
        <v>94.081084096418962</v>
      </c>
      <c r="I599" s="201">
        <f>Dat_02!G598</f>
        <v>0</v>
      </c>
      <c r="J599" s="207"/>
    </row>
    <row r="600" spans="2:10">
      <c r="B600" s="198"/>
      <c r="C600" s="199">
        <f>Dat_02!B599</f>
        <v>45796</v>
      </c>
      <c r="D600" s="198"/>
      <c r="E600" s="200">
        <f>Dat_02!C599</f>
        <v>140.97652798630779</v>
      </c>
      <c r="F600" s="200">
        <f>Dat_02!D599</f>
        <v>94.081084096418962</v>
      </c>
      <c r="G600" s="200">
        <f>Dat_02!E599</f>
        <v>94.081084096418962</v>
      </c>
      <c r="I600" s="201">
        <f>Dat_02!G599</f>
        <v>0</v>
      </c>
      <c r="J600" s="207"/>
    </row>
    <row r="601" spans="2:10">
      <c r="B601" s="198"/>
      <c r="C601" s="199">
        <f>Dat_02!B600</f>
        <v>45797</v>
      </c>
      <c r="D601" s="198"/>
      <c r="E601" s="200">
        <f>Dat_02!C600</f>
        <v>136.81608433430964</v>
      </c>
      <c r="F601" s="200">
        <f>Dat_02!D600</f>
        <v>94.081084096418962</v>
      </c>
      <c r="G601" s="200">
        <f>Dat_02!E600</f>
        <v>94.081084096418962</v>
      </c>
      <c r="I601" s="201">
        <f>Dat_02!G600</f>
        <v>0</v>
      </c>
      <c r="J601" s="207"/>
    </row>
    <row r="602" spans="2:10">
      <c r="B602" s="198"/>
      <c r="C602" s="199">
        <f>Dat_02!B601</f>
        <v>45798</v>
      </c>
      <c r="D602" s="198"/>
      <c r="E602" s="200">
        <f>Dat_02!C601</f>
        <v>138.75881396202365</v>
      </c>
      <c r="F602" s="200">
        <f>Dat_02!D601</f>
        <v>94.081084096418962</v>
      </c>
      <c r="G602" s="200">
        <f>Dat_02!E601</f>
        <v>94.081084096418962</v>
      </c>
      <c r="I602" s="201">
        <f>Dat_02!G601</f>
        <v>0</v>
      </c>
      <c r="J602" s="207"/>
    </row>
    <row r="603" spans="2:10">
      <c r="B603" s="198"/>
      <c r="C603" s="199">
        <f>Dat_02!B602</f>
        <v>45799</v>
      </c>
      <c r="D603" s="198"/>
      <c r="E603" s="200">
        <f>Dat_02!C602</f>
        <v>125.05323810602178</v>
      </c>
      <c r="F603" s="200">
        <f>Dat_02!D602</f>
        <v>94.081084096418962</v>
      </c>
      <c r="G603" s="200">
        <f>Dat_02!E602</f>
        <v>94.081084096418962</v>
      </c>
      <c r="I603" s="201">
        <f>Dat_02!G602</f>
        <v>0</v>
      </c>
      <c r="J603" s="207"/>
    </row>
    <row r="604" spans="2:10">
      <c r="B604" s="198"/>
      <c r="C604" s="199">
        <f>Dat_02!B603</f>
        <v>45800</v>
      </c>
      <c r="D604" s="198"/>
      <c r="E604" s="200">
        <f>Dat_02!C603</f>
        <v>115.11808362602363</v>
      </c>
      <c r="F604" s="200">
        <f>Dat_02!D603</f>
        <v>94.081084096418962</v>
      </c>
      <c r="G604" s="200">
        <f>Dat_02!E603</f>
        <v>94.081084096418962</v>
      </c>
      <c r="I604" s="201">
        <f>Dat_02!G603</f>
        <v>0</v>
      </c>
      <c r="J604" s="207"/>
    </row>
    <row r="605" spans="2:10">
      <c r="B605" s="198"/>
      <c r="C605" s="199">
        <f>Dat_02!B604</f>
        <v>45801</v>
      </c>
      <c r="D605" s="198"/>
      <c r="E605" s="200">
        <f>Dat_02!C604</f>
        <v>102.25645997402549</v>
      </c>
      <c r="F605" s="200">
        <f>Dat_02!D604</f>
        <v>94.081084096418962</v>
      </c>
      <c r="G605" s="200">
        <f>Dat_02!E604</f>
        <v>94.081084096418962</v>
      </c>
      <c r="I605" s="201">
        <f>Dat_02!G604</f>
        <v>0</v>
      </c>
      <c r="J605" s="207"/>
    </row>
    <row r="606" spans="2:10">
      <c r="B606" s="198"/>
      <c r="C606" s="199">
        <f>Dat_02!B605</f>
        <v>45802</v>
      </c>
      <c r="D606" s="198"/>
      <c r="E606" s="200">
        <f>Dat_02!C605</f>
        <v>89.735088242023636</v>
      </c>
      <c r="F606" s="200">
        <f>Dat_02!D605</f>
        <v>94.081084096418962</v>
      </c>
      <c r="G606" s="200">
        <f>Dat_02!E605</f>
        <v>89.735088242023636</v>
      </c>
      <c r="I606" s="201">
        <f>Dat_02!G605</f>
        <v>0</v>
      </c>
      <c r="J606" s="207"/>
    </row>
    <row r="607" spans="2:10">
      <c r="B607" s="198"/>
      <c r="C607" s="199">
        <f>Dat_02!B606</f>
        <v>45803</v>
      </c>
      <c r="D607" s="198"/>
      <c r="E607" s="200">
        <f>Dat_02!C606</f>
        <v>113.46330176602363</v>
      </c>
      <c r="F607" s="200">
        <f>Dat_02!D606</f>
        <v>94.081084096418962</v>
      </c>
      <c r="G607" s="200">
        <f>Dat_02!E606</f>
        <v>94.081084096418962</v>
      </c>
      <c r="I607" s="201">
        <f>Dat_02!G606</f>
        <v>0</v>
      </c>
      <c r="J607" s="207"/>
    </row>
    <row r="608" spans="2:10">
      <c r="B608" s="198"/>
      <c r="C608" s="199">
        <f>Dat_02!B607</f>
        <v>45804</v>
      </c>
      <c r="D608" s="198"/>
      <c r="E608" s="200">
        <f>Dat_02!C607</f>
        <v>108.28544203402365</v>
      </c>
      <c r="F608" s="200">
        <f>Dat_02!D607</f>
        <v>94.081084096418962</v>
      </c>
      <c r="G608" s="200">
        <f>Dat_02!E607</f>
        <v>94.081084096418962</v>
      </c>
      <c r="I608" s="201">
        <f>Dat_02!G607</f>
        <v>0</v>
      </c>
      <c r="J608" s="207"/>
    </row>
    <row r="609" spans="2:10">
      <c r="B609" s="198"/>
      <c r="C609" s="199">
        <f>Dat_02!B608</f>
        <v>45805</v>
      </c>
      <c r="D609" s="198"/>
      <c r="E609" s="200">
        <f>Dat_02!C608</f>
        <v>85.334210380966525</v>
      </c>
      <c r="F609" s="200">
        <f>Dat_02!D608</f>
        <v>94.081084096418962</v>
      </c>
      <c r="G609" s="200">
        <f>Dat_02!E608</f>
        <v>85.334210380966525</v>
      </c>
      <c r="I609" s="201">
        <f>Dat_02!G608</f>
        <v>0</v>
      </c>
      <c r="J609" s="207"/>
    </row>
    <row r="610" spans="2:10">
      <c r="B610" s="198"/>
      <c r="C610" s="199">
        <f>Dat_02!B609</f>
        <v>45806</v>
      </c>
      <c r="D610" s="198"/>
      <c r="E610" s="200">
        <f>Dat_02!C609</f>
        <v>82.878699856966534</v>
      </c>
      <c r="F610" s="200">
        <f>Dat_02!D609</f>
        <v>94.081084096418962</v>
      </c>
      <c r="G610" s="200">
        <f>Dat_02!E609</f>
        <v>82.878699856966534</v>
      </c>
      <c r="I610" s="201">
        <f>Dat_02!G609</f>
        <v>0</v>
      </c>
      <c r="J610" s="207"/>
    </row>
    <row r="611" spans="2:10">
      <c r="B611" s="198"/>
      <c r="C611" s="199">
        <f>Dat_02!B610</f>
        <v>45807</v>
      </c>
      <c r="D611" s="198"/>
      <c r="E611" s="200">
        <f>Dat_02!C610</f>
        <v>81.314931692968401</v>
      </c>
      <c r="F611" s="200">
        <f>Dat_02!D610</f>
        <v>94.081084096418962</v>
      </c>
      <c r="G611" s="200">
        <f>Dat_02!E610</f>
        <v>81.314931692968401</v>
      </c>
      <c r="I611" s="201">
        <f>Dat_02!G610</f>
        <v>0</v>
      </c>
      <c r="J611" s="207"/>
    </row>
    <row r="612" spans="2:10">
      <c r="B612" s="198"/>
      <c r="C612" s="199">
        <f>Dat_02!B611</f>
        <v>45808</v>
      </c>
      <c r="D612" s="198"/>
      <c r="E612" s="200">
        <f>Dat_02!C611</f>
        <v>67.374158356966518</v>
      </c>
      <c r="F612" s="200">
        <f>Dat_02!D611</f>
        <v>94.081084096418962</v>
      </c>
      <c r="G612" s="200">
        <f>Dat_02!E611</f>
        <v>67.374158356966518</v>
      </c>
      <c r="I612" s="201">
        <f>Dat_02!G611</f>
        <v>0</v>
      </c>
      <c r="J612" s="207"/>
    </row>
    <row r="613" spans="2:10">
      <c r="B613" s="198"/>
      <c r="C613" s="199">
        <f>Dat_02!B612</f>
        <v>45809</v>
      </c>
      <c r="D613" s="198"/>
      <c r="E613" s="200">
        <f>Dat_02!C612</f>
        <v>58.598271992964669</v>
      </c>
      <c r="F613" s="200">
        <f>Dat_02!D612</f>
        <v>61.406867513274626</v>
      </c>
      <c r="G613" s="200">
        <f>Dat_02!E612</f>
        <v>58.598271992964669</v>
      </c>
      <c r="I613" s="201">
        <f>Dat_02!G612</f>
        <v>0</v>
      </c>
      <c r="J613" s="207"/>
    </row>
    <row r="614" spans="2:10">
      <c r="B614" s="198"/>
      <c r="C614" s="199">
        <f>Dat_02!B613</f>
        <v>45810</v>
      </c>
      <c r="D614" s="198"/>
      <c r="E614" s="200">
        <f>Dat_02!C613</f>
        <v>68.619776628966534</v>
      </c>
      <c r="F614" s="200">
        <f>Dat_02!D613</f>
        <v>61.406867513274626</v>
      </c>
      <c r="G614" s="200">
        <f>Dat_02!E613</f>
        <v>61.406867513274626</v>
      </c>
      <c r="I614" s="201">
        <f>Dat_02!G613</f>
        <v>0</v>
      </c>
      <c r="J614" s="207"/>
    </row>
    <row r="615" spans="2:10">
      <c r="B615" s="198"/>
      <c r="C615" s="199">
        <f>Dat_02!B614</f>
        <v>45811</v>
      </c>
      <c r="D615" s="198"/>
      <c r="E615" s="200">
        <f>Dat_02!C614</f>
        <v>77.949065616968397</v>
      </c>
      <c r="F615" s="200">
        <f>Dat_02!D614</f>
        <v>61.406867513274626</v>
      </c>
      <c r="G615" s="200">
        <f>Dat_02!E614</f>
        <v>61.406867513274626</v>
      </c>
      <c r="I615" s="201">
        <f>Dat_02!G614</f>
        <v>0</v>
      </c>
      <c r="J615" s="207"/>
    </row>
    <row r="616" spans="2:10">
      <c r="B616" s="198"/>
      <c r="C616" s="199">
        <f>Dat_02!B615</f>
        <v>45812</v>
      </c>
      <c r="D616" s="198"/>
      <c r="E616" s="200">
        <f>Dat_02!C615</f>
        <v>81.672736388919745</v>
      </c>
      <c r="F616" s="200">
        <f>Dat_02!D615</f>
        <v>61.406867513274626</v>
      </c>
      <c r="G616" s="200">
        <f>Dat_02!E615</f>
        <v>61.406867513274626</v>
      </c>
      <c r="I616" s="201">
        <f>Dat_02!G615</f>
        <v>0</v>
      </c>
      <c r="J616" s="207"/>
    </row>
    <row r="617" spans="2:10">
      <c r="B617" s="198"/>
      <c r="C617" s="199">
        <f>Dat_02!B616</f>
        <v>45813</v>
      </c>
      <c r="D617" s="198"/>
      <c r="E617" s="200">
        <f>Dat_02!C616</f>
        <v>71.523855384919756</v>
      </c>
      <c r="F617" s="200">
        <f>Dat_02!D616</f>
        <v>61.406867513274626</v>
      </c>
      <c r="G617" s="200">
        <f>Dat_02!E616</f>
        <v>61.406867513274626</v>
      </c>
      <c r="I617" s="201">
        <f>Dat_02!G616</f>
        <v>0</v>
      </c>
      <c r="J617" s="207"/>
    </row>
    <row r="618" spans="2:10">
      <c r="B618" s="198"/>
      <c r="C618" s="199">
        <f>Dat_02!B617</f>
        <v>45814</v>
      </c>
      <c r="D618" s="198"/>
      <c r="E618" s="200">
        <f>Dat_02!C617</f>
        <v>77.406571172919755</v>
      </c>
      <c r="F618" s="200">
        <f>Dat_02!D617</f>
        <v>61.406867513274626</v>
      </c>
      <c r="G618" s="200">
        <f>Dat_02!E617</f>
        <v>61.406867513274626</v>
      </c>
      <c r="I618" s="201">
        <f>Dat_02!G617</f>
        <v>0</v>
      </c>
      <c r="J618" s="207"/>
    </row>
    <row r="619" spans="2:10">
      <c r="B619" s="198"/>
      <c r="C619" s="199">
        <f>Dat_02!B618</f>
        <v>45815</v>
      </c>
      <c r="D619" s="198"/>
      <c r="E619" s="200">
        <f>Dat_02!C618</f>
        <v>59.633907156917878</v>
      </c>
      <c r="F619" s="200">
        <f>Dat_02!D618</f>
        <v>61.406867513274626</v>
      </c>
      <c r="G619" s="200">
        <f>Dat_02!E618</f>
        <v>59.633907156917878</v>
      </c>
      <c r="I619" s="201">
        <f>Dat_02!G618</f>
        <v>0</v>
      </c>
      <c r="J619" s="207"/>
    </row>
    <row r="620" spans="2:10">
      <c r="B620" s="198"/>
      <c r="C620" s="199">
        <f>Dat_02!B619</f>
        <v>45816</v>
      </c>
      <c r="D620" s="198"/>
      <c r="E620" s="200">
        <f>Dat_02!C619</f>
        <v>45.355526304921611</v>
      </c>
      <c r="F620" s="200">
        <f>Dat_02!D619</f>
        <v>61.406867513274626</v>
      </c>
      <c r="G620" s="200">
        <f>Dat_02!E619</f>
        <v>45.355526304921611</v>
      </c>
      <c r="I620" s="201">
        <f>Dat_02!G619</f>
        <v>0</v>
      </c>
      <c r="J620" s="207"/>
    </row>
    <row r="621" spans="2:10">
      <c r="B621" s="198"/>
      <c r="C621" s="199">
        <f>Dat_02!B620</f>
        <v>45817</v>
      </c>
      <c r="D621" s="198"/>
      <c r="E621" s="200">
        <f>Dat_02!C620</f>
        <v>71.81890005291973</v>
      </c>
      <c r="F621" s="200">
        <f>Dat_02!D620</f>
        <v>61.406867513274626</v>
      </c>
      <c r="G621" s="200">
        <f>Dat_02!E620</f>
        <v>61.406867513274626</v>
      </c>
      <c r="I621" s="201">
        <f>Dat_02!G620</f>
        <v>0</v>
      </c>
      <c r="J621" s="207"/>
    </row>
    <row r="622" spans="2:10">
      <c r="B622" s="198"/>
      <c r="C622" s="199">
        <f>Dat_02!B621</f>
        <v>45818</v>
      </c>
      <c r="D622" s="198"/>
      <c r="E622" s="200">
        <f>Dat_02!C621</f>
        <v>94.682567192919748</v>
      </c>
      <c r="F622" s="200">
        <f>Dat_02!D621</f>
        <v>61.406867513274626</v>
      </c>
      <c r="G622" s="200">
        <f>Dat_02!E621</f>
        <v>61.406867513274626</v>
      </c>
      <c r="I622" s="201">
        <f>Dat_02!G621</f>
        <v>0</v>
      </c>
      <c r="J622" s="207"/>
    </row>
    <row r="623" spans="2:10">
      <c r="B623" s="198"/>
      <c r="C623" s="199">
        <f>Dat_02!B622</f>
        <v>45819</v>
      </c>
      <c r="D623" s="198"/>
      <c r="E623" s="200">
        <f>Dat_02!C622</f>
        <v>57.259591085395691</v>
      </c>
      <c r="F623" s="200">
        <f>Dat_02!D622</f>
        <v>61.406867513274626</v>
      </c>
      <c r="G623" s="200">
        <f>Dat_02!E622</f>
        <v>57.259591085395691</v>
      </c>
      <c r="I623" s="201">
        <f>Dat_02!G622</f>
        <v>0</v>
      </c>
      <c r="J623" s="207"/>
    </row>
    <row r="624" spans="2:10">
      <c r="B624" s="198"/>
      <c r="C624" s="199">
        <f>Dat_02!B623</f>
        <v>45820</v>
      </c>
      <c r="D624" s="198"/>
      <c r="E624" s="200">
        <f>Dat_02!C623</f>
        <v>55.325938405397551</v>
      </c>
      <c r="F624" s="200">
        <f>Dat_02!D623</f>
        <v>61.406867513274626</v>
      </c>
      <c r="G624" s="200">
        <f>Dat_02!E623</f>
        <v>55.325938405397551</v>
      </c>
      <c r="I624" s="201">
        <f>Dat_02!G623</f>
        <v>0</v>
      </c>
      <c r="J624" s="207"/>
    </row>
    <row r="625" spans="2:10">
      <c r="B625" s="198"/>
      <c r="C625" s="199">
        <f>Dat_02!B624</f>
        <v>45821</v>
      </c>
      <c r="D625" s="198"/>
      <c r="E625" s="200">
        <f>Dat_02!C624</f>
        <v>57.616556809397558</v>
      </c>
      <c r="F625" s="200">
        <f>Dat_02!D624</f>
        <v>61.406867513274626</v>
      </c>
      <c r="G625" s="200">
        <f>Dat_02!E624</f>
        <v>57.616556809397558</v>
      </c>
      <c r="I625" s="201">
        <f>Dat_02!G624</f>
        <v>0</v>
      </c>
      <c r="J625" s="207"/>
    </row>
    <row r="626" spans="2:10">
      <c r="B626" s="198"/>
      <c r="C626" s="199">
        <f>Dat_02!B625</f>
        <v>45822</v>
      </c>
      <c r="D626" s="198"/>
      <c r="E626" s="200">
        <f>Dat_02!C625</f>
        <v>35.94605839339755</v>
      </c>
      <c r="F626" s="200">
        <f>Dat_02!D625</f>
        <v>61.406867513274626</v>
      </c>
      <c r="G626" s="200">
        <f>Dat_02!E625</f>
        <v>35.94605839339755</v>
      </c>
      <c r="I626" s="201">
        <f>Dat_02!G625</f>
        <v>0</v>
      </c>
      <c r="J626" s="207"/>
    </row>
    <row r="627" spans="2:10">
      <c r="B627" s="198"/>
      <c r="C627" s="199">
        <f>Dat_02!B626</f>
        <v>45823</v>
      </c>
      <c r="D627" s="198"/>
      <c r="E627" s="200">
        <f>Dat_02!C626</f>
        <v>27.055958057395692</v>
      </c>
      <c r="F627" s="200">
        <f>Dat_02!D626</f>
        <v>61.406867513274626</v>
      </c>
      <c r="G627" s="200">
        <f>Dat_02!E626</f>
        <v>27.055958057395692</v>
      </c>
      <c r="I627" s="201">
        <f>Dat_02!G626</f>
        <v>61.406867513274626</v>
      </c>
      <c r="J627" s="207"/>
    </row>
    <row r="628" spans="2:10">
      <c r="B628" s="198"/>
      <c r="C628" s="199">
        <f>Dat_02!B627</f>
        <v>45824</v>
      </c>
      <c r="D628" s="198"/>
      <c r="E628" s="200">
        <f>Dat_02!C627</f>
        <v>41.623953953399415</v>
      </c>
      <c r="F628" s="200">
        <f>Dat_02!D627</f>
        <v>61.406867513274626</v>
      </c>
      <c r="G628" s="200">
        <f>Dat_02!E627</f>
        <v>41.623953953399415</v>
      </c>
      <c r="I628" s="201">
        <f>Dat_02!G627</f>
        <v>0</v>
      </c>
      <c r="J628" s="207"/>
    </row>
    <row r="629" spans="2:10">
      <c r="B629" s="198"/>
      <c r="C629" s="199">
        <f>Dat_02!B628</f>
        <v>45825</v>
      </c>
      <c r="D629" s="198"/>
      <c r="E629" s="200">
        <f>Dat_02!C628</f>
        <v>66.71431773339755</v>
      </c>
      <c r="F629" s="200">
        <f>Dat_02!D628</f>
        <v>61.406867513274626</v>
      </c>
      <c r="G629" s="200">
        <f>Dat_02!E628</f>
        <v>61.406867513274626</v>
      </c>
      <c r="I629" s="201">
        <f>Dat_02!G628</f>
        <v>0</v>
      </c>
      <c r="J629" s="207"/>
    </row>
    <row r="630" spans="2:10">
      <c r="B630" s="198"/>
      <c r="C630" s="199">
        <f>Dat_02!B629</f>
        <v>45826</v>
      </c>
      <c r="D630" s="198"/>
      <c r="E630" s="200">
        <f>Dat_02!C629</f>
        <v>54.761214226402402</v>
      </c>
      <c r="F630" s="200">
        <f>Dat_02!D629</f>
        <v>61.406867513274626</v>
      </c>
      <c r="G630" s="200">
        <f>Dat_02!E629</f>
        <v>54.761214226402402</v>
      </c>
      <c r="I630" s="201">
        <f>Dat_02!G629</f>
        <v>0</v>
      </c>
      <c r="J630" s="207"/>
    </row>
    <row r="631" spans="2:10">
      <c r="B631" s="198"/>
      <c r="C631" s="199">
        <f>Dat_02!B630</f>
        <v>45827</v>
      </c>
      <c r="D631" s="198"/>
      <c r="E631" s="200">
        <f>Dat_02!C630</f>
        <v>56.422797154402403</v>
      </c>
      <c r="F631" s="200">
        <f>Dat_02!D630</f>
        <v>61.406867513274626</v>
      </c>
      <c r="G631" s="200">
        <f>Dat_02!E630</f>
        <v>56.422797154402403</v>
      </c>
      <c r="I631" s="201">
        <f>Dat_02!G630</f>
        <v>0</v>
      </c>
      <c r="J631" s="207"/>
    </row>
    <row r="632" spans="2:10">
      <c r="B632" s="198"/>
      <c r="C632" s="199">
        <f>Dat_02!B631</f>
        <v>45828</v>
      </c>
      <c r="D632" s="198"/>
      <c r="E632" s="200">
        <f>Dat_02!C631</f>
        <v>50.235002274402405</v>
      </c>
      <c r="F632" s="200">
        <f>Dat_02!D631</f>
        <v>61.406867513274626</v>
      </c>
      <c r="G632" s="200">
        <f>Dat_02!E631</f>
        <v>50.235002274402405</v>
      </c>
      <c r="I632" s="201">
        <f>Dat_02!G631</f>
        <v>0</v>
      </c>
      <c r="J632" s="207"/>
    </row>
    <row r="633" spans="2:10">
      <c r="B633" s="198"/>
      <c r="C633" s="199">
        <f>Dat_02!B632</f>
        <v>45829</v>
      </c>
      <c r="D633" s="198"/>
      <c r="E633" s="200">
        <f>Dat_02!C632</f>
        <v>26.709860526407983</v>
      </c>
      <c r="F633" s="200">
        <f>Dat_02!D632</f>
        <v>61.406867513274626</v>
      </c>
      <c r="G633" s="200">
        <f>Dat_02!E632</f>
        <v>26.709860526407983</v>
      </c>
      <c r="I633" s="201">
        <f>Dat_02!G632</f>
        <v>0</v>
      </c>
      <c r="J633" s="207"/>
    </row>
    <row r="634" spans="2:10">
      <c r="B634" s="198"/>
      <c r="C634" s="199">
        <f>Dat_02!B633</f>
        <v>45830</v>
      </c>
      <c r="D634" s="198"/>
      <c r="E634" s="200">
        <f>Dat_02!C633</f>
        <v>14.960270526402397</v>
      </c>
      <c r="F634" s="200">
        <f>Dat_02!D633</f>
        <v>61.406867513274626</v>
      </c>
      <c r="G634" s="200">
        <f>Dat_02!E633</f>
        <v>14.960270526402397</v>
      </c>
      <c r="I634" s="201">
        <f>Dat_02!G633</f>
        <v>0</v>
      </c>
      <c r="J634" s="207"/>
    </row>
    <row r="635" spans="2:10">
      <c r="B635" s="198"/>
      <c r="C635" s="199">
        <f>Dat_02!B634</f>
        <v>45831</v>
      </c>
      <c r="D635" s="198"/>
      <c r="E635" s="200">
        <f>Dat_02!C634</f>
        <v>32.597704998404254</v>
      </c>
      <c r="F635" s="200">
        <f>Dat_02!D634</f>
        <v>61.406867513274626</v>
      </c>
      <c r="G635" s="200">
        <f>Dat_02!E634</f>
        <v>32.597704998404254</v>
      </c>
      <c r="I635" s="201">
        <f>Dat_02!G634</f>
        <v>0</v>
      </c>
      <c r="J635" s="207"/>
    </row>
    <row r="636" spans="2:10">
      <c r="B636" s="198"/>
      <c r="C636" s="199">
        <f>Dat_02!B635</f>
        <v>45832</v>
      </c>
      <c r="D636" s="198"/>
      <c r="E636" s="200">
        <f>Dat_02!C635</f>
        <v>31.534556734404266</v>
      </c>
      <c r="F636" s="200">
        <f>Dat_02!D635</f>
        <v>61.406867513274626</v>
      </c>
      <c r="G636" s="200">
        <f>Dat_02!E635</f>
        <v>31.534556734404266</v>
      </c>
      <c r="I636" s="201">
        <f>Dat_02!G635</f>
        <v>0</v>
      </c>
      <c r="J636" s="207"/>
    </row>
    <row r="637" spans="2:10">
      <c r="B637" s="198"/>
      <c r="C637" s="199">
        <f>Dat_02!B636</f>
        <v>45833</v>
      </c>
      <c r="D637" s="198"/>
      <c r="E637" s="200">
        <f>Dat_02!C636</f>
        <v>35.72570145258446</v>
      </c>
      <c r="F637" s="200">
        <f>Dat_02!D636</f>
        <v>61.406867513274626</v>
      </c>
      <c r="G637" s="200">
        <f>Dat_02!E636</f>
        <v>35.72570145258446</v>
      </c>
      <c r="I637" s="201">
        <f>Dat_02!G636</f>
        <v>0</v>
      </c>
      <c r="J637" s="207"/>
    </row>
    <row r="638" spans="2:10">
      <c r="B638" s="198"/>
      <c r="C638" s="199">
        <f>Dat_02!B637</f>
        <v>45834</v>
      </c>
      <c r="D638" s="198"/>
      <c r="E638" s="200">
        <f>Dat_02!C637</f>
        <v>33.965078324582585</v>
      </c>
      <c r="F638" s="200">
        <f>Dat_02!D637</f>
        <v>61.406867513274626</v>
      </c>
      <c r="G638" s="200">
        <f>Dat_02!E637</f>
        <v>33.965078324582585</v>
      </c>
      <c r="I638" s="201">
        <f>Dat_02!G637</f>
        <v>0</v>
      </c>
      <c r="J638" s="207"/>
    </row>
    <row r="639" spans="2:10">
      <c r="B639" s="198"/>
      <c r="C639" s="199">
        <f>Dat_02!B638</f>
        <v>45835</v>
      </c>
      <c r="D639" s="198"/>
      <c r="E639" s="200">
        <f>Dat_02!C638</f>
        <v>46.323746096584451</v>
      </c>
      <c r="F639" s="200">
        <f>Dat_02!D638</f>
        <v>61.406867513274626</v>
      </c>
      <c r="G639" s="200">
        <f>Dat_02!E638</f>
        <v>46.323746096584451</v>
      </c>
      <c r="I639" s="201">
        <f>Dat_02!G638</f>
        <v>0</v>
      </c>
      <c r="J639" s="207"/>
    </row>
    <row r="640" spans="2:10">
      <c r="B640" s="198"/>
      <c r="C640" s="199">
        <f>Dat_02!B639</f>
        <v>45836</v>
      </c>
      <c r="D640" s="198"/>
      <c r="E640" s="200">
        <f>Dat_02!C639</f>
        <v>25.447826728584463</v>
      </c>
      <c r="F640" s="200">
        <f>Dat_02!D639</f>
        <v>61.406867513274626</v>
      </c>
      <c r="G640" s="200">
        <f>Dat_02!E639</f>
        <v>25.447826728584463</v>
      </c>
      <c r="I640" s="201">
        <f>Dat_02!G639</f>
        <v>0</v>
      </c>
      <c r="J640" s="207"/>
    </row>
    <row r="641" spans="2:10">
      <c r="B641" s="198"/>
      <c r="C641" s="199">
        <f>Dat_02!B640</f>
        <v>45837</v>
      </c>
      <c r="D641" s="198"/>
      <c r="E641" s="200">
        <f>Dat_02!C640</f>
        <v>20.981961452582588</v>
      </c>
      <c r="F641" s="200">
        <f>Dat_02!D640</f>
        <v>61.406867513274626</v>
      </c>
      <c r="G641" s="200">
        <f>Dat_02!E640</f>
        <v>20.981961452582588</v>
      </c>
      <c r="I641" s="201">
        <f>Dat_02!G640</f>
        <v>0</v>
      </c>
      <c r="J641" s="207"/>
    </row>
    <row r="642" spans="2:10">
      <c r="B642" s="198"/>
      <c r="C642" s="199">
        <f>Dat_02!B641</f>
        <v>45838</v>
      </c>
      <c r="D642" s="198"/>
      <c r="E642" s="200">
        <f>Dat_02!C641</f>
        <v>52.456011008584447</v>
      </c>
      <c r="F642" s="200">
        <f>Dat_02!D641</f>
        <v>61.406867513274626</v>
      </c>
      <c r="G642" s="200">
        <f>Dat_02!E641</f>
        <v>52.456011008584447</v>
      </c>
      <c r="I642" s="201">
        <f>Dat_02!G641</f>
        <v>0</v>
      </c>
      <c r="J642" s="207"/>
    </row>
    <row r="643" spans="2:10">
      <c r="B643" s="198"/>
      <c r="C643" s="199">
        <f>Dat_02!B642</f>
        <v>45839</v>
      </c>
      <c r="D643" s="198"/>
      <c r="E643" s="200">
        <f>Dat_02!C642</f>
        <v>32.060659492584456</v>
      </c>
      <c r="F643" s="200">
        <f>Dat_02!D642</f>
        <v>25.377234765527756</v>
      </c>
      <c r="G643" s="200">
        <f>Dat_02!E642</f>
        <v>25.377234765527756</v>
      </c>
      <c r="I643" s="201">
        <f>Dat_02!G642</f>
        <v>0</v>
      </c>
      <c r="J643" s="207"/>
    </row>
    <row r="644" spans="2:10">
      <c r="B644" s="198"/>
      <c r="C644" s="199">
        <f>Dat_02!B643</f>
        <v>45840</v>
      </c>
      <c r="D644" s="198"/>
      <c r="E644" s="200">
        <f>Dat_02!C643</f>
        <v>33.614730920549135</v>
      </c>
      <c r="F644" s="200">
        <f>Dat_02!D643</f>
        <v>25.377234765527756</v>
      </c>
      <c r="G644" s="200">
        <f>Dat_02!E643</f>
        <v>25.377234765527756</v>
      </c>
      <c r="I644" s="201">
        <f>Dat_02!G643</f>
        <v>0</v>
      </c>
      <c r="J644" s="207"/>
    </row>
    <row r="645" spans="2:10">
      <c r="B645" s="198"/>
      <c r="C645" s="199">
        <f>Dat_02!B644</f>
        <v>45841</v>
      </c>
      <c r="D645" s="198"/>
      <c r="E645" s="200">
        <f>Dat_02!C644</f>
        <v>30.485046448547276</v>
      </c>
      <c r="F645" s="200">
        <f>Dat_02!D644</f>
        <v>25.377234765527756</v>
      </c>
      <c r="G645" s="200">
        <f>Dat_02!E644</f>
        <v>25.377234765527756</v>
      </c>
      <c r="I645" s="201">
        <f>Dat_02!G644</f>
        <v>0</v>
      </c>
      <c r="J645" s="207"/>
    </row>
    <row r="646" spans="2:10">
      <c r="B646" s="198"/>
      <c r="C646" s="199">
        <f>Dat_02!B645</f>
        <v>45842</v>
      </c>
      <c r="D646" s="198"/>
      <c r="E646" s="200">
        <f>Dat_02!C645</f>
        <v>27.580826840551001</v>
      </c>
      <c r="F646" s="200">
        <f>Dat_02!D645</f>
        <v>25.377234765527756</v>
      </c>
      <c r="G646" s="200">
        <f>Dat_02!E645</f>
        <v>25.377234765527756</v>
      </c>
      <c r="I646" s="201">
        <f>Dat_02!G645</f>
        <v>0</v>
      </c>
      <c r="J646" s="207"/>
    </row>
    <row r="647" spans="2:10">
      <c r="B647" s="198"/>
      <c r="C647" s="199">
        <f>Dat_02!B646</f>
        <v>45843</v>
      </c>
      <c r="D647" s="198"/>
      <c r="E647" s="200">
        <f>Dat_02!C646</f>
        <v>11.098656220543555</v>
      </c>
      <c r="F647" s="200">
        <f>Dat_02!D646</f>
        <v>25.377234765527756</v>
      </c>
      <c r="G647" s="200">
        <f>Dat_02!E646</f>
        <v>11.098656220543555</v>
      </c>
      <c r="I647" s="201">
        <f>Dat_02!G646</f>
        <v>0</v>
      </c>
      <c r="J647" s="207"/>
    </row>
    <row r="648" spans="2:10">
      <c r="B648" s="198"/>
      <c r="C648" s="199">
        <f>Dat_02!B647</f>
        <v>45844</v>
      </c>
      <c r="D648" s="198"/>
      <c r="E648" s="200">
        <f>Dat_02!C647</f>
        <v>1.3804881365510009</v>
      </c>
      <c r="F648" s="200">
        <f>Dat_02!D647</f>
        <v>25.377234765527756</v>
      </c>
      <c r="G648" s="200">
        <f>Dat_02!E647</f>
        <v>1.3804881365510009</v>
      </c>
      <c r="I648" s="201">
        <f>Dat_02!G647</f>
        <v>0</v>
      </c>
      <c r="J648" s="207"/>
    </row>
    <row r="649" spans="2:10">
      <c r="B649" s="198"/>
      <c r="C649" s="199">
        <f>Dat_02!B648</f>
        <v>45845</v>
      </c>
      <c r="D649" s="198"/>
      <c r="E649" s="200">
        <f>Dat_02!C648</f>
        <v>1.5454278285491383</v>
      </c>
      <c r="F649" s="200">
        <f>Dat_02!D648</f>
        <v>25.377234765527756</v>
      </c>
      <c r="G649" s="200">
        <f>Dat_02!E648</f>
        <v>1.5454278285491383</v>
      </c>
      <c r="I649" s="201">
        <f>Dat_02!G648</f>
        <v>0</v>
      </c>
      <c r="J649" s="207"/>
    </row>
    <row r="650" spans="2:10">
      <c r="B650" s="198"/>
      <c r="C650" s="199">
        <f>Dat_02!B649</f>
        <v>45846</v>
      </c>
      <c r="D650" s="198"/>
      <c r="E650" s="200">
        <f>Dat_02!C649</f>
        <v>1.0118280485472788</v>
      </c>
      <c r="F650" s="200">
        <f>Dat_02!D649</f>
        <v>25.377234765527756</v>
      </c>
      <c r="G650" s="200">
        <f>Dat_02!E649</f>
        <v>1.0118280485472788</v>
      </c>
      <c r="I650" s="201">
        <f>Dat_02!G649</f>
        <v>0</v>
      </c>
      <c r="J650" s="207"/>
    </row>
    <row r="651" spans="2:10">
      <c r="B651" s="198"/>
      <c r="C651" s="199">
        <f>Dat_02!B650</f>
        <v>45847</v>
      </c>
      <c r="D651" s="198"/>
      <c r="E651" s="200">
        <f>Dat_02!C650</f>
        <v>14.250646552055375</v>
      </c>
      <c r="F651" s="200">
        <f>Dat_02!D650</f>
        <v>25.377234765527756</v>
      </c>
      <c r="G651" s="200">
        <f>Dat_02!E650</f>
        <v>14.250646552055375</v>
      </c>
      <c r="I651" s="201">
        <f>Dat_02!G650</f>
        <v>0</v>
      </c>
      <c r="J651" s="207"/>
    </row>
    <row r="652" spans="2:10">
      <c r="B652" s="198"/>
      <c r="C652" s="199">
        <f>Dat_02!B651</f>
        <v>45848</v>
      </c>
      <c r="D652" s="198"/>
      <c r="E652" s="200">
        <f>Dat_02!C651</f>
        <v>32.821704648055366</v>
      </c>
      <c r="F652" s="200">
        <f>Dat_02!D651</f>
        <v>25.377234765527756</v>
      </c>
      <c r="G652" s="200">
        <f>Dat_02!E651</f>
        <v>25.377234765527756</v>
      </c>
      <c r="I652" s="201">
        <f>Dat_02!G651</f>
        <v>0</v>
      </c>
      <c r="J652" s="207"/>
    </row>
    <row r="653" spans="2:10">
      <c r="B653" s="198"/>
      <c r="C653" s="199">
        <f>Dat_02!B652</f>
        <v>45849</v>
      </c>
      <c r="D653" s="198"/>
      <c r="E653" s="200">
        <f>Dat_02!C652</f>
        <v>27.025926548053512</v>
      </c>
      <c r="F653" s="200">
        <f>Dat_02!D652</f>
        <v>25.377234765527756</v>
      </c>
      <c r="G653" s="200">
        <f>Dat_02!E652</f>
        <v>25.377234765527756</v>
      </c>
      <c r="I653" s="201">
        <f>Dat_02!G652</f>
        <v>0</v>
      </c>
      <c r="J653" s="207"/>
    </row>
    <row r="654" spans="2:10">
      <c r="B654" s="198"/>
      <c r="C654" s="199">
        <f>Dat_02!B653</f>
        <v>45850</v>
      </c>
      <c r="D654" s="198"/>
      <c r="E654" s="200">
        <f>Dat_02!C653</f>
        <v>18.573618852053507</v>
      </c>
      <c r="F654" s="200">
        <f>Dat_02!D653</f>
        <v>25.377234765527756</v>
      </c>
      <c r="G654" s="200">
        <f>Dat_02!E653</f>
        <v>18.573618852053507</v>
      </c>
      <c r="I654" s="201">
        <f>Dat_02!G653</f>
        <v>0</v>
      </c>
      <c r="J654" s="207"/>
    </row>
    <row r="655" spans="2:10">
      <c r="B655" s="198"/>
      <c r="C655" s="199">
        <f>Dat_02!B654</f>
        <v>45851</v>
      </c>
      <c r="D655" s="198"/>
      <c r="E655" s="200">
        <f>Dat_02!C654</f>
        <v>4.7647492440572314</v>
      </c>
      <c r="F655" s="200">
        <f>Dat_02!D654</f>
        <v>25.377234765527756</v>
      </c>
      <c r="G655" s="200">
        <f>Dat_02!E654</f>
        <v>4.7647492440572314</v>
      </c>
      <c r="I655" s="201">
        <f>Dat_02!G654</f>
        <v>0</v>
      </c>
      <c r="J655" s="207"/>
    </row>
    <row r="656" spans="2:10">
      <c r="B656" s="198"/>
      <c r="C656" s="199">
        <f>Dat_02!B655</f>
        <v>45852</v>
      </c>
      <c r="D656" s="198"/>
      <c r="E656" s="200">
        <f>Dat_02!C655</f>
        <v>14.383819348053505</v>
      </c>
      <c r="F656" s="200">
        <f>Dat_02!D655</f>
        <v>25.377234765527756</v>
      </c>
      <c r="G656" s="200">
        <f>Dat_02!E655</f>
        <v>14.383819348053505</v>
      </c>
      <c r="I656" s="201">
        <f>Dat_02!G655</f>
        <v>0</v>
      </c>
      <c r="J656" s="207"/>
    </row>
    <row r="657" spans="2:10">
      <c r="B657" s="198"/>
      <c r="C657" s="199">
        <f>Dat_02!B656</f>
        <v>45853</v>
      </c>
      <c r="D657" s="198"/>
      <c r="E657" s="200">
        <f>Dat_02!C656</f>
        <v>14.840918868053508</v>
      </c>
      <c r="F657" s="200">
        <f>Dat_02!D656</f>
        <v>25.377234765527756</v>
      </c>
      <c r="G657" s="200">
        <f>Dat_02!E656</f>
        <v>14.840918868053508</v>
      </c>
      <c r="I657" s="201">
        <f>Dat_02!G656</f>
        <v>25.377234765527756</v>
      </c>
      <c r="J657" s="207"/>
    </row>
    <row r="658" spans="2:10">
      <c r="B658" s="198"/>
      <c r="C658" s="199">
        <f>Dat_02!B657</f>
        <v>45854</v>
      </c>
      <c r="D658" s="198"/>
      <c r="E658" s="200">
        <f>Dat_02!C657</f>
        <v>20.66964009515906</v>
      </c>
      <c r="F658" s="200">
        <f>Dat_02!D657</f>
        <v>25.377234765527756</v>
      </c>
      <c r="G658" s="200">
        <f>Dat_02!E657</f>
        <v>20.66964009515906</v>
      </c>
      <c r="I658" s="201">
        <f>Dat_02!G657</f>
        <v>0</v>
      </c>
      <c r="J658" s="207"/>
    </row>
    <row r="659" spans="2:10">
      <c r="B659" s="198"/>
      <c r="C659" s="199">
        <f>Dat_02!B658</f>
        <v>45855</v>
      </c>
      <c r="D659" s="198"/>
      <c r="E659" s="200">
        <f>Dat_02!C658</f>
        <v>17.906403759159062</v>
      </c>
      <c r="F659" s="200">
        <f>Dat_02!D658</f>
        <v>25.377234765527756</v>
      </c>
      <c r="G659" s="200">
        <f>Dat_02!E658</f>
        <v>17.906403759159062</v>
      </c>
      <c r="I659" s="201">
        <f>Dat_02!G658</f>
        <v>0</v>
      </c>
      <c r="J659" s="207"/>
    </row>
    <row r="660" spans="2:10">
      <c r="B660" s="198"/>
      <c r="C660" s="199">
        <f>Dat_02!B659</f>
        <v>45856</v>
      </c>
      <c r="D660" s="198"/>
      <c r="E660" s="200">
        <f>Dat_02!C659</f>
        <v>17.513657111160924</v>
      </c>
      <c r="F660" s="200">
        <f>Dat_02!D659</f>
        <v>25.377234765527756</v>
      </c>
      <c r="G660" s="200">
        <f>Dat_02!E659</f>
        <v>17.513657111160924</v>
      </c>
      <c r="I660" s="201">
        <f>Dat_02!G659</f>
        <v>0</v>
      </c>
      <c r="J660" s="207"/>
    </row>
    <row r="661" spans="2:10">
      <c r="B661" s="198"/>
      <c r="C661" s="199">
        <f>Dat_02!B660</f>
        <v>45857</v>
      </c>
      <c r="D661" s="198"/>
      <c r="E661" s="200">
        <f>Dat_02!C660</f>
        <v>8.71834746716093</v>
      </c>
      <c r="F661" s="200">
        <f>Dat_02!D660</f>
        <v>25.377234765527756</v>
      </c>
      <c r="G661" s="200">
        <f>Dat_02!E660</f>
        <v>8.71834746716093</v>
      </c>
      <c r="I661" s="201">
        <f>Dat_02!G660</f>
        <v>0</v>
      </c>
      <c r="J661" s="207"/>
    </row>
    <row r="662" spans="2:10">
      <c r="B662" s="198"/>
      <c r="C662" s="199">
        <f>Dat_02!B661</f>
        <v>45858</v>
      </c>
      <c r="D662" s="198"/>
      <c r="E662" s="200">
        <f>Dat_02!C661</f>
        <v>1.1173188071572004</v>
      </c>
      <c r="F662" s="200">
        <f>Dat_02!D661</f>
        <v>25.377234765527756</v>
      </c>
      <c r="G662" s="200">
        <f>Dat_02!E661</f>
        <v>1.1173188071572004</v>
      </c>
      <c r="I662" s="201">
        <f>Dat_02!G661</f>
        <v>0</v>
      </c>
      <c r="J662" s="207"/>
    </row>
    <row r="663" spans="2:10">
      <c r="B663" s="198"/>
      <c r="C663" s="199">
        <f>Dat_02!B662</f>
        <v>45859</v>
      </c>
      <c r="D663" s="198"/>
      <c r="E663" s="200">
        <f>Dat_02!C662</f>
        <v>8.8596250631609283</v>
      </c>
      <c r="F663" s="200">
        <f>Dat_02!D662</f>
        <v>25.377234765527756</v>
      </c>
      <c r="G663" s="200">
        <f>Dat_02!E662</f>
        <v>8.8596250631609283</v>
      </c>
      <c r="I663" s="201">
        <f>Dat_02!G662</f>
        <v>0</v>
      </c>
      <c r="J663" s="207"/>
    </row>
    <row r="664" spans="2:10">
      <c r="B664" s="198"/>
      <c r="C664" s="199">
        <f>Dat_02!B663</f>
        <v>45860</v>
      </c>
      <c r="D664" s="198"/>
      <c r="E664" s="200">
        <f>Dat_02!C663</f>
        <v>20.741516907159063</v>
      </c>
      <c r="F664" s="200">
        <f>Dat_02!D663</f>
        <v>25.377234765527756</v>
      </c>
      <c r="G664" s="200">
        <f>Dat_02!E663</f>
        <v>20.741516907159063</v>
      </c>
      <c r="I664" s="201">
        <f>Dat_02!G663</f>
        <v>0</v>
      </c>
      <c r="J664" s="207"/>
    </row>
    <row r="665" spans="2:10">
      <c r="B665" s="198"/>
      <c r="C665" s="199">
        <f>Dat_02!B664</f>
        <v>45861</v>
      </c>
      <c r="D665" s="198"/>
      <c r="E665" s="200">
        <f>Dat_02!C664</f>
        <v>19.196713277743299</v>
      </c>
      <c r="F665" s="200">
        <f>Dat_02!D664</f>
        <v>25.377234765527756</v>
      </c>
      <c r="G665" s="200">
        <f>Dat_02!E664</f>
        <v>19.196713277743299</v>
      </c>
      <c r="I665" s="201">
        <f>Dat_02!G664</f>
        <v>0</v>
      </c>
      <c r="J665" s="207"/>
    </row>
    <row r="666" spans="2:10">
      <c r="B666" s="198"/>
      <c r="C666" s="199">
        <f>Dat_02!B665</f>
        <v>45862</v>
      </c>
      <c r="D666" s="198"/>
      <c r="E666" s="200">
        <f>Dat_02!C665</f>
        <v>13.86639805774144</v>
      </c>
      <c r="F666" s="200">
        <f>Dat_02!D665</f>
        <v>25.377234765527756</v>
      </c>
      <c r="G666" s="200">
        <f>Dat_02!E665</f>
        <v>13.86639805774144</v>
      </c>
      <c r="I666" s="201">
        <f>Dat_02!G665</f>
        <v>0</v>
      </c>
      <c r="J666" s="207"/>
    </row>
    <row r="667" spans="2:10">
      <c r="B667" s="198"/>
      <c r="C667" s="199">
        <f>Dat_02!B666</f>
        <v>45863</v>
      </c>
      <c r="D667" s="198"/>
      <c r="E667" s="200">
        <f>Dat_02!C666</f>
        <v>1.5784588417451668</v>
      </c>
      <c r="F667" s="200">
        <f>Dat_02!D666</f>
        <v>25.377234765527756</v>
      </c>
      <c r="G667" s="200">
        <f>Dat_02!E666</f>
        <v>1.5784588417451668</v>
      </c>
      <c r="I667" s="201">
        <f>Dat_02!G666</f>
        <v>0</v>
      </c>
      <c r="J667" s="207"/>
    </row>
    <row r="668" spans="2:10">
      <c r="B668" s="198"/>
      <c r="C668" s="199">
        <f>Dat_02!B667</f>
        <v>45864</v>
      </c>
      <c r="D668" s="198"/>
      <c r="E668" s="200">
        <f>Dat_02!C667</f>
        <v>2.4869694217433063</v>
      </c>
      <c r="F668" s="200">
        <f>Dat_02!D667</f>
        <v>25.377234765527756</v>
      </c>
      <c r="G668" s="200">
        <f>Dat_02!E667</f>
        <v>2.4869694217433063</v>
      </c>
      <c r="I668" s="201">
        <f>Dat_02!G667</f>
        <v>0</v>
      </c>
      <c r="J668" s="207"/>
    </row>
    <row r="669" spans="2:10">
      <c r="B669" s="198"/>
      <c r="C669" s="199">
        <f>Dat_02!B668</f>
        <v>45865</v>
      </c>
      <c r="D669" s="198"/>
      <c r="E669" s="200">
        <f>Dat_02!C668</f>
        <v>1.0667147097433045</v>
      </c>
      <c r="F669" s="200">
        <f>Dat_02!D668</f>
        <v>25.377234765527756</v>
      </c>
      <c r="G669" s="200">
        <f>Dat_02!E668</f>
        <v>1.0667147097433045</v>
      </c>
      <c r="I669" s="201">
        <f>Dat_02!G668</f>
        <v>0</v>
      </c>
      <c r="J669" s="207"/>
    </row>
    <row r="670" spans="2:10">
      <c r="B670" s="198"/>
      <c r="C670" s="199">
        <f>Dat_02!B669</f>
        <v>45866</v>
      </c>
      <c r="D670" s="198"/>
      <c r="E670" s="200">
        <f>Dat_02!C669</f>
        <v>1.4001761737470297</v>
      </c>
      <c r="F670" s="200">
        <f>Dat_02!D669</f>
        <v>25.377234765527756</v>
      </c>
      <c r="G670" s="200">
        <f>Dat_02!E669</f>
        <v>1.4001761737470297</v>
      </c>
      <c r="I670" s="201">
        <f>Dat_02!G669</f>
        <v>0</v>
      </c>
      <c r="J670" s="207"/>
    </row>
    <row r="671" spans="2:10">
      <c r="B671" s="198"/>
      <c r="C671" s="199">
        <f>Dat_02!B670</f>
        <v>45867</v>
      </c>
      <c r="D671" s="198"/>
      <c r="E671" s="200">
        <f>Dat_02!C670</f>
        <v>1.4504057937414401</v>
      </c>
      <c r="F671" s="200">
        <f>Dat_02!D670</f>
        <v>25.377234765527756</v>
      </c>
      <c r="G671" s="200">
        <f>Dat_02!E670</f>
        <v>1.4504057937414401</v>
      </c>
      <c r="I671" s="201">
        <f>Dat_02!G670</f>
        <v>0</v>
      </c>
      <c r="J671" s="207"/>
    </row>
    <row r="672" spans="2:10">
      <c r="B672" s="198"/>
      <c r="C672" s="199">
        <f>Dat_02!B671</f>
        <v>45868</v>
      </c>
      <c r="D672" s="198"/>
      <c r="E672" s="200">
        <f>Dat_02!C671</f>
        <v>13.403058501467727</v>
      </c>
      <c r="F672" s="200">
        <f>Dat_02!D671</f>
        <v>25.377234765527756</v>
      </c>
      <c r="G672" s="200">
        <f>Dat_02!E671</f>
        <v>13.403058501467727</v>
      </c>
      <c r="I672" s="201">
        <f>Dat_02!G671</f>
        <v>0</v>
      </c>
      <c r="J672" s="207"/>
    </row>
    <row r="673" spans="2:10">
      <c r="B673" s="198"/>
      <c r="C673" s="199">
        <f>Dat_02!B672</f>
        <v>45869</v>
      </c>
      <c r="D673" s="198"/>
      <c r="E673" s="200">
        <f>Dat_02!C672</f>
        <v>16.69949162046214</v>
      </c>
      <c r="F673" s="200">
        <f>Dat_02!D672</f>
        <v>25.377234765527756</v>
      </c>
      <c r="G673" s="200">
        <f>Dat_02!E672</f>
        <v>16.69949162046214</v>
      </c>
      <c r="I673" s="201">
        <f>Dat_02!G672</f>
        <v>0</v>
      </c>
      <c r="J673" s="207"/>
    </row>
    <row r="674" spans="2:10">
      <c r="B674" s="198"/>
      <c r="C674" s="199">
        <f>Dat_02!B673</f>
        <v>45870</v>
      </c>
      <c r="D674" s="198"/>
      <c r="E674" s="200">
        <f>Dat_02!C673</f>
        <v>13.888081484471455</v>
      </c>
      <c r="F674" s="200">
        <f>Dat_02!D673</f>
        <v>14.606396891514056</v>
      </c>
      <c r="G674" s="200">
        <f>Dat_02!E673</f>
        <v>13.888081484471455</v>
      </c>
      <c r="I674" s="201">
        <f>Dat_02!G673</f>
        <v>0</v>
      </c>
      <c r="J674" s="207"/>
    </row>
    <row r="675" spans="2:10">
      <c r="B675" s="198"/>
      <c r="C675" s="199">
        <f>Dat_02!B674</f>
        <v>45871</v>
      </c>
      <c r="D675" s="198"/>
      <c r="E675" s="200">
        <f>Dat_02!C674</f>
        <v>8.5812111465864288E-2</v>
      </c>
      <c r="F675" s="200">
        <f>Dat_02!D674</f>
        <v>14.606396891514056</v>
      </c>
      <c r="G675" s="200">
        <f>Dat_02!E674</f>
        <v>8.5812111465864288E-2</v>
      </c>
      <c r="I675" s="201">
        <f>Dat_02!G674</f>
        <v>0</v>
      </c>
      <c r="J675" s="207"/>
    </row>
    <row r="676" spans="2:10">
      <c r="B676" s="198"/>
      <c r="C676" s="199">
        <f>Dat_02!B675</f>
        <v>45872</v>
      </c>
      <c r="D676" s="198"/>
      <c r="E676" s="200">
        <f>Dat_02!C675</f>
        <v>0.15275280546400608</v>
      </c>
      <c r="F676" s="200">
        <f>Dat_02!D675</f>
        <v>14.606396891514056</v>
      </c>
      <c r="G676" s="200">
        <f>Dat_02!E675</f>
        <v>0.15275280546400608</v>
      </c>
      <c r="I676" s="201">
        <f>Dat_02!G675</f>
        <v>0</v>
      </c>
      <c r="J676" s="207"/>
    </row>
    <row r="677" spans="2:10">
      <c r="B677" s="198"/>
      <c r="C677" s="199">
        <f>Dat_02!B676</f>
        <v>45873</v>
      </c>
      <c r="D677" s="198"/>
      <c r="E677" s="200">
        <f>Dat_02!C676</f>
        <v>26.230543111465863</v>
      </c>
      <c r="F677" s="200">
        <f>Dat_02!D676</f>
        <v>14.606396891514056</v>
      </c>
      <c r="G677" s="200">
        <f>Dat_02!E676</f>
        <v>14.606396891514056</v>
      </c>
      <c r="I677" s="201">
        <f>Dat_02!G676</f>
        <v>0</v>
      </c>
      <c r="J677" s="207"/>
    </row>
    <row r="678" spans="2:10">
      <c r="B678" s="198"/>
      <c r="C678" s="199">
        <f>Dat_02!B677</f>
        <v>45874</v>
      </c>
      <c r="D678" s="198"/>
      <c r="E678" s="200">
        <f>Dat_02!C677</f>
        <v>20.573646892469593</v>
      </c>
      <c r="F678" s="200">
        <f>Dat_02!D677</f>
        <v>14.606396891514056</v>
      </c>
      <c r="G678" s="200">
        <f>Dat_02!E677</f>
        <v>14.606396891514056</v>
      </c>
      <c r="I678" s="201">
        <f>Dat_02!G677</f>
        <v>0</v>
      </c>
      <c r="J678" s="207"/>
    </row>
    <row r="679" spans="2:10">
      <c r="B679" s="198"/>
      <c r="C679" s="199">
        <f>Dat_02!B678</f>
        <v>45875</v>
      </c>
      <c r="D679" s="198"/>
      <c r="E679" s="200">
        <f>Dat_02!C678</f>
        <v>12.787871789703015</v>
      </c>
      <c r="F679" s="200">
        <f>Dat_02!D678</f>
        <v>14.606396891514056</v>
      </c>
      <c r="G679" s="200">
        <f>Dat_02!E678</f>
        <v>12.787871789703015</v>
      </c>
      <c r="I679" s="201">
        <f>Dat_02!G678</f>
        <v>0</v>
      </c>
      <c r="J679" s="207"/>
    </row>
    <row r="680" spans="2:10">
      <c r="B680" s="198"/>
      <c r="C680" s="199">
        <f>Dat_02!B679</f>
        <v>45876</v>
      </c>
      <c r="D680" s="198"/>
      <c r="E680" s="200">
        <f>Dat_02!C679</f>
        <v>7.8448586297086003</v>
      </c>
      <c r="F680" s="200">
        <f>Dat_02!D679</f>
        <v>14.606396891514056</v>
      </c>
      <c r="G680" s="200">
        <f>Dat_02!E679</f>
        <v>7.8448586297086003</v>
      </c>
      <c r="I680" s="201">
        <f>Dat_02!G679</f>
        <v>0</v>
      </c>
      <c r="J680" s="207"/>
    </row>
    <row r="681" spans="2:10">
      <c r="B681" s="198"/>
      <c r="C681" s="199">
        <f>Dat_02!B680</f>
        <v>45877</v>
      </c>
      <c r="D681" s="198"/>
      <c r="E681" s="200">
        <f>Dat_02!C680</f>
        <v>11.806797509703014</v>
      </c>
      <c r="F681" s="200">
        <f>Dat_02!D680</f>
        <v>14.606396891514056</v>
      </c>
      <c r="G681" s="200">
        <f>Dat_02!E680</f>
        <v>11.806797509703014</v>
      </c>
      <c r="I681" s="201">
        <f>Dat_02!G680</f>
        <v>0</v>
      </c>
      <c r="J681" s="207"/>
    </row>
    <row r="682" spans="2:10">
      <c r="B682" s="198"/>
      <c r="C682" s="199">
        <f>Dat_02!B681</f>
        <v>45878</v>
      </c>
      <c r="D682" s="198"/>
      <c r="E682" s="200">
        <f>Dat_02!C681</f>
        <v>0.29030902171046907</v>
      </c>
      <c r="F682" s="200">
        <f>Dat_02!D681</f>
        <v>14.606396891514056</v>
      </c>
      <c r="G682" s="200">
        <f>Dat_02!E681</f>
        <v>0.29030902171046907</v>
      </c>
      <c r="I682" s="201">
        <f>Dat_02!G681</f>
        <v>0</v>
      </c>
      <c r="J682" s="207"/>
    </row>
    <row r="683" spans="2:10">
      <c r="B683" s="198"/>
      <c r="C683" s="199">
        <f>Dat_02!B682</f>
        <v>45879</v>
      </c>
      <c r="D683" s="198"/>
      <c r="E683" s="200">
        <f>Dat_02!C682</f>
        <v>0.25155645370487761</v>
      </c>
      <c r="F683" s="200">
        <f>Dat_02!D682</f>
        <v>14.606396891514056</v>
      </c>
      <c r="G683" s="200">
        <f>Dat_02!E682</f>
        <v>0.25155645370487761</v>
      </c>
      <c r="I683" s="201">
        <f>Dat_02!G682</f>
        <v>0</v>
      </c>
      <c r="J683" s="207"/>
    </row>
    <row r="684" spans="2:10">
      <c r="B684" s="198"/>
      <c r="C684" s="199">
        <f>Dat_02!B683</f>
        <v>45880</v>
      </c>
      <c r="D684" s="198"/>
      <c r="E684" s="200">
        <f>Dat_02!C683</f>
        <v>9.6037572017030186</v>
      </c>
      <c r="F684" s="200">
        <f>Dat_02!D683</f>
        <v>14.606396891514056</v>
      </c>
      <c r="G684" s="200">
        <f>Dat_02!E683</f>
        <v>9.6037572017030186</v>
      </c>
      <c r="I684" s="201">
        <f>Dat_02!G683</f>
        <v>0</v>
      </c>
      <c r="J684" s="207"/>
    </row>
    <row r="685" spans="2:10">
      <c r="B685" s="198"/>
      <c r="C685" s="199">
        <f>Dat_02!B684</f>
        <v>45881</v>
      </c>
      <c r="D685" s="198"/>
      <c r="E685" s="200">
        <f>Dat_02!C684</f>
        <v>9.000305205708603</v>
      </c>
      <c r="F685" s="200">
        <f>Dat_02!D684</f>
        <v>14.606396891514056</v>
      </c>
      <c r="G685" s="200">
        <f>Dat_02!E684</f>
        <v>9.000305205708603</v>
      </c>
      <c r="I685" s="201">
        <f>Dat_02!G684</f>
        <v>0</v>
      </c>
      <c r="J685" s="207"/>
    </row>
    <row r="686" spans="2:10">
      <c r="B686" s="198"/>
      <c r="C686" s="199">
        <f>Dat_02!B685</f>
        <v>45882</v>
      </c>
      <c r="D686" s="198"/>
      <c r="E686" s="200">
        <f>Dat_02!C685</f>
        <v>11.558907459160705</v>
      </c>
      <c r="F686" s="200">
        <f>Dat_02!D685</f>
        <v>14.606396891514056</v>
      </c>
      <c r="G686" s="200">
        <f>Dat_02!E685</f>
        <v>11.558907459160705</v>
      </c>
      <c r="I686" s="201">
        <f>Dat_02!G685</f>
        <v>0</v>
      </c>
      <c r="J686" s="207"/>
    </row>
    <row r="687" spans="2:10">
      <c r="B687" s="198"/>
      <c r="C687" s="199">
        <f>Dat_02!B686</f>
        <v>45883</v>
      </c>
      <c r="D687" s="198"/>
      <c r="E687" s="200">
        <f>Dat_02!C686</f>
        <v>2.9691311511588427</v>
      </c>
      <c r="F687" s="200">
        <f>Dat_02!D686</f>
        <v>14.606396891514056</v>
      </c>
      <c r="G687" s="200">
        <f>Dat_02!E686</f>
        <v>2.9691311511588427</v>
      </c>
      <c r="I687" s="201">
        <f>Dat_02!G686</f>
        <v>0</v>
      </c>
      <c r="J687" s="207"/>
    </row>
    <row r="688" spans="2:10">
      <c r="B688" s="198"/>
      <c r="C688" s="199">
        <f>Dat_02!B687</f>
        <v>45884</v>
      </c>
      <c r="D688" s="198"/>
      <c r="E688" s="200">
        <f>Dat_02!C687</f>
        <v>0.95445991916070494</v>
      </c>
      <c r="F688" s="200">
        <f>Dat_02!D687</f>
        <v>14.606396891514056</v>
      </c>
      <c r="G688" s="200">
        <f>Dat_02!E687</f>
        <v>0.95445991916070494</v>
      </c>
      <c r="I688" s="201">
        <f>Dat_02!G687</f>
        <v>14.606396891514056</v>
      </c>
      <c r="J688" s="207"/>
    </row>
    <row r="689" spans="2:10">
      <c r="B689" s="198"/>
      <c r="C689" s="199">
        <f>Dat_02!B688</f>
        <v>45885</v>
      </c>
      <c r="D689" s="198"/>
      <c r="E689" s="200">
        <f>Dat_02!C688</f>
        <v>1.2213465361607085</v>
      </c>
      <c r="F689" s="200">
        <f>Dat_02!D688</f>
        <v>14.606396891514056</v>
      </c>
      <c r="G689" s="200">
        <f>Dat_02!E688</f>
        <v>1.2213465361607085</v>
      </c>
      <c r="I689" s="201">
        <f>Dat_02!G688</f>
        <v>0</v>
      </c>
      <c r="J689" s="207"/>
    </row>
    <row r="690" spans="2:10">
      <c r="B690" s="198"/>
      <c r="C690" s="199">
        <f>Dat_02!B689</f>
        <v>45886</v>
      </c>
      <c r="D690" s="198"/>
      <c r="E690" s="200">
        <f>Dat_02!C689</f>
        <v>0.7617259021625723</v>
      </c>
      <c r="F690" s="200">
        <f>Dat_02!D689</f>
        <v>14.606396891514056</v>
      </c>
      <c r="G690" s="200">
        <f>Dat_02!E689</f>
        <v>0.7617259021625723</v>
      </c>
      <c r="I690" s="201">
        <f>Dat_02!G689</f>
        <v>0</v>
      </c>
      <c r="J690" s="207"/>
    </row>
    <row r="691" spans="2:10">
      <c r="B691" s="198"/>
      <c r="C691" s="199">
        <f>Dat_02!B690</f>
        <v>45887</v>
      </c>
      <c r="D691" s="198"/>
      <c r="E691" s="200">
        <f>Dat_02!C690</f>
        <v>0.99938219916071103</v>
      </c>
      <c r="F691" s="200">
        <f>Dat_02!D690</f>
        <v>14.606396891514056</v>
      </c>
      <c r="G691" s="200">
        <f>Dat_02!E690</f>
        <v>0.99938219916071103</v>
      </c>
      <c r="I691" s="201">
        <f>Dat_02!G690</f>
        <v>0</v>
      </c>
      <c r="J691" s="207"/>
    </row>
    <row r="692" spans="2:10">
      <c r="B692" s="198"/>
      <c r="C692" s="199">
        <f>Dat_02!B691</f>
        <v>45888</v>
      </c>
      <c r="D692" s="198"/>
      <c r="E692" s="200">
        <f>Dat_02!C691</f>
        <v>1.1949965271569818</v>
      </c>
      <c r="F692" s="200">
        <f>Dat_02!D691</f>
        <v>14.606396891514056</v>
      </c>
      <c r="G692" s="200">
        <f>Dat_02!E691</f>
        <v>1.1949965271569818</v>
      </c>
      <c r="I692" s="201">
        <f>Dat_02!G691</f>
        <v>0</v>
      </c>
      <c r="J692" s="207"/>
    </row>
    <row r="693" spans="2:10">
      <c r="B693" s="198"/>
      <c r="C693" s="199">
        <f>Dat_02!B692</f>
        <v>45889</v>
      </c>
      <c r="D693" s="198"/>
      <c r="E693" s="200">
        <f>Dat_02!C692</f>
        <v>7.6044234437322231</v>
      </c>
      <c r="F693" s="200">
        <f>Dat_02!D692</f>
        <v>14.606396891514056</v>
      </c>
      <c r="G693" s="200">
        <f>Dat_02!E692</f>
        <v>7.6044234437322231</v>
      </c>
      <c r="I693" s="201">
        <f>Dat_02!G692</f>
        <v>0</v>
      </c>
      <c r="J693" s="207"/>
    </row>
    <row r="694" spans="2:10">
      <c r="B694" s="198"/>
      <c r="C694" s="199">
        <f>Dat_02!B693</f>
        <v>45890</v>
      </c>
      <c r="D694" s="198"/>
      <c r="E694" s="200">
        <f>Dat_02!C693</f>
        <v>8.306834943735943</v>
      </c>
      <c r="F694" s="200">
        <f>Dat_02!D693</f>
        <v>14.606396891514056</v>
      </c>
      <c r="G694" s="200">
        <f>Dat_02!E693</f>
        <v>8.306834943735943</v>
      </c>
      <c r="I694" s="201">
        <f>Dat_02!G693</f>
        <v>0</v>
      </c>
      <c r="J694" s="207"/>
    </row>
    <row r="695" spans="2:10">
      <c r="B695" s="198"/>
      <c r="C695" s="199">
        <f>Dat_02!B694</f>
        <v>45891</v>
      </c>
      <c r="D695" s="198"/>
      <c r="E695" s="200">
        <f>Dat_02!C694</f>
        <v>10.12004469673222</v>
      </c>
      <c r="F695" s="200">
        <f>Dat_02!D694</f>
        <v>14.606396891514056</v>
      </c>
      <c r="G695" s="200">
        <f>Dat_02!E694</f>
        <v>10.12004469673222</v>
      </c>
      <c r="I695" s="201">
        <f>Dat_02!G694</f>
        <v>0</v>
      </c>
      <c r="J695" s="207"/>
    </row>
    <row r="696" spans="2:10">
      <c r="B696" s="198"/>
      <c r="C696" s="199">
        <f>Dat_02!B695</f>
        <v>45892</v>
      </c>
      <c r="D696" s="198"/>
      <c r="E696" s="200">
        <f>Dat_02!C695</f>
        <v>18.177359034732216</v>
      </c>
      <c r="F696" s="200">
        <f>Dat_02!D695</f>
        <v>14.606396891514056</v>
      </c>
      <c r="G696" s="200">
        <f>Dat_02!E695</f>
        <v>14.606396891514056</v>
      </c>
      <c r="I696" s="201">
        <f>Dat_02!G695</f>
        <v>0</v>
      </c>
      <c r="J696" s="207"/>
    </row>
    <row r="697" spans="2:10">
      <c r="B697" s="198"/>
      <c r="C697" s="199">
        <f>Dat_02!B696</f>
        <v>45893</v>
      </c>
      <c r="D697" s="198"/>
      <c r="E697" s="200">
        <f>Dat_02!C696</f>
        <v>13.580027154734081</v>
      </c>
      <c r="F697" s="200">
        <f>Dat_02!D696</f>
        <v>14.606396891514056</v>
      </c>
      <c r="G697" s="200">
        <f>Dat_02!E696</f>
        <v>13.580027154734081</v>
      </c>
      <c r="I697" s="201">
        <f>Dat_02!G696</f>
        <v>0</v>
      </c>
      <c r="J697" s="207"/>
    </row>
    <row r="698" spans="2:10">
      <c r="B698" s="198"/>
      <c r="C698" s="199">
        <f>Dat_02!B697</f>
        <v>45894</v>
      </c>
      <c r="D698" s="198"/>
      <c r="E698" s="200">
        <f>Dat_02!C697</f>
        <v>8.3417917397322157</v>
      </c>
      <c r="F698" s="200">
        <f>Dat_02!D697</f>
        <v>14.606396891514056</v>
      </c>
      <c r="G698" s="200">
        <f>Dat_02!E697</f>
        <v>8.3417917397322157</v>
      </c>
      <c r="I698" s="201">
        <f>Dat_02!G697</f>
        <v>0</v>
      </c>
      <c r="J698" s="207"/>
    </row>
    <row r="699" spans="2:10">
      <c r="B699" s="198"/>
      <c r="C699" s="199">
        <f>Dat_02!B698</f>
        <v>45895</v>
      </c>
      <c r="D699" s="198"/>
      <c r="E699" s="200">
        <f>Dat_02!C698</f>
        <v>8.6844866127322167</v>
      </c>
      <c r="F699" s="200">
        <f>Dat_02!D698</f>
        <v>14.606396891514056</v>
      </c>
      <c r="G699" s="200">
        <f>Dat_02!E698</f>
        <v>8.6844866127322167</v>
      </c>
      <c r="I699" s="201">
        <f>Dat_02!G698</f>
        <v>0</v>
      </c>
      <c r="J699" s="207"/>
    </row>
    <row r="700" spans="2:10">
      <c r="B700" s="198"/>
      <c r="C700" s="199">
        <f>Dat_02!B699</f>
        <v>45896</v>
      </c>
      <c r="D700" s="198"/>
      <c r="E700" s="200">
        <f>Dat_02!C699</f>
        <v>12.330491062076938</v>
      </c>
      <c r="F700" s="200">
        <f>Dat_02!D699</f>
        <v>14.606396891514056</v>
      </c>
      <c r="G700" s="200">
        <f>Dat_02!E699</f>
        <v>12.330491062076938</v>
      </c>
      <c r="I700" s="201">
        <f>Dat_02!G699</f>
        <v>0</v>
      </c>
      <c r="J700" s="207"/>
    </row>
    <row r="701" spans="2:10">
      <c r="B701" s="198"/>
      <c r="C701" s="199">
        <f>Dat_02!B700</f>
        <v>45897</v>
      </c>
      <c r="D701" s="198"/>
      <c r="E701" s="200">
        <f>Dat_02!C700</f>
        <v>1.4327027120769418</v>
      </c>
      <c r="F701" s="200">
        <f>Dat_02!D700</f>
        <v>14.606396891514056</v>
      </c>
      <c r="G701" s="200">
        <f>Dat_02!E700</f>
        <v>1.4327027120769418</v>
      </c>
      <c r="I701" s="201">
        <f>Dat_02!G700</f>
        <v>0</v>
      </c>
      <c r="J701" s="207"/>
    </row>
    <row r="702" spans="2:10">
      <c r="B702" s="198"/>
      <c r="C702" s="199">
        <f>Dat_02!B701</f>
        <v>45898</v>
      </c>
      <c r="D702" s="198"/>
      <c r="E702" s="200">
        <f>Dat_02!C701</f>
        <v>8.5578855480750793</v>
      </c>
      <c r="F702" s="200">
        <f>Dat_02!D701</f>
        <v>14.606396891514056</v>
      </c>
      <c r="G702" s="200">
        <f>Dat_02!E701</f>
        <v>8.5578855480750793</v>
      </c>
      <c r="I702" s="201">
        <f>Dat_02!G701</f>
        <v>0</v>
      </c>
      <c r="J702" s="207"/>
    </row>
    <row r="703" spans="2:10">
      <c r="B703" s="198"/>
      <c r="C703" s="199">
        <f>Dat_02!B702</f>
        <v>45899</v>
      </c>
      <c r="D703" s="198"/>
      <c r="E703" s="200">
        <f>Dat_02!C702</f>
        <v>11.674487226073216</v>
      </c>
      <c r="F703" s="200">
        <f>Dat_02!D702</f>
        <v>14.606396891514056</v>
      </c>
      <c r="G703" s="200">
        <f>Dat_02!E702</f>
        <v>11.674487226073216</v>
      </c>
      <c r="I703" s="201">
        <f>Dat_02!G702</f>
        <v>0</v>
      </c>
      <c r="J703" s="207"/>
    </row>
    <row r="704" spans="2:10">
      <c r="B704" s="198"/>
      <c r="C704" s="199">
        <f>Dat_02!B703</f>
        <v>45900</v>
      </c>
      <c r="D704" s="198"/>
      <c r="E704" s="200">
        <f>Dat_02!C703</f>
        <v>5.8377010440769448</v>
      </c>
      <c r="F704" s="200">
        <f>Dat_02!D703</f>
        <v>14.606396891514056</v>
      </c>
      <c r="G704" s="200">
        <f>Dat_02!E703</f>
        <v>5.8377010440769448</v>
      </c>
      <c r="I704" s="201">
        <f>Dat_02!G703</f>
        <v>0</v>
      </c>
      <c r="J704" s="207"/>
    </row>
    <row r="705" spans="2:10">
      <c r="B705" s="198"/>
      <c r="C705" s="199">
        <f>Dat_02!B704</f>
        <v>45901</v>
      </c>
      <c r="D705" s="198"/>
      <c r="E705" s="200">
        <f>Dat_02!C704</f>
        <v>5.3697709075080639E-2</v>
      </c>
      <c r="F705" s="200">
        <f>Dat_02!D704</f>
        <v>20.096931654918169</v>
      </c>
      <c r="G705" s="200">
        <f>Dat_02!E704</f>
        <v>5.3697709075080639E-2</v>
      </c>
      <c r="I705" s="201">
        <f>Dat_02!G704</f>
        <v>0</v>
      </c>
      <c r="J705" s="207"/>
    </row>
    <row r="706" spans="2:10">
      <c r="B706" s="198"/>
      <c r="C706" s="199">
        <f>Dat_02!B705</f>
        <v>45902</v>
      </c>
      <c r="D706" s="198"/>
      <c r="E706" s="200">
        <f>Dat_02!C705</f>
        <v>0.36050568907507841</v>
      </c>
      <c r="F706" s="200">
        <f>Dat_02!D705</f>
        <v>20.096931654918169</v>
      </c>
      <c r="G706" s="200">
        <f>Dat_02!E705</f>
        <v>0.36050568907507841</v>
      </c>
      <c r="I706" s="201">
        <f>Dat_02!G705</f>
        <v>0</v>
      </c>
      <c r="J706" s="207"/>
    </row>
    <row r="707" spans="2:10">
      <c r="B707" s="198"/>
      <c r="C707" s="199">
        <f>Dat_02!B706</f>
        <v>45903</v>
      </c>
      <c r="D707" s="198"/>
      <c r="E707" s="200">
        <f>Dat_02!C706</f>
        <v>3.8739321071034718</v>
      </c>
      <c r="F707" s="200">
        <f>Dat_02!D706</f>
        <v>20.096931654918169</v>
      </c>
      <c r="G707" s="200">
        <f>Dat_02!E706</f>
        <v>3.8739321071034718</v>
      </c>
      <c r="I707" s="201">
        <f>Dat_02!G706</f>
        <v>0</v>
      </c>
      <c r="J707" s="207"/>
    </row>
    <row r="708" spans="2:10">
      <c r="B708" s="198"/>
      <c r="C708" s="199">
        <f>Dat_02!B707</f>
        <v>45904</v>
      </c>
      <c r="D708" s="198"/>
      <c r="E708" s="200">
        <f>Dat_02!C707</f>
        <v>19.066637347101612</v>
      </c>
      <c r="F708" s="200">
        <f>Dat_02!D707</f>
        <v>20.096931654918169</v>
      </c>
      <c r="G708" s="200">
        <f>Dat_02!E707</f>
        <v>19.066637347101612</v>
      </c>
      <c r="I708" s="201">
        <f>Dat_02!G707</f>
        <v>0</v>
      </c>
      <c r="J708" s="207"/>
    </row>
    <row r="709" spans="2:10">
      <c r="B709" s="198"/>
      <c r="C709" s="199">
        <f>Dat_02!B708</f>
        <v>45905</v>
      </c>
      <c r="D709" s="198"/>
      <c r="E709" s="200">
        <f>Dat_02!C708</f>
        <v>24.277832320103474</v>
      </c>
      <c r="F709" s="200">
        <f>Dat_02!D708</f>
        <v>20.096931654918169</v>
      </c>
      <c r="G709" s="200">
        <f>Dat_02!E708</f>
        <v>20.096931654918169</v>
      </c>
      <c r="I709" s="201">
        <f>Dat_02!G708</f>
        <v>0</v>
      </c>
      <c r="J709" s="207"/>
    </row>
    <row r="710" spans="2:10">
      <c r="B710" s="198"/>
      <c r="C710" s="199">
        <f>Dat_02!B709</f>
        <v>45906</v>
      </c>
      <c r="D710" s="198"/>
      <c r="E710" s="200">
        <f>Dat_02!C709</f>
        <v>7.1113163381034754</v>
      </c>
      <c r="F710" s="200">
        <f>Dat_02!D709</f>
        <v>20.096931654918169</v>
      </c>
      <c r="G710" s="200">
        <f>Dat_02!E709</f>
        <v>7.1113163381034754</v>
      </c>
      <c r="I710" s="201">
        <f>Dat_02!G709</f>
        <v>0</v>
      </c>
      <c r="J710" s="207"/>
    </row>
    <row r="711" spans="2:10">
      <c r="B711" s="198"/>
      <c r="C711" s="199">
        <f>Dat_02!B710</f>
        <v>45907</v>
      </c>
      <c r="D711" s="198"/>
      <c r="E711" s="200">
        <f>Dat_02!C710</f>
        <v>14.431599771103473</v>
      </c>
      <c r="F711" s="200">
        <f>Dat_02!D710</f>
        <v>20.096931654918169</v>
      </c>
      <c r="G711" s="200">
        <f>Dat_02!E710</f>
        <v>14.431599771103473</v>
      </c>
      <c r="I711" s="201">
        <f>Dat_02!G710</f>
        <v>0</v>
      </c>
      <c r="J711" s="207"/>
    </row>
    <row r="712" spans="2:10">
      <c r="B712" s="198"/>
      <c r="C712" s="199">
        <f>Dat_02!B711</f>
        <v>45908</v>
      </c>
      <c r="D712" s="198"/>
      <c r="E712" s="200">
        <f>Dat_02!C711</f>
        <v>35.067888651101612</v>
      </c>
      <c r="F712" s="200">
        <f>Dat_02!D711</f>
        <v>20.096931654918169</v>
      </c>
      <c r="G712" s="200">
        <f>Dat_02!E711</f>
        <v>20.096931654918169</v>
      </c>
      <c r="I712" s="201">
        <f>Dat_02!G711</f>
        <v>0</v>
      </c>
      <c r="J712" s="207"/>
    </row>
    <row r="713" spans="2:10">
      <c r="B713" s="198"/>
      <c r="C713" s="199">
        <f>Dat_02!B712</f>
        <v>45909</v>
      </c>
      <c r="D713" s="198"/>
      <c r="E713" s="200">
        <f>Dat_02!C712</f>
        <v>31.536839963101606</v>
      </c>
      <c r="F713" s="200">
        <f>Dat_02!D712</f>
        <v>20.096931654918169</v>
      </c>
      <c r="G713" s="200">
        <f>Dat_02!E712</f>
        <v>20.096931654918169</v>
      </c>
      <c r="I713" s="201">
        <f>Dat_02!G712</f>
        <v>0</v>
      </c>
      <c r="J713" s="207"/>
    </row>
    <row r="714" spans="2:10">
      <c r="B714" s="198"/>
      <c r="C714" s="199">
        <f>Dat_02!B713</f>
        <v>45910</v>
      </c>
      <c r="D714" s="198"/>
      <c r="E714" s="200">
        <f>Dat_02!C713</f>
        <v>12.969246855678655</v>
      </c>
      <c r="F714" s="200">
        <f>Dat_02!D713</f>
        <v>20.096931654918169</v>
      </c>
      <c r="G714" s="200">
        <f>Dat_02!E713</f>
        <v>12.969246855678655</v>
      </c>
      <c r="I714" s="201">
        <f>Dat_02!G713</f>
        <v>0</v>
      </c>
      <c r="J714" s="207"/>
    </row>
    <row r="715" spans="2:10">
      <c r="B715" s="198"/>
      <c r="C715" s="199">
        <f>Dat_02!B714</f>
        <v>45911</v>
      </c>
      <c r="D715" s="198"/>
      <c r="E715" s="200">
        <f>Dat_02!C714</f>
        <v>15.327467231673065</v>
      </c>
      <c r="F715" s="200">
        <f>Dat_02!D714</f>
        <v>20.096931654918169</v>
      </c>
      <c r="G715" s="200">
        <f>Dat_02!E714</f>
        <v>15.327467231673065</v>
      </c>
      <c r="I715" s="201">
        <f>Dat_02!G714</f>
        <v>0</v>
      </c>
      <c r="J715" s="207"/>
    </row>
    <row r="716" spans="2:10">
      <c r="B716" s="198"/>
      <c r="C716" s="199">
        <f>Dat_02!B715</f>
        <v>45912</v>
      </c>
      <c r="D716" s="198"/>
      <c r="E716" s="200">
        <f>Dat_02!C715</f>
        <v>34.588256312676791</v>
      </c>
      <c r="F716" s="200">
        <f>Dat_02!D715</f>
        <v>20.096931654918169</v>
      </c>
      <c r="G716" s="200">
        <f>Dat_02!E715</f>
        <v>20.096931654918169</v>
      </c>
      <c r="I716" s="201">
        <f>Dat_02!G715</f>
        <v>0</v>
      </c>
      <c r="J716" s="207"/>
    </row>
    <row r="717" spans="2:10">
      <c r="B717" s="198"/>
      <c r="C717" s="199">
        <f>Dat_02!B716</f>
        <v>45913</v>
      </c>
      <c r="D717" s="198"/>
      <c r="E717" s="200">
        <f>Dat_02!C716</f>
        <v>21.264824958676794</v>
      </c>
      <c r="F717" s="200">
        <f>Dat_02!D716</f>
        <v>20.096931654918169</v>
      </c>
      <c r="G717" s="200">
        <f>Dat_02!E716</f>
        <v>20.096931654918169</v>
      </c>
      <c r="I717" s="201">
        <f>Dat_02!G716</f>
        <v>0</v>
      </c>
      <c r="J717" s="207"/>
    </row>
    <row r="718" spans="2:10">
      <c r="B718" s="198"/>
      <c r="C718" s="199">
        <f>Dat_02!B717</f>
        <v>45914</v>
      </c>
      <c r="D718" s="198"/>
      <c r="E718" s="200">
        <f>Dat_02!C717</f>
        <v>13.399805775674926</v>
      </c>
      <c r="F718" s="200">
        <f>Dat_02!D717</f>
        <v>20.096931654918169</v>
      </c>
      <c r="G718" s="200">
        <f>Dat_02!E717</f>
        <v>13.399805775674926</v>
      </c>
      <c r="I718" s="201" t="str">
        <f>Dat_02!G717</f>
        <v/>
      </c>
      <c r="J718" s="207"/>
    </row>
    <row r="719" spans="2:10">
      <c r="B719" s="198"/>
      <c r="C719" s="199">
        <f>Dat_02!B718</f>
        <v>45915</v>
      </c>
      <c r="D719" s="198"/>
      <c r="E719" s="200">
        <f>Dat_02!C718</f>
        <v>18.213449891676792</v>
      </c>
      <c r="F719" s="200">
        <f>Dat_02!D718</f>
        <v>20.096931654918169</v>
      </c>
      <c r="G719" s="200">
        <f>Dat_02!E718</f>
        <v>18.213449891676792</v>
      </c>
      <c r="I719" s="201">
        <f>Dat_02!G718</f>
        <v>0</v>
      </c>
      <c r="J719" s="207"/>
    </row>
    <row r="720" spans="2:10">
      <c r="B720" s="198"/>
      <c r="C720" s="199">
        <f>Dat_02!B719</f>
        <v>45916</v>
      </c>
      <c r="D720" s="198"/>
      <c r="E720" s="200">
        <f>Dat_02!C719</f>
        <v>19.13413580867493</v>
      </c>
      <c r="F720" s="200">
        <f>Dat_02!D719</f>
        <v>20.096931654918169</v>
      </c>
      <c r="G720" s="200">
        <f>Dat_02!E719</f>
        <v>19.13413580867493</v>
      </c>
      <c r="I720" s="201">
        <f>Dat_02!G719</f>
        <v>0</v>
      </c>
      <c r="J720" s="207"/>
    </row>
    <row r="721" spans="2:10">
      <c r="B721" s="198"/>
      <c r="C721" s="199">
        <f>Dat_02!B720</f>
        <v>45917</v>
      </c>
      <c r="D721" s="198"/>
      <c r="E721" s="200">
        <f>Dat_02!C720</f>
        <v>13.690997182199659</v>
      </c>
      <c r="F721" s="200">
        <f>Dat_02!D720</f>
        <v>20.096931654918169</v>
      </c>
      <c r="G721" s="200">
        <f>Dat_02!E720</f>
        <v>13.690997182199659</v>
      </c>
      <c r="I721" s="201">
        <f>Dat_02!G720</f>
        <v>0</v>
      </c>
      <c r="J721" s="207"/>
    </row>
    <row r="722" spans="2:10">
      <c r="B722" s="198"/>
      <c r="C722" s="199">
        <f>Dat_02!B721</f>
        <v>45918</v>
      </c>
      <c r="D722" s="198"/>
      <c r="E722" s="200">
        <f>Dat_02!C721</f>
        <v>9.2431778151996546</v>
      </c>
      <c r="F722" s="200">
        <f>Dat_02!D721</f>
        <v>20.096931654918169</v>
      </c>
      <c r="G722" s="200">
        <f>Dat_02!E721</f>
        <v>9.2431778151996546</v>
      </c>
      <c r="I722" s="201">
        <f>Dat_02!G721</f>
        <v>0</v>
      </c>
      <c r="J722" s="207"/>
    </row>
    <row r="723" spans="2:10">
      <c r="B723" s="198"/>
      <c r="C723" s="199">
        <f>Dat_02!B722</f>
        <v>45919</v>
      </c>
      <c r="D723" s="198"/>
      <c r="E723" s="200">
        <f>Dat_02!C722</f>
        <v>6.2823044591977961</v>
      </c>
      <c r="F723" s="200">
        <f>Dat_02!D722</f>
        <v>20.096931654918169</v>
      </c>
      <c r="G723" s="200">
        <f>Dat_02!E722</f>
        <v>6.2823044591977961</v>
      </c>
      <c r="I723" s="201">
        <f>Dat_02!G722</f>
        <v>0</v>
      </c>
      <c r="J723" s="207"/>
    </row>
    <row r="724" spans="2:10">
      <c r="B724" s="198"/>
      <c r="C724" s="199">
        <f>Dat_02!B723</f>
        <v>45920</v>
      </c>
      <c r="D724" s="198"/>
      <c r="E724" s="200">
        <f>Dat_02!C723</f>
        <v>3.1145610751977948</v>
      </c>
      <c r="F724" s="200">
        <f>Dat_02!D723</f>
        <v>20.096931654918169</v>
      </c>
      <c r="G724" s="200">
        <f>Dat_02!E723</f>
        <v>3.1145610751977948</v>
      </c>
      <c r="I724" s="201">
        <f>Dat_02!G723</f>
        <v>0</v>
      </c>
      <c r="J724" s="207"/>
    </row>
    <row r="725" spans="2:10">
      <c r="B725" s="198"/>
      <c r="C725" s="199">
        <f>Dat_02!B724</f>
        <v>45921</v>
      </c>
      <c r="D725" s="198"/>
      <c r="E725" s="200">
        <f>Dat_02!C724</f>
        <v>2.5861794472015207</v>
      </c>
      <c r="F725" s="200">
        <f>Dat_02!D724</f>
        <v>20.096931654918169</v>
      </c>
      <c r="G725" s="200">
        <f>Dat_02!E724</f>
        <v>2.5861794472015207</v>
      </c>
      <c r="I725" s="201">
        <f>Dat_02!G724</f>
        <v>0</v>
      </c>
      <c r="J725" s="207"/>
    </row>
    <row r="726" spans="2:10">
      <c r="B726" s="198"/>
      <c r="C726" s="199">
        <f>Dat_02!B725</f>
        <v>45922</v>
      </c>
      <c r="D726" s="198"/>
      <c r="E726" s="200">
        <f>Dat_02!C725</f>
        <v>1.4251420391977954</v>
      </c>
      <c r="F726" s="200">
        <f>Dat_02!D725</f>
        <v>20.096931654918169</v>
      </c>
      <c r="G726" s="200">
        <f>Dat_02!E725</f>
        <v>1.4251420391977954</v>
      </c>
      <c r="I726" s="201">
        <f>Dat_02!G725</f>
        <v>0</v>
      </c>
      <c r="J726" s="207"/>
    </row>
    <row r="727" spans="2:10">
      <c r="B727" s="198"/>
      <c r="C727" s="199">
        <f>Dat_02!B726</f>
        <v>45923</v>
      </c>
      <c r="D727" s="198"/>
      <c r="E727" s="200">
        <f>Dat_02!C726</f>
        <v>1.7883082552015257</v>
      </c>
      <c r="F727" s="200">
        <f>Dat_02!D726</f>
        <v>20.096931654918169</v>
      </c>
      <c r="G727" s="200">
        <f>Dat_02!E726</f>
        <v>1.7883082552015257</v>
      </c>
      <c r="I727" s="201">
        <f>Dat_02!G726</f>
        <v>0</v>
      </c>
      <c r="J727" s="207"/>
    </row>
    <row r="728" spans="2:10">
      <c r="B728" s="198"/>
      <c r="C728" s="199">
        <f>Dat_02!B727</f>
        <v>45924</v>
      </c>
      <c r="D728" s="198"/>
      <c r="E728" s="200">
        <f>Dat_02!C727</f>
        <v>11.920882709065394</v>
      </c>
      <c r="F728" s="200">
        <f>Dat_02!D727</f>
        <v>20.096931654918169</v>
      </c>
      <c r="G728" s="200">
        <f>Dat_02!E727</f>
        <v>11.920882709065394</v>
      </c>
      <c r="I728" s="201">
        <f>Dat_02!G727</f>
        <v>0</v>
      </c>
      <c r="J728" s="207"/>
    </row>
    <row r="729" spans="2:10">
      <c r="B729" s="198"/>
      <c r="C729" s="199">
        <f>Dat_02!B728</f>
        <v>45925</v>
      </c>
      <c r="D729" s="198"/>
      <c r="E729" s="200">
        <f>Dat_02!C728</f>
        <v>29.771581229065394</v>
      </c>
      <c r="F729" s="200">
        <f>Dat_02!D728</f>
        <v>20.096931654918169</v>
      </c>
      <c r="G729" s="200">
        <f>Dat_02!E728</f>
        <v>20.096931654918169</v>
      </c>
      <c r="I729" s="201">
        <f>Dat_02!G728</f>
        <v>0</v>
      </c>
      <c r="J729" s="207"/>
    </row>
    <row r="730" spans="2:10">
      <c r="B730" s="198"/>
      <c r="C730" s="199">
        <f>Dat_02!B729</f>
        <v>45926</v>
      </c>
      <c r="D730" s="198"/>
      <c r="E730" s="200">
        <f>Dat_02!C729</f>
        <v>37.543243065067259</v>
      </c>
      <c r="F730" s="200">
        <f>Dat_02!D729</f>
        <v>20.096931654918169</v>
      </c>
      <c r="G730" s="200">
        <f>Dat_02!E729</f>
        <v>20.096931654918169</v>
      </c>
      <c r="I730" s="201">
        <f>Dat_02!G729</f>
        <v>0</v>
      </c>
      <c r="J730" s="207"/>
    </row>
    <row r="731" spans="2:10">
      <c r="B731" s="198"/>
      <c r="C731" s="199">
        <f>Dat_02!B730</f>
        <v>45927</v>
      </c>
      <c r="D731" s="198"/>
      <c r="E731" s="200">
        <f>Dat_02!C730</f>
        <v>26.490858717067262</v>
      </c>
      <c r="F731" s="200">
        <f>Dat_02!D730</f>
        <v>20.096931654918169</v>
      </c>
      <c r="G731" s="200">
        <f>Dat_02!E730</f>
        <v>20.096931654918169</v>
      </c>
      <c r="I731" s="201">
        <f>Dat_02!G730</f>
        <v>0</v>
      </c>
      <c r="J731" s="207"/>
    </row>
    <row r="732" spans="2:10">
      <c r="B732" s="198"/>
      <c r="C732" s="199">
        <f>Dat_02!B731</f>
        <v>45928</v>
      </c>
      <c r="D732" s="198"/>
      <c r="E732" s="200">
        <f>Dat_02!C731</f>
        <v>5.630432829065394</v>
      </c>
      <c r="F732" s="200">
        <f>Dat_02!D731</f>
        <v>20.096931654918169</v>
      </c>
      <c r="G732" s="200">
        <f>Dat_02!E731</f>
        <v>5.630432829065394</v>
      </c>
      <c r="I732" s="201">
        <f>Dat_02!G731</f>
        <v>0</v>
      </c>
      <c r="J732" s="207"/>
    </row>
    <row r="733" spans="2:10">
      <c r="B733" s="198"/>
      <c r="C733" s="199">
        <f>Dat_02!B732</f>
        <v>45929</v>
      </c>
      <c r="D733" s="198"/>
      <c r="E733" s="200">
        <f>Dat_02!C732</f>
        <v>17.630909821067259</v>
      </c>
      <c r="F733" s="200">
        <f>Dat_02!D732</f>
        <v>20.096931654918169</v>
      </c>
      <c r="G733" s="200">
        <f>Dat_02!E732</f>
        <v>17.630909821067259</v>
      </c>
      <c r="I733" s="201">
        <f>Dat_02!G732</f>
        <v>0</v>
      </c>
      <c r="J733" s="207"/>
    </row>
    <row r="734" spans="2:10">
      <c r="B734" s="198"/>
      <c r="C734" s="199">
        <f>Dat_02!B733</f>
        <v>45930</v>
      </c>
      <c r="D734" s="198"/>
      <c r="E734" s="200">
        <f>Dat_02!C733</f>
        <v>30.835724041067259</v>
      </c>
      <c r="F734" s="200">
        <f>Dat_02!D733</f>
        <v>20.096931654918169</v>
      </c>
      <c r="G734" s="200">
        <f>Dat_02!E733</f>
        <v>20.096931654918169</v>
      </c>
      <c r="I734" s="201">
        <f>Dat_02!G733</f>
        <v>0</v>
      </c>
      <c r="J734" s="207"/>
    </row>
    <row r="735" spans="2:10">
      <c r="B735" s="198"/>
      <c r="C735" s="199">
        <f>Dat_02!B734</f>
        <v>45931</v>
      </c>
      <c r="D735" s="198"/>
      <c r="E735" s="200">
        <f>Dat_02!C734</f>
        <v>27.612288014657359</v>
      </c>
      <c r="F735" s="200">
        <f>Dat_02!D734</f>
        <v>43.333737750551208</v>
      </c>
      <c r="G735" s="200">
        <f>Dat_02!E734</f>
        <v>27.612288014657359</v>
      </c>
      <c r="I735" s="201">
        <f>Dat_02!G734</f>
        <v>0</v>
      </c>
      <c r="J735" s="207"/>
    </row>
    <row r="736" spans="2:10">
      <c r="B736" s="198"/>
      <c r="C736" s="199">
        <f>Dat_02!B735</f>
        <v>45932</v>
      </c>
      <c r="D736" s="198"/>
      <c r="E736" s="200">
        <f>Dat_02!C735</f>
        <v>29.546072014657359</v>
      </c>
      <c r="F736" s="200">
        <f>Dat_02!D735</f>
        <v>43.333737750551208</v>
      </c>
      <c r="G736" s="200">
        <f>Dat_02!E735</f>
        <v>29.546072014657359</v>
      </c>
      <c r="I736" s="201">
        <f>Dat_02!G735</f>
        <v>0</v>
      </c>
      <c r="J736" s="207"/>
    </row>
    <row r="737" spans="2:10">
      <c r="B737" s="198"/>
      <c r="C737" s="199">
        <f>Dat_02!B736</f>
        <v>45933</v>
      </c>
      <c r="D737" s="198"/>
      <c r="E737" s="200">
        <f>Dat_02!C736</f>
        <v>31.593936014657395</v>
      </c>
      <c r="F737" s="200">
        <f>Dat_02!D736</f>
        <v>43.333737750551208</v>
      </c>
      <c r="G737" s="200">
        <f>Dat_02!E736</f>
        <v>31.593936014657395</v>
      </c>
      <c r="I737" s="201">
        <f>Dat_02!G736</f>
        <v>0</v>
      </c>
      <c r="J737" s="207"/>
    </row>
    <row r="738" spans="2:10">
      <c r="B738" s="198"/>
      <c r="C738" s="199">
        <f>Dat_02!B737</f>
        <v>45934</v>
      </c>
      <c r="D738" s="198"/>
      <c r="E738" s="200">
        <f>Dat_02!C737</f>
        <v>0.85775501465736304</v>
      </c>
      <c r="F738" s="200">
        <f>Dat_02!D737</f>
        <v>43.333737750551208</v>
      </c>
      <c r="G738" s="200">
        <f>Dat_02!E737</f>
        <v>0.85775501465736304</v>
      </c>
      <c r="I738" s="201">
        <f>Dat_02!G737</f>
        <v>0</v>
      </c>
      <c r="J738" s="207"/>
    </row>
    <row r="739" spans="2:10">
      <c r="B739" s="198"/>
      <c r="C739" s="199">
        <f>Dat_02!B738</f>
        <v>45935</v>
      </c>
      <c r="D739" s="198"/>
      <c r="E739" s="200">
        <f>Dat_02!C738</f>
        <v>3.6786500146573964</v>
      </c>
      <c r="F739" s="200">
        <f>Dat_02!D738</f>
        <v>43.333737750551208</v>
      </c>
      <c r="G739" s="200">
        <f>Dat_02!E738</f>
        <v>3.6786500146573964</v>
      </c>
      <c r="I739" s="201">
        <f>Dat_02!G738</f>
        <v>0</v>
      </c>
      <c r="J739" s="207"/>
    </row>
    <row r="740" spans="2:10">
      <c r="B740" s="198"/>
      <c r="C740" s="199">
        <f>Dat_02!B739</f>
        <v>45936</v>
      </c>
      <c r="D740" s="198"/>
      <c r="E740" s="200">
        <f>Dat_02!C739</f>
        <v>17.845458014657392</v>
      </c>
      <c r="F740" s="200">
        <f>Dat_02!D739</f>
        <v>43.333737750551208</v>
      </c>
      <c r="G740" s="200">
        <f>Dat_02!E739</f>
        <v>17.845458014657392</v>
      </c>
      <c r="I740" s="201">
        <f>Dat_02!G739</f>
        <v>0</v>
      </c>
      <c r="J740" s="207"/>
    </row>
    <row r="741" spans="2:10">
      <c r="B741" s="198"/>
      <c r="C741" s="199">
        <f>Dat_02!B740</f>
        <v>45937</v>
      </c>
      <c r="D741" s="198"/>
      <c r="E741" s="200">
        <f>Dat_02!C740</f>
        <v>42.799380014657366</v>
      </c>
      <c r="F741" s="200">
        <f>Dat_02!D740</f>
        <v>43.333737750551208</v>
      </c>
      <c r="G741" s="200">
        <f>Dat_02!E740</f>
        <v>42.799380014657366</v>
      </c>
      <c r="I741" s="201">
        <f>Dat_02!G740</f>
        <v>0</v>
      </c>
      <c r="J741" s="207"/>
    </row>
    <row r="742" spans="2:10">
      <c r="B742" s="198"/>
      <c r="C742" s="199">
        <f>Dat_02!B741</f>
        <v>45938</v>
      </c>
      <c r="D742" s="198"/>
      <c r="E742" s="200">
        <f>Dat_02!C741</f>
        <v>37.039900689980414</v>
      </c>
      <c r="F742" s="200">
        <f>Dat_02!D741</f>
        <v>43.333737750551208</v>
      </c>
      <c r="G742" s="200">
        <f>Dat_02!E741</f>
        <v>37.039900689980414</v>
      </c>
      <c r="I742" s="201">
        <f>Dat_02!G741</f>
        <v>0</v>
      </c>
      <c r="J742" s="207"/>
    </row>
    <row r="743" spans="2:10">
      <c r="B743" s="198"/>
      <c r="C743" s="199">
        <f>Dat_02!B742</f>
        <v>45939</v>
      </c>
      <c r="D743" s="198"/>
      <c r="E743" s="200">
        <f>Dat_02!C742</f>
        <v>8.5368846899804041</v>
      </c>
      <c r="F743" s="200">
        <f>Dat_02!D742</f>
        <v>43.333737750551208</v>
      </c>
      <c r="G743" s="200">
        <f>Dat_02!E742</f>
        <v>8.5368846899804041</v>
      </c>
      <c r="I743" s="201">
        <f>Dat_02!G742</f>
        <v>0</v>
      </c>
      <c r="J743" s="207"/>
    </row>
    <row r="744" spans="2:10">
      <c r="B744" s="198"/>
      <c r="C744" s="199">
        <f>Dat_02!B743</f>
        <v>45940</v>
      </c>
      <c r="D744" s="198"/>
      <c r="E744" s="200">
        <f>Dat_02!C743</f>
        <v>5.6381446899804066</v>
      </c>
      <c r="F744" s="200">
        <f>Dat_02!D743</f>
        <v>43.333737750551208</v>
      </c>
      <c r="G744" s="200">
        <f>Dat_02!E743</f>
        <v>5.6381446899804066</v>
      </c>
      <c r="I744" s="201">
        <f>Dat_02!G743</f>
        <v>0</v>
      </c>
      <c r="J744" s="207"/>
    </row>
    <row r="745" spans="2:10">
      <c r="B745" s="198"/>
      <c r="C745" s="199">
        <f>Dat_02!B744</f>
        <v>45941</v>
      </c>
      <c r="D745" s="198"/>
      <c r="E745" s="200">
        <f>Dat_02!C744</f>
        <v>4.5240996899804014</v>
      </c>
      <c r="F745" s="200">
        <f>Dat_02!D744</f>
        <v>43.333737750551208</v>
      </c>
      <c r="G745" s="200">
        <f>Dat_02!E744</f>
        <v>4.5240996899804014</v>
      </c>
      <c r="I745" s="201">
        <f>Dat_02!G744</f>
        <v>0</v>
      </c>
      <c r="J745" s="207"/>
    </row>
    <row r="746" spans="2:10">
      <c r="B746" s="198"/>
      <c r="C746" s="199">
        <f>Dat_02!B745</f>
        <v>45942</v>
      </c>
      <c r="D746" s="198"/>
      <c r="E746" s="200">
        <f>Dat_02!C745</f>
        <v>1.9573636899804041</v>
      </c>
      <c r="F746" s="200">
        <f>Dat_02!D745</f>
        <v>43.333737750551208</v>
      </c>
      <c r="G746" s="200">
        <f>Dat_02!E745</f>
        <v>1.9573636899804041</v>
      </c>
      <c r="I746" s="201">
        <f>Dat_02!G745</f>
        <v>0</v>
      </c>
      <c r="J746" s="207"/>
    </row>
    <row r="747" spans="2:10">
      <c r="B747" s="198"/>
      <c r="C747" s="199">
        <f>Dat_02!B746</f>
        <v>45943</v>
      </c>
      <c r="D747" s="198"/>
      <c r="E747" s="200">
        <f>Dat_02!C746</f>
        <v>12.225653689980405</v>
      </c>
      <c r="F747" s="200">
        <f>Dat_02!D746</f>
        <v>43.333737750551208</v>
      </c>
      <c r="G747" s="200">
        <f>Dat_02!E746</f>
        <v>12.225653689980405</v>
      </c>
      <c r="I747" s="201">
        <f>Dat_02!G746</f>
        <v>0</v>
      </c>
      <c r="J747" s="207"/>
    </row>
    <row r="748" spans="2:10">
      <c r="B748" s="198"/>
      <c r="C748" s="199">
        <f>Dat_02!B747</f>
        <v>45944</v>
      </c>
      <c r="D748" s="198"/>
      <c r="E748" s="200">
        <f>Dat_02!C747</f>
        <v>16.737806689980395</v>
      </c>
      <c r="F748" s="200">
        <f>Dat_02!D747</f>
        <v>43.333737750551208</v>
      </c>
      <c r="G748" s="200">
        <f>Dat_02!E747</f>
        <v>16.737806689980395</v>
      </c>
      <c r="I748" s="201">
        <f>Dat_02!G747</f>
        <v>0</v>
      </c>
      <c r="J748" s="207"/>
    </row>
    <row r="749" spans="2:10">
      <c r="B749" s="198"/>
      <c r="C749" s="199">
        <f>Dat_02!B748</f>
        <v>45945</v>
      </c>
      <c r="D749" s="198"/>
      <c r="E749" s="200">
        <f>Dat_02!C748</f>
        <v>21.284614570018459</v>
      </c>
      <c r="F749" s="200">
        <f>Dat_02!D748</f>
        <v>43.333737750551208</v>
      </c>
      <c r="G749" s="200">
        <f>Dat_02!E748</f>
        <v>21.284614570018459</v>
      </c>
      <c r="I749" s="201">
        <f>Dat_02!G748</f>
        <v>43.333737750551208</v>
      </c>
      <c r="J749" s="207"/>
    </row>
    <row r="750" spans="2:10">
      <c r="B750" s="198"/>
      <c r="C750" s="199">
        <f>Dat_02!B749</f>
        <v>45946</v>
      </c>
      <c r="D750" s="198"/>
      <c r="E750" s="200">
        <f>Dat_02!C749</f>
        <v>13.450961570018503</v>
      </c>
      <c r="F750" s="200">
        <f>Dat_02!D749</f>
        <v>43.333737750551208</v>
      </c>
      <c r="G750" s="200">
        <f>Dat_02!E749</f>
        <v>13.450961570018503</v>
      </c>
      <c r="I750" s="201">
        <f>Dat_02!G749</f>
        <v>0</v>
      </c>
      <c r="J750" s="207"/>
    </row>
    <row r="751" spans="2:10">
      <c r="B751" s="198"/>
      <c r="C751" s="199">
        <f>Dat_02!B750</f>
        <v>45947</v>
      </c>
      <c r="D751" s="198"/>
      <c r="E751" s="200">
        <f>Dat_02!C750</f>
        <v>14.515561570018493</v>
      </c>
      <c r="F751" s="200">
        <f>Dat_02!D750</f>
        <v>43.333737750551208</v>
      </c>
      <c r="G751" s="200">
        <f>Dat_02!E750</f>
        <v>14.515561570018493</v>
      </c>
      <c r="I751" s="201">
        <f>Dat_02!G750</f>
        <v>0</v>
      </c>
      <c r="J751" s="207"/>
    </row>
    <row r="752" spans="2:10">
      <c r="B752" s="198"/>
      <c r="C752" s="199">
        <f>Dat_02!B751</f>
        <v>45948</v>
      </c>
      <c r="D752" s="198"/>
      <c r="E752" s="200">
        <f>Dat_02!C751</f>
        <v>12.328661570018498</v>
      </c>
      <c r="F752" s="200">
        <f>Dat_02!D751</f>
        <v>43.333737750551208</v>
      </c>
      <c r="G752" s="200">
        <f>Dat_02!E751</f>
        <v>12.328661570018498</v>
      </c>
      <c r="I752" s="201">
        <f>Dat_02!G751</f>
        <v>0</v>
      </c>
      <c r="J752" s="207"/>
    </row>
    <row r="753" spans="2:10">
      <c r="B753" s="198"/>
      <c r="C753" s="199">
        <f>Dat_02!B752</f>
        <v>45949</v>
      </c>
      <c r="D753" s="198"/>
      <c r="E753" s="200">
        <f>Dat_02!C752</f>
        <v>1.3023615700185001</v>
      </c>
      <c r="F753" s="200">
        <f>Dat_02!D752</f>
        <v>43.333737750551208</v>
      </c>
      <c r="G753" s="200">
        <f>Dat_02!E752</f>
        <v>1.3023615700185001</v>
      </c>
      <c r="I753" s="201">
        <f>Dat_02!G752</f>
        <v>0</v>
      </c>
      <c r="J753" s="207"/>
    </row>
    <row r="754" spans="2:10">
      <c r="B754" s="198"/>
      <c r="C754" s="199">
        <f>Dat_02!B753</f>
        <v>45950</v>
      </c>
      <c r="D754" s="198"/>
      <c r="E754" s="200">
        <f>Dat_02!C753</f>
        <v>2.1778615700184965</v>
      </c>
      <c r="F754" s="200">
        <f>Dat_02!D753</f>
        <v>43.333737750551208</v>
      </c>
      <c r="G754" s="200">
        <f>Dat_02!E753</f>
        <v>2.1778615700184965</v>
      </c>
      <c r="I754" s="201">
        <f>Dat_02!G753</f>
        <v>0</v>
      </c>
      <c r="J754" s="207"/>
    </row>
    <row r="755" spans="2:10">
      <c r="B755" s="198"/>
      <c r="C755" s="199">
        <f>Dat_02!B754</f>
        <v>45951</v>
      </c>
      <c r="D755" s="198"/>
      <c r="E755" s="200">
        <f>Dat_02!C754</f>
        <v>6.0851615700184993</v>
      </c>
      <c r="F755" s="200">
        <f>Dat_02!D754</f>
        <v>43.333737750551208</v>
      </c>
      <c r="G755" s="200">
        <f>Dat_02!E754</f>
        <v>6.0851615700184993</v>
      </c>
      <c r="I755" s="201">
        <f>Dat_02!G754</f>
        <v>0</v>
      </c>
      <c r="J755" s="207"/>
    </row>
    <row r="756" spans="2:10">
      <c r="B756" s="198"/>
      <c r="C756" s="199">
        <f>Dat_02!B755</f>
        <v>45952</v>
      </c>
      <c r="D756" s="198"/>
      <c r="E756" s="200">
        <f>Dat_02!C755</f>
        <v>10.749830802430898</v>
      </c>
      <c r="F756" s="200">
        <f>Dat_02!D755</f>
        <v>43.333737750551208</v>
      </c>
      <c r="G756" s="200">
        <f>Dat_02!E755</f>
        <v>10.749830802430898</v>
      </c>
      <c r="I756" s="201">
        <f>Dat_02!G755</f>
        <v>0</v>
      </c>
      <c r="J756" s="207"/>
    </row>
    <row r="757" spans="2:10">
      <c r="B757" s="198"/>
      <c r="C757" s="199">
        <f>Dat_02!B756</f>
        <v>45953</v>
      </c>
      <c r="D757" s="198"/>
      <c r="E757" s="200">
        <f>Dat_02!C756</f>
        <v>8.1420308024309023</v>
      </c>
      <c r="F757" s="200">
        <f>Dat_02!D756</f>
        <v>43.333737750551208</v>
      </c>
      <c r="G757" s="200">
        <f>Dat_02!E756</f>
        <v>8.1420308024309023</v>
      </c>
      <c r="I757" s="201">
        <f>Dat_02!G756</f>
        <v>0</v>
      </c>
      <c r="J757" s="207"/>
    </row>
    <row r="758" spans="2:10">
      <c r="B758" s="198"/>
      <c r="C758" s="199">
        <f>Dat_02!B757</f>
        <v>45954</v>
      </c>
      <c r="D758" s="198"/>
      <c r="E758" s="200">
        <f>Dat_02!C757</f>
        <v>38.5486308024309</v>
      </c>
      <c r="F758" s="200">
        <f>Dat_02!D757</f>
        <v>43.333737750551208</v>
      </c>
      <c r="G758" s="200">
        <f>Dat_02!E757</f>
        <v>38.5486308024309</v>
      </c>
      <c r="I758" s="201">
        <f>Dat_02!G757</f>
        <v>0</v>
      </c>
      <c r="J758" s="207"/>
    </row>
    <row r="759" spans="2:10">
      <c r="B759" s="198"/>
      <c r="C759" s="199">
        <f>Dat_02!B758</f>
        <v>45955</v>
      </c>
      <c r="D759" s="198"/>
      <c r="E759" s="200">
        <f>Dat_02!C758</f>
        <v>34.435730802430903</v>
      </c>
      <c r="F759" s="200">
        <f>Dat_02!D758</f>
        <v>43.333737750551208</v>
      </c>
      <c r="G759" s="200">
        <f>Dat_02!E758</f>
        <v>34.435730802430903</v>
      </c>
      <c r="I759" s="201">
        <f>Dat_02!G758</f>
        <v>0</v>
      </c>
      <c r="J759" s="207"/>
    </row>
    <row r="760" spans="2:10">
      <c r="B760" s="198"/>
      <c r="C760" s="199">
        <f>Dat_02!B759</f>
        <v>45956</v>
      </c>
      <c r="D760" s="198"/>
      <c r="E760" s="200">
        <f>Dat_02!C759</f>
        <v>13.617730802430899</v>
      </c>
      <c r="F760" s="200">
        <f>Dat_02!D759</f>
        <v>43.333737750551208</v>
      </c>
      <c r="G760" s="200">
        <f>Dat_02!E759</f>
        <v>13.617730802430899</v>
      </c>
      <c r="I760" s="201">
        <f>Dat_02!G759</f>
        <v>0</v>
      </c>
      <c r="J760" s="207"/>
    </row>
    <row r="761" spans="2:10">
      <c r="B761" s="198"/>
      <c r="C761" s="199">
        <f>Dat_02!B760</f>
        <v>45957</v>
      </c>
      <c r="D761" s="198"/>
      <c r="E761" s="200">
        <f>Dat_02!C760</f>
        <v>33.994730802430901</v>
      </c>
      <c r="F761" s="200">
        <f>Dat_02!D760</f>
        <v>43.333737750551208</v>
      </c>
      <c r="G761" s="200">
        <f>Dat_02!E760</f>
        <v>33.994730802430901</v>
      </c>
      <c r="I761" s="201">
        <f>Dat_02!G760</f>
        <v>0</v>
      </c>
      <c r="J761" s="207"/>
    </row>
    <row r="762" spans="2:10">
      <c r="B762" s="198"/>
      <c r="C762" s="199">
        <f>Dat_02!B761</f>
        <v>45958</v>
      </c>
      <c r="D762" s="198"/>
      <c r="E762" s="200">
        <f>Dat_02!C761</f>
        <v>34.509230802430899</v>
      </c>
      <c r="F762" s="200">
        <f>Dat_02!D761</f>
        <v>43.333737750551208</v>
      </c>
      <c r="G762" s="200">
        <f>Dat_02!E761</f>
        <v>34.509230802430899</v>
      </c>
      <c r="I762" s="201">
        <f>Dat_02!G761</f>
        <v>0</v>
      </c>
      <c r="J762" s="207"/>
    </row>
    <row r="763" spans="2:10">
      <c r="B763" s="198"/>
      <c r="C763" s="199">
        <f>Dat_02!B762</f>
        <v>45959</v>
      </c>
      <c r="D763" s="198"/>
      <c r="E763" s="200">
        <f>Dat_02!C762</f>
        <v>43.297759148791698</v>
      </c>
      <c r="F763" s="200">
        <f>Dat_02!D762</f>
        <v>43.333737750551208</v>
      </c>
      <c r="G763" s="200">
        <f>Dat_02!E762</f>
        <v>43.297759148791698</v>
      </c>
      <c r="I763" s="201">
        <f>Dat_02!G762</f>
        <v>0</v>
      </c>
      <c r="J763" s="207" t="str">
        <f>IF(Dat_02!H398=0,"",Dat_02!H398)</f>
        <v/>
      </c>
    </row>
    <row r="764" spans="2:10">
      <c r="B764" s="203"/>
      <c r="C764" s="204"/>
      <c r="D764" s="205"/>
      <c r="E764" s="205"/>
      <c r="F764" s="205"/>
      <c r="G764" s="205"/>
      <c r="I764" s="258"/>
      <c r="J764" s="147"/>
    </row>
    <row r="765" spans="2:10">
      <c r="B765" s="147"/>
      <c r="C765" s="147"/>
      <c r="D765" s="147"/>
      <c r="E765" s="206"/>
      <c r="F765" s="206"/>
      <c r="G765" s="152"/>
      <c r="H765" s="147"/>
      <c r="I765" s="202"/>
      <c r="J765" s="147"/>
    </row>
    <row r="766" spans="2:10">
      <c r="B766" s="147"/>
      <c r="C766" s="147"/>
      <c r="D766" s="147"/>
      <c r="E766" s="206"/>
      <c r="F766" s="206"/>
      <c r="G766" s="152"/>
      <c r="H766" s="147"/>
      <c r="I766" s="202"/>
      <c r="J766" s="147"/>
    </row>
    <row r="767" spans="2:10">
      <c r="B767" s="147"/>
      <c r="C767" s="147"/>
      <c r="D767" s="147"/>
      <c r="E767" s="206"/>
      <c r="F767" s="206"/>
      <c r="G767" s="152"/>
      <c r="H767" s="147"/>
      <c r="I767" s="202"/>
      <c r="J767" s="147"/>
    </row>
    <row r="768" spans="2:10">
      <c r="B768" s="147"/>
      <c r="C768" s="147"/>
      <c r="D768" s="147"/>
      <c r="E768" s="206"/>
      <c r="F768" s="206"/>
      <c r="G768" s="152"/>
      <c r="H768" s="147"/>
      <c r="I768" s="202"/>
      <c r="J768" s="147"/>
    </row>
    <row r="769" spans="2:10">
      <c r="B769" s="147"/>
      <c r="C769" s="147"/>
      <c r="D769" s="147"/>
      <c r="E769" s="206"/>
      <c r="F769" s="206"/>
      <c r="G769" s="152"/>
      <c r="H769" s="147"/>
      <c r="I769" s="202"/>
      <c r="J769" s="147"/>
    </row>
    <row r="770" spans="2:10">
      <c r="B770" s="147"/>
      <c r="C770" s="147"/>
      <c r="D770" s="147"/>
      <c r="E770" s="206"/>
      <c r="F770" s="206"/>
      <c r="G770" s="152"/>
      <c r="H770" s="147"/>
      <c r="I770" s="202"/>
      <c r="J770" s="147"/>
    </row>
    <row r="771" spans="2:10">
      <c r="B771" s="147"/>
      <c r="C771" s="147"/>
      <c r="D771" s="147"/>
      <c r="E771" s="206"/>
      <c r="F771" s="206"/>
      <c r="G771" s="152"/>
      <c r="H771" s="147"/>
      <c r="I771" s="202"/>
      <c r="J771" s="147"/>
    </row>
    <row r="772" spans="2:10">
      <c r="B772" s="147"/>
      <c r="C772" s="147"/>
      <c r="D772" s="147"/>
      <c r="E772" s="206"/>
      <c r="F772" s="206"/>
      <c r="G772" s="152"/>
      <c r="H772" s="147"/>
      <c r="I772" s="202"/>
      <c r="J772" s="147"/>
    </row>
    <row r="773" spans="2:10">
      <c r="B773" s="147"/>
      <c r="C773" s="147"/>
      <c r="D773" s="147"/>
      <c r="E773" s="206"/>
      <c r="F773" s="206"/>
      <c r="G773" s="152"/>
      <c r="H773" s="147"/>
      <c r="I773" s="202"/>
      <c r="J773" s="147"/>
    </row>
    <row r="774" spans="2:10">
      <c r="B774" s="147"/>
      <c r="C774" s="147"/>
      <c r="D774" s="147"/>
      <c r="E774" s="206"/>
      <c r="F774" s="206"/>
      <c r="G774" s="152"/>
      <c r="H774" s="147"/>
      <c r="I774" s="202"/>
      <c r="J774" s="147"/>
    </row>
    <row r="775" spans="2:10">
      <c r="B775" s="147"/>
      <c r="C775" s="147"/>
      <c r="D775" s="147"/>
      <c r="E775" s="206"/>
      <c r="F775" s="206"/>
      <c r="G775" s="152"/>
      <c r="H775" s="147"/>
      <c r="I775" s="202"/>
      <c r="J775" s="147"/>
    </row>
    <row r="776" spans="2:10">
      <c r="B776" s="147"/>
      <c r="C776" s="147"/>
      <c r="D776" s="147"/>
      <c r="E776" s="206"/>
      <c r="F776" s="206"/>
      <c r="G776" s="152"/>
      <c r="H776" s="147"/>
      <c r="I776" s="202"/>
      <c r="J776" s="147"/>
    </row>
    <row r="777" spans="2:10">
      <c r="B777" s="147"/>
      <c r="C777" s="147"/>
      <c r="D777" s="147"/>
      <c r="E777" s="206"/>
      <c r="F777" s="206"/>
      <c r="G777" s="152"/>
      <c r="H777" s="147"/>
      <c r="I777" s="202"/>
      <c r="J777" s="147"/>
    </row>
    <row r="778" spans="2:10">
      <c r="B778" s="147"/>
      <c r="C778" s="147"/>
      <c r="D778" s="147"/>
      <c r="E778" s="206"/>
      <c r="F778" s="206"/>
      <c r="G778" s="152"/>
      <c r="H778" s="147"/>
      <c r="I778" s="202"/>
      <c r="J778" s="147"/>
    </row>
    <row r="779" spans="2:10">
      <c r="B779" s="147"/>
      <c r="C779" s="147"/>
      <c r="D779" s="147"/>
      <c r="E779" s="206"/>
      <c r="F779" s="206"/>
      <c r="G779" s="152"/>
      <c r="H779" s="147"/>
      <c r="I779" s="202"/>
      <c r="J779" s="147"/>
    </row>
    <row r="780" spans="2:10">
      <c r="B780" s="147"/>
      <c r="C780" s="147"/>
      <c r="D780" s="147"/>
      <c r="E780" s="206"/>
      <c r="F780" s="206"/>
      <c r="G780" s="152"/>
      <c r="H780" s="147"/>
      <c r="I780" s="202"/>
      <c r="J780" s="147"/>
    </row>
    <row r="781" spans="2:10">
      <c r="B781" s="147"/>
      <c r="C781" s="147"/>
      <c r="D781" s="147"/>
      <c r="E781" s="206"/>
      <c r="F781" s="206"/>
      <c r="G781" s="152"/>
      <c r="H781" s="147"/>
      <c r="I781" s="202"/>
      <c r="J781" s="147"/>
    </row>
    <row r="782" spans="2:10">
      <c r="B782" s="147"/>
      <c r="C782" s="147"/>
      <c r="D782" s="147"/>
      <c r="E782" s="206"/>
      <c r="F782" s="206"/>
      <c r="G782" s="152"/>
      <c r="H782" s="147"/>
      <c r="I782" s="202"/>
      <c r="J782" s="147"/>
    </row>
    <row r="783" spans="2:10">
      <c r="B783" s="147"/>
      <c r="C783" s="147"/>
      <c r="D783" s="147"/>
      <c r="E783" s="206"/>
      <c r="F783" s="206"/>
      <c r="G783" s="152"/>
      <c r="H783" s="147"/>
      <c r="I783" s="202"/>
      <c r="J783" s="147"/>
    </row>
    <row r="784" spans="2:10">
      <c r="B784" s="147"/>
      <c r="C784" s="147"/>
      <c r="D784" s="147"/>
      <c r="E784" s="206"/>
      <c r="F784" s="206"/>
      <c r="G784" s="152"/>
      <c r="H784" s="147"/>
      <c r="I784" s="202"/>
      <c r="J784" s="147"/>
    </row>
    <row r="785" spans="2:10">
      <c r="B785" s="147"/>
      <c r="C785" s="147"/>
      <c r="D785" s="147"/>
      <c r="E785" s="206"/>
      <c r="F785" s="206"/>
      <c r="G785" s="152"/>
      <c r="H785" s="147"/>
      <c r="I785" s="202"/>
      <c r="J785" s="147"/>
    </row>
    <row r="786" spans="2:10">
      <c r="B786" s="147"/>
      <c r="C786" s="147"/>
      <c r="D786" s="147"/>
      <c r="E786" s="206"/>
      <c r="F786" s="206"/>
      <c r="G786" s="152"/>
      <c r="H786" s="147"/>
      <c r="I786" s="202"/>
      <c r="J786" s="147"/>
    </row>
    <row r="787" spans="2:10">
      <c r="B787" s="147"/>
      <c r="C787" s="147"/>
      <c r="D787" s="147"/>
      <c r="E787" s="206"/>
      <c r="F787" s="206"/>
      <c r="G787" s="152"/>
      <c r="H787" s="147"/>
      <c r="I787" s="202"/>
      <c r="J787" s="147"/>
    </row>
    <row r="788" spans="2:10">
      <c r="B788" s="147"/>
      <c r="C788" s="147"/>
      <c r="D788" s="147"/>
      <c r="E788" s="206"/>
      <c r="F788" s="206"/>
      <c r="G788" s="152"/>
      <c r="H788" s="147"/>
      <c r="I788" s="202"/>
      <c r="J788" s="147"/>
    </row>
    <row r="789" spans="2:10">
      <c r="B789" s="147"/>
      <c r="C789" s="147"/>
      <c r="D789" s="147"/>
      <c r="E789" s="206"/>
      <c r="F789" s="206"/>
      <c r="G789" s="152"/>
      <c r="H789" s="147"/>
      <c r="I789" s="202"/>
      <c r="J789" s="147"/>
    </row>
    <row r="790" spans="2:10">
      <c r="B790" s="147"/>
      <c r="C790" s="147"/>
      <c r="D790" s="147"/>
      <c r="E790" s="206"/>
      <c r="F790" s="206"/>
      <c r="G790" s="152"/>
      <c r="H790" s="147"/>
      <c r="I790" s="202"/>
      <c r="J790" s="147"/>
    </row>
    <row r="791" spans="2:10">
      <c r="B791" s="147"/>
      <c r="C791" s="147"/>
      <c r="D791" s="147"/>
      <c r="E791" s="206"/>
      <c r="F791" s="206"/>
      <c r="G791" s="152"/>
      <c r="H791" s="147"/>
      <c r="I791" s="202"/>
      <c r="J791" s="147"/>
    </row>
    <row r="792" spans="2:10">
      <c r="B792" s="147"/>
      <c r="C792" s="147"/>
      <c r="D792" s="147"/>
      <c r="E792" s="206"/>
      <c r="F792" s="206"/>
      <c r="G792" s="152"/>
      <c r="H792" s="147"/>
      <c r="I792" s="202"/>
      <c r="J792" s="147"/>
    </row>
    <row r="793" spans="2:10">
      <c r="B793" s="147"/>
      <c r="C793" s="147"/>
      <c r="D793" s="147"/>
      <c r="E793" s="206"/>
      <c r="F793" s="206"/>
      <c r="G793" s="152"/>
      <c r="H793" s="147"/>
      <c r="I793" s="202"/>
      <c r="J793" s="147"/>
    </row>
    <row r="794" spans="2:10">
      <c r="B794" s="147"/>
      <c r="C794" s="147"/>
      <c r="D794" s="147"/>
      <c r="E794" s="206"/>
      <c r="F794" s="206"/>
      <c r="G794" s="152"/>
      <c r="H794" s="147"/>
      <c r="I794" s="202"/>
      <c r="J794" s="147"/>
    </row>
    <row r="795" spans="2:10">
      <c r="B795" s="147"/>
      <c r="C795" s="147"/>
      <c r="D795" s="147"/>
      <c r="E795" s="206"/>
      <c r="F795" s="206"/>
      <c r="G795" s="152"/>
      <c r="H795" s="147"/>
      <c r="I795" s="202"/>
      <c r="J795" s="147"/>
    </row>
    <row r="796" spans="2:10">
      <c r="C796" s="147"/>
      <c r="D796" s="147"/>
      <c r="E796" s="206"/>
      <c r="F796" s="206"/>
      <c r="G796" s="152"/>
    </row>
    <row r="797" spans="2:10">
      <c r="C797" s="147"/>
      <c r="D797" s="147"/>
      <c r="E797" s="206"/>
      <c r="F797" s="206"/>
      <c r="G797" s="152"/>
    </row>
    <row r="798" spans="2:10">
      <c r="C798" s="147"/>
      <c r="D798" s="147"/>
      <c r="E798" s="206"/>
      <c r="F798" s="206"/>
      <c r="G798" s="152"/>
    </row>
    <row r="799" spans="2:10">
      <c r="C799" s="147"/>
      <c r="D799" s="147"/>
      <c r="E799" s="206"/>
      <c r="F799" s="206"/>
      <c r="G799" s="152"/>
    </row>
    <row r="800" spans="2:10">
      <c r="C800" s="147"/>
      <c r="D800" s="147"/>
      <c r="E800" s="206"/>
      <c r="F800" s="206"/>
      <c r="G800" s="152"/>
    </row>
    <row r="801" spans="3:7">
      <c r="C801" s="147"/>
      <c r="D801" s="147"/>
      <c r="E801" s="206"/>
      <c r="F801" s="206"/>
      <c r="G801" s="152"/>
    </row>
    <row r="802" spans="3:7">
      <c r="C802" s="147"/>
      <c r="D802" s="147"/>
      <c r="E802" s="206"/>
      <c r="F802" s="206"/>
      <c r="G802" s="152"/>
    </row>
    <row r="803" spans="3:7">
      <c r="C803" s="147"/>
      <c r="D803" s="147"/>
      <c r="E803" s="206"/>
      <c r="F803" s="206"/>
      <c r="G803" s="152"/>
    </row>
    <row r="804" spans="3:7">
      <c r="C804" s="147"/>
      <c r="D804" s="147"/>
      <c r="E804" s="206"/>
      <c r="F804" s="206"/>
      <c r="G804" s="152"/>
    </row>
    <row r="805" spans="3:7">
      <c r="C805" s="147"/>
      <c r="D805" s="147"/>
      <c r="E805" s="206"/>
      <c r="F805" s="206"/>
      <c r="G805" s="152"/>
    </row>
    <row r="806" spans="3:7">
      <c r="C806" s="147"/>
      <c r="D806" s="147"/>
      <c r="E806" s="206"/>
      <c r="F806" s="206"/>
      <c r="G806" s="152"/>
    </row>
    <row r="807" spans="3:7">
      <c r="C807" s="147"/>
      <c r="D807" s="147"/>
      <c r="E807" s="206"/>
      <c r="F807" s="206"/>
      <c r="G807" s="152"/>
    </row>
    <row r="808" spans="3:7">
      <c r="C808" s="147"/>
      <c r="D808" s="147"/>
      <c r="E808" s="206"/>
      <c r="F808" s="206"/>
      <c r="G808" s="152"/>
    </row>
    <row r="809" spans="3:7">
      <c r="C809" s="147"/>
      <c r="D809" s="147"/>
      <c r="E809" s="206"/>
      <c r="F809" s="206"/>
      <c r="G809" s="152"/>
    </row>
    <row r="810" spans="3:7">
      <c r="C810" s="147"/>
      <c r="D810" s="147"/>
      <c r="E810" s="206"/>
      <c r="F810" s="206"/>
      <c r="G810" s="152"/>
    </row>
    <row r="811" spans="3:7">
      <c r="C811" s="147"/>
      <c r="D811" s="147"/>
      <c r="E811" s="206"/>
      <c r="F811" s="206"/>
      <c r="G811" s="152"/>
    </row>
    <row r="812" spans="3:7">
      <c r="C812" s="147"/>
      <c r="D812" s="147"/>
      <c r="E812" s="206"/>
      <c r="F812" s="206"/>
      <c r="G812" s="152"/>
    </row>
    <row r="813" spans="3:7">
      <c r="C813" s="147"/>
      <c r="D813" s="147"/>
      <c r="E813" s="206"/>
      <c r="F813" s="206"/>
      <c r="G813" s="152"/>
    </row>
  </sheetData>
  <phoneticPr fontId="71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A59" workbookViewId="0">
      <selection activeCell="D62" sqref="D62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2" t="s">
        <v>39</v>
      </c>
    </row>
    <row r="3" spans="2:22">
      <c r="B3" s="145"/>
      <c r="C3" s="145"/>
      <c r="D3" s="146"/>
      <c r="E3" s="146" t="s">
        <v>33</v>
      </c>
      <c r="F3" s="338" t="s">
        <v>34</v>
      </c>
      <c r="G3" s="338"/>
      <c r="H3" s="338"/>
      <c r="I3" s="147"/>
    </row>
    <row r="4" spans="2:22">
      <c r="B4" s="148"/>
      <c r="C4" s="148"/>
      <c r="D4" s="149" t="s">
        <v>35</v>
      </c>
      <c r="E4" s="149" t="s">
        <v>36</v>
      </c>
      <c r="F4" s="149" t="s">
        <v>21</v>
      </c>
      <c r="G4" s="149" t="s">
        <v>37</v>
      </c>
      <c r="H4" s="149" t="s">
        <v>65</v>
      </c>
      <c r="I4" s="149" t="s">
        <v>38</v>
      </c>
    </row>
    <row r="5" spans="2:22">
      <c r="B5" s="153">
        <f>IF(C5="E",YEAR(Dat_01!B$2)-4,"")</f>
        <v>2021</v>
      </c>
      <c r="C5" s="154" t="s">
        <v>90</v>
      </c>
      <c r="D5" s="150">
        <v>9758.5157368181899</v>
      </c>
      <c r="E5" s="151">
        <v>18538.071</v>
      </c>
      <c r="F5" s="151">
        <v>13030.265303050002</v>
      </c>
      <c r="G5" s="151">
        <v>5467.9549016999981</v>
      </c>
      <c r="H5" s="151">
        <v>9460.7335985820428</v>
      </c>
      <c r="I5" s="152">
        <f t="shared" ref="I5:I28" si="0">D5/E5*100</f>
        <v>52.640405448971414</v>
      </c>
      <c r="P5" s="238"/>
      <c r="Q5" s="238"/>
      <c r="R5" s="238"/>
      <c r="S5" s="238"/>
      <c r="T5" s="238"/>
      <c r="U5" s="238"/>
      <c r="V5" s="238"/>
    </row>
    <row r="6" spans="2:22">
      <c r="B6" s="153" t="str">
        <f>IF(C6="E",YEAR(Dat_01!B$2)-4,"")</f>
        <v/>
      </c>
      <c r="C6" s="154" t="s">
        <v>82</v>
      </c>
      <c r="D6" s="150">
        <v>12661.5058106672</v>
      </c>
      <c r="E6" s="151">
        <v>18538.071</v>
      </c>
      <c r="F6" s="151">
        <v>13350.687899449997</v>
      </c>
      <c r="G6" s="151">
        <v>5578.6608586499988</v>
      </c>
      <c r="H6" s="151">
        <v>10003.035437810451</v>
      </c>
      <c r="I6" s="152">
        <f t="shared" si="0"/>
        <v>68.300017896507143</v>
      </c>
      <c r="P6" s="238"/>
      <c r="Q6" s="238"/>
      <c r="R6" s="238"/>
      <c r="S6" s="238"/>
      <c r="T6" s="238"/>
    </row>
    <row r="7" spans="2:22">
      <c r="B7" s="153" t="str">
        <f>IF(C7="E",YEAR(Dat_01!B$2)-4,"")</f>
        <v/>
      </c>
      <c r="C7" s="154" t="s">
        <v>83</v>
      </c>
      <c r="D7" s="150">
        <v>12144.926731958538</v>
      </c>
      <c r="E7" s="151">
        <v>18538.071</v>
      </c>
      <c r="F7" s="151">
        <v>13867.618216399997</v>
      </c>
      <c r="G7" s="151">
        <v>5886.7781087999983</v>
      </c>
      <c r="H7" s="151">
        <v>10720.346582784256</v>
      </c>
      <c r="I7" s="152">
        <f t="shared" si="0"/>
        <v>65.513433042513086</v>
      </c>
      <c r="P7" s="238"/>
      <c r="Q7" s="238"/>
      <c r="R7" s="238"/>
      <c r="S7" s="238"/>
      <c r="T7" s="238"/>
    </row>
    <row r="8" spans="2:22">
      <c r="B8" s="153" t="str">
        <f>IF(C8="E",YEAR(Dat_01!B$2)-4,"")</f>
        <v/>
      </c>
      <c r="C8" s="154" t="s">
        <v>84</v>
      </c>
      <c r="D8" s="150">
        <v>11299.1892331082</v>
      </c>
      <c r="E8" s="151">
        <v>18538.071</v>
      </c>
      <c r="F8" s="151">
        <v>13950.648185050002</v>
      </c>
      <c r="G8" s="151">
        <v>7160.980094999999</v>
      </c>
      <c r="H8" s="151">
        <v>11307.143756783118</v>
      </c>
      <c r="I8" s="152">
        <f t="shared" si="0"/>
        <v>60.951267438279856</v>
      </c>
      <c r="P8" s="238"/>
      <c r="Q8" s="238"/>
      <c r="R8" s="238"/>
      <c r="S8" s="238"/>
      <c r="T8" s="238"/>
    </row>
    <row r="9" spans="2:22">
      <c r="B9" s="153" t="str">
        <f>IF(C9="E",YEAR(Dat_01!B$2)-4,"")</f>
        <v/>
      </c>
      <c r="C9" s="154" t="s">
        <v>83</v>
      </c>
      <c r="D9" s="150">
        <v>11113.845787991901</v>
      </c>
      <c r="E9" s="151">
        <v>18538.071</v>
      </c>
      <c r="F9" s="151">
        <v>14154.758919950002</v>
      </c>
      <c r="G9" s="151">
        <v>7197.9099209999968</v>
      </c>
      <c r="H9" s="151">
        <v>11468.407586706651</v>
      </c>
      <c r="I9" s="152">
        <f t="shared" si="0"/>
        <v>59.951468456410062</v>
      </c>
      <c r="P9" s="238"/>
      <c r="Q9" s="238"/>
      <c r="R9" s="238"/>
      <c r="S9" s="238"/>
      <c r="T9" s="238"/>
    </row>
    <row r="10" spans="2:22">
      <c r="B10" s="153" t="str">
        <f>IF(C10="E",YEAR(Dat_01!B$2)-4,"")</f>
        <v/>
      </c>
      <c r="C10" s="154" t="s">
        <v>85</v>
      </c>
      <c r="D10" s="150">
        <v>10415.710777083699</v>
      </c>
      <c r="E10" s="151">
        <v>18538.071</v>
      </c>
      <c r="F10" s="151">
        <v>13861.50749955</v>
      </c>
      <c r="G10" s="151">
        <v>6659.6807604989417</v>
      </c>
      <c r="H10" s="151">
        <v>10927.520460105234</v>
      </c>
      <c r="I10" s="152">
        <f t="shared" si="0"/>
        <v>56.185515618554369</v>
      </c>
      <c r="P10" s="238"/>
      <c r="Q10" s="238"/>
      <c r="R10" s="238"/>
      <c r="S10" s="238"/>
      <c r="T10" s="238"/>
    </row>
    <row r="11" spans="2:22">
      <c r="B11" s="153" t="str">
        <f>IF(C11="E",YEAR(Dat_01!B$2)-4,"")</f>
        <v/>
      </c>
      <c r="C11" s="154" t="s">
        <v>85</v>
      </c>
      <c r="D11" s="150">
        <v>8744.6750995529528</v>
      </c>
      <c r="E11" s="151">
        <v>18538.071</v>
      </c>
      <c r="F11" s="151">
        <v>12411.383130949995</v>
      </c>
      <c r="G11" s="151">
        <v>5800.1947457021333</v>
      </c>
      <c r="H11" s="151">
        <v>9824.1360547772583</v>
      </c>
      <c r="I11" s="152">
        <f t="shared" si="0"/>
        <v>47.171440327059663</v>
      </c>
      <c r="P11" s="238"/>
      <c r="Q11" s="238"/>
      <c r="R11" s="238"/>
      <c r="S11" s="238"/>
      <c r="T11" s="238"/>
    </row>
    <row r="12" spans="2:22">
      <c r="B12" s="153" t="str">
        <f>IF(C12="E",YEAR(Dat_01!B$2)-4,"")</f>
        <v/>
      </c>
      <c r="C12" s="154" t="s">
        <v>84</v>
      </c>
      <c r="D12" s="150">
        <v>7124.7383119369397</v>
      </c>
      <c r="E12" s="151">
        <v>18538.071</v>
      </c>
      <c r="F12" s="151">
        <v>11082.055950350004</v>
      </c>
      <c r="G12" s="151">
        <v>5069.3133357481856</v>
      </c>
      <c r="H12" s="151">
        <v>8745.5835792961407</v>
      </c>
      <c r="I12" s="152">
        <f t="shared" si="0"/>
        <v>38.433008007882478</v>
      </c>
      <c r="P12" s="238"/>
      <c r="Q12" s="238"/>
      <c r="R12" s="238"/>
      <c r="S12" s="238"/>
      <c r="T12" s="238"/>
    </row>
    <row r="13" spans="2:22">
      <c r="B13" s="153" t="str">
        <f>IF(C13="E",YEAR(Dat_01!B$2)-4,"")</f>
        <v/>
      </c>
      <c r="C13" s="154" t="s">
        <v>86</v>
      </c>
      <c r="D13" s="150">
        <v>6314.3165171768396</v>
      </c>
      <c r="E13" s="151">
        <v>18538.071</v>
      </c>
      <c r="F13" s="151">
        <v>10288.729394799997</v>
      </c>
      <c r="G13" s="151">
        <v>4739.6054379773832</v>
      </c>
      <c r="H13" s="151">
        <v>7973.9046291740378</v>
      </c>
      <c r="I13" s="152">
        <f t="shared" si="0"/>
        <v>34.061346065493218</v>
      </c>
      <c r="P13" s="238"/>
      <c r="Q13" s="238"/>
      <c r="R13" s="238"/>
      <c r="S13" s="238"/>
      <c r="T13" s="238"/>
    </row>
    <row r="14" spans="2:22">
      <c r="B14" s="153" t="str">
        <f>IF(C14="E",YEAR(Dat_01!B$2)-4,"")</f>
        <v/>
      </c>
      <c r="C14" s="154" t="s">
        <v>87</v>
      </c>
      <c r="D14" s="150">
        <v>5952.5394311548098</v>
      </c>
      <c r="E14" s="151">
        <v>18538.071</v>
      </c>
      <c r="F14" s="151">
        <v>9948.8780525499988</v>
      </c>
      <c r="G14" s="151">
        <v>4467.0470089624023</v>
      </c>
      <c r="H14" s="151">
        <v>7820.7365874517254</v>
      </c>
      <c r="I14" s="152">
        <f t="shared" si="0"/>
        <v>32.109810298788958</v>
      </c>
      <c r="P14" s="238"/>
      <c r="Q14" s="238"/>
      <c r="R14" s="238"/>
      <c r="S14" s="238"/>
      <c r="T14" s="238"/>
    </row>
    <row r="15" spans="2:22">
      <c r="B15" s="153" t="str">
        <f>IF(C15="E",YEAR(Dat_01!B$2)-4,"")</f>
        <v/>
      </c>
      <c r="C15" s="154" t="s">
        <v>88</v>
      </c>
      <c r="D15" s="150">
        <v>5955.5060306251098</v>
      </c>
      <c r="E15" s="151">
        <v>18538.071</v>
      </c>
      <c r="F15" s="151">
        <v>11222.871138699997</v>
      </c>
      <c r="G15" s="151">
        <v>4812.1705738000001</v>
      </c>
      <c r="H15" s="151">
        <v>8187.5351249509931</v>
      </c>
      <c r="I15" s="152">
        <f t="shared" si="0"/>
        <v>32.125813039690641</v>
      </c>
      <c r="P15" s="238"/>
      <c r="Q15" s="238"/>
      <c r="R15" s="238"/>
      <c r="S15" s="238"/>
      <c r="T15" s="238"/>
    </row>
    <row r="16" spans="2:22">
      <c r="B16" s="153" t="str">
        <f>IF(C16="E",YEAR(Dat_01!B$2)-4,"")</f>
        <v/>
      </c>
      <c r="C16" s="154" t="s">
        <v>89</v>
      </c>
      <c r="D16" s="150">
        <v>6678.5636735501203</v>
      </c>
      <c r="E16" s="151">
        <v>18538.071</v>
      </c>
      <c r="F16" s="151">
        <v>13273.133537799993</v>
      </c>
      <c r="G16" s="151">
        <v>5316.2767810999994</v>
      </c>
      <c r="H16" s="151">
        <v>8633.7092310648623</v>
      </c>
      <c r="I16" s="152">
        <f t="shared" si="0"/>
        <v>36.026206143832987</v>
      </c>
      <c r="P16" s="238"/>
      <c r="Q16" s="238"/>
      <c r="R16" s="238"/>
      <c r="S16" s="238"/>
      <c r="T16" s="238"/>
    </row>
    <row r="17" spans="2:20">
      <c r="B17" s="153">
        <f>IF(C17="E",YEAR(Dat_01!B$2)-3,"")</f>
        <v>2022</v>
      </c>
      <c r="C17" s="154" t="s">
        <v>90</v>
      </c>
      <c r="D17" s="150">
        <v>7030.3147235812303</v>
      </c>
      <c r="E17" s="151">
        <v>18538.071</v>
      </c>
      <c r="F17" s="151">
        <v>13035.252519200001</v>
      </c>
      <c r="G17" s="151">
        <v>5477.0266986999977</v>
      </c>
      <c r="H17" s="151">
        <v>9325.0652119229526</v>
      </c>
      <c r="I17" s="152">
        <f t="shared" si="0"/>
        <v>37.923658419375087</v>
      </c>
      <c r="P17" s="238"/>
      <c r="Q17" s="238"/>
      <c r="R17" s="238"/>
      <c r="S17" s="238"/>
      <c r="T17" s="238"/>
    </row>
    <row r="18" spans="2:20">
      <c r="B18" s="153" t="str">
        <f>IF(C18="E",YEAR(Dat_01!B$2)-3,"")</f>
        <v/>
      </c>
      <c r="C18" s="154" t="s">
        <v>82</v>
      </c>
      <c r="D18" s="150">
        <v>6849.7365063100897</v>
      </c>
      <c r="E18" s="151">
        <v>18538.071</v>
      </c>
      <c r="F18" s="151">
        <v>13419.170344149999</v>
      </c>
      <c r="G18" s="151">
        <v>5596.8493599999993</v>
      </c>
      <c r="H18" s="151">
        <v>10034.297981343811</v>
      </c>
      <c r="I18" s="152">
        <f t="shared" si="0"/>
        <v>36.949564527561094</v>
      </c>
      <c r="P18" s="238"/>
      <c r="Q18" s="238"/>
      <c r="R18" s="238"/>
      <c r="S18" s="238"/>
      <c r="T18" s="238"/>
    </row>
    <row r="19" spans="2:20">
      <c r="B19" s="153" t="str">
        <f>IF(C19="E",YEAR(Dat_01!B$2)-3,"")</f>
        <v/>
      </c>
      <c r="C19" s="154" t="s">
        <v>83</v>
      </c>
      <c r="D19" s="150">
        <v>7242.5224796164302</v>
      </c>
      <c r="E19" s="151">
        <v>18538.071</v>
      </c>
      <c r="F19" s="151">
        <v>13898.837668799999</v>
      </c>
      <c r="G19" s="151">
        <v>5950.5832111499976</v>
      </c>
      <c r="H19" s="151">
        <v>10651.382707382183</v>
      </c>
      <c r="I19" s="152">
        <f t="shared" si="0"/>
        <v>39.068371674789844</v>
      </c>
      <c r="P19" s="238"/>
      <c r="Q19" s="238"/>
      <c r="R19" s="238"/>
      <c r="S19" s="238"/>
      <c r="T19" s="238"/>
    </row>
    <row r="20" spans="2:20">
      <c r="B20" s="153" t="str">
        <f>IF(C20="E",YEAR(Dat_01!B$2)-3,"")</f>
        <v/>
      </c>
      <c r="C20" s="154" t="s">
        <v>84</v>
      </c>
      <c r="D20" s="150">
        <v>7896.3920571419603</v>
      </c>
      <c r="E20" s="151">
        <v>18538.071</v>
      </c>
      <c r="F20" s="151">
        <v>13999.32071715</v>
      </c>
      <c r="G20" s="151">
        <v>7213.8650399999988</v>
      </c>
      <c r="H20" s="151">
        <v>11224.845272938524</v>
      </c>
      <c r="I20" s="152">
        <f t="shared" si="0"/>
        <v>42.595543285717049</v>
      </c>
      <c r="P20" s="238"/>
      <c r="Q20" s="238"/>
      <c r="R20" s="238"/>
      <c r="S20" s="238"/>
      <c r="T20" s="238"/>
    </row>
    <row r="21" spans="2:20">
      <c r="B21" s="153" t="str">
        <f>IF(C21="E",YEAR(Dat_01!B$2)-3,"")</f>
        <v/>
      </c>
      <c r="C21" s="154" t="s">
        <v>83</v>
      </c>
      <c r="D21" s="150">
        <v>7862.6649207238397</v>
      </c>
      <c r="E21" s="151">
        <v>18538.071</v>
      </c>
      <c r="F21" s="151">
        <v>14194.180336200001</v>
      </c>
      <c r="G21" s="151">
        <v>7275.1757219999972</v>
      </c>
      <c r="H21" s="151">
        <v>11376.573024106245</v>
      </c>
      <c r="I21" s="152">
        <f t="shared" si="0"/>
        <v>42.413608841631039</v>
      </c>
      <c r="P21" s="238"/>
      <c r="Q21" s="238"/>
      <c r="R21" s="238"/>
      <c r="S21" s="238"/>
      <c r="T21" s="238"/>
    </row>
    <row r="22" spans="2:20">
      <c r="B22" s="153" t="str">
        <f>IF(C22="E",YEAR(Dat_01!B$2)-3,"")</f>
        <v/>
      </c>
      <c r="C22" s="154" t="s">
        <v>85</v>
      </c>
      <c r="D22" s="150">
        <v>7336.6756913938698</v>
      </c>
      <c r="E22" s="151">
        <v>18538.071</v>
      </c>
      <c r="F22" s="151">
        <v>13918.899108600002</v>
      </c>
      <c r="G22" s="151">
        <v>6720.2938423489422</v>
      </c>
      <c r="H22" s="151">
        <v>10871.053378959414</v>
      </c>
      <c r="I22" s="152">
        <f t="shared" si="0"/>
        <v>39.576262769701714</v>
      </c>
      <c r="P22" s="238"/>
      <c r="Q22" s="238"/>
      <c r="R22" s="238"/>
      <c r="S22" s="238"/>
      <c r="T22" s="238"/>
    </row>
    <row r="23" spans="2:20">
      <c r="B23" s="153" t="str">
        <f>IF(C23="E",YEAR(Dat_01!B$2)-3,"")</f>
        <v/>
      </c>
      <c r="C23" s="154" t="s">
        <v>85</v>
      </c>
      <c r="D23" s="150">
        <v>6503.7333101836002</v>
      </c>
      <c r="E23" s="151">
        <v>18538.071</v>
      </c>
      <c r="F23" s="151">
        <v>12486.880997399992</v>
      </c>
      <c r="G23" s="151">
        <v>5861.5753199858218</v>
      </c>
      <c r="H23" s="151">
        <v>9714.3243532549059</v>
      </c>
      <c r="I23" s="152">
        <f t="shared" si="0"/>
        <v>35.083117926258886</v>
      </c>
      <c r="P23" s="238"/>
      <c r="Q23" s="238"/>
      <c r="R23" s="238"/>
      <c r="S23" s="238"/>
      <c r="T23" s="238"/>
    </row>
    <row r="24" spans="2:20">
      <c r="B24" s="153" t="str">
        <f>IF(C24="E",YEAR(Dat_01!B$2)-3,"")</f>
        <v/>
      </c>
      <c r="C24" s="154" t="s">
        <v>84</v>
      </c>
      <c r="D24" s="150">
        <v>5663.3995666707096</v>
      </c>
      <c r="E24" s="151">
        <v>18538.071</v>
      </c>
      <c r="F24" s="151">
        <v>11155.732386300004</v>
      </c>
      <c r="G24" s="151">
        <v>5122.4186417062165</v>
      </c>
      <c r="H24" s="151">
        <v>8618.9540563929877</v>
      </c>
      <c r="I24" s="152">
        <f t="shared" si="0"/>
        <v>30.550101823812785</v>
      </c>
      <c r="P24" s="238"/>
      <c r="Q24" s="238"/>
      <c r="R24" s="238"/>
      <c r="S24" s="238"/>
      <c r="T24" s="238"/>
    </row>
    <row r="25" spans="2:20">
      <c r="B25" s="153" t="str">
        <f>IF(C25="E",YEAR(Dat_01!B$2)-3,"")</f>
        <v/>
      </c>
      <c r="C25" s="154" t="s">
        <v>86</v>
      </c>
      <c r="D25" s="150">
        <v>4854.8048105114403</v>
      </c>
      <c r="E25" s="151">
        <v>18538.071</v>
      </c>
      <c r="F25" s="151">
        <v>10360.471131599998</v>
      </c>
      <c r="G25" s="151">
        <v>4769.6031145773832</v>
      </c>
      <c r="H25" s="151">
        <v>7853.1852055328782</v>
      </c>
      <c r="I25" s="152">
        <f t="shared" si="0"/>
        <v>26.188295483987741</v>
      </c>
      <c r="P25" s="238"/>
      <c r="Q25" s="238"/>
      <c r="R25" s="238"/>
      <c r="S25" s="238"/>
      <c r="T25" s="238"/>
    </row>
    <row r="26" spans="2:20">
      <c r="B26" s="153" t="str">
        <f>IF(C26="E",YEAR(Dat_01!B$2)-3,"")</f>
        <v/>
      </c>
      <c r="C26" s="154" t="s">
        <v>87</v>
      </c>
      <c r="D26" s="150">
        <v>4989.2516276194901</v>
      </c>
      <c r="E26" s="151">
        <v>18538.071</v>
      </c>
      <c r="F26" s="151">
        <v>10037.671056599998</v>
      </c>
      <c r="G26" s="151">
        <v>4490.9091346624027</v>
      </c>
      <c r="H26" s="151">
        <v>7700.931035509464</v>
      </c>
      <c r="I26" s="152">
        <f t="shared" si="0"/>
        <v>26.913542555854331</v>
      </c>
      <c r="P26" s="238"/>
      <c r="Q26" s="238"/>
      <c r="R26" s="238"/>
      <c r="S26" s="238"/>
      <c r="T26" s="238"/>
    </row>
    <row r="27" spans="2:20">
      <c r="B27" s="153" t="str">
        <f>IF(C27="E",YEAR(Dat_01!B$2)-3,"")</f>
        <v/>
      </c>
      <c r="C27" s="154" t="s">
        <v>88</v>
      </c>
      <c r="D27" s="150">
        <v>5789.2389871449896</v>
      </c>
      <c r="E27" s="151">
        <v>18538.071</v>
      </c>
      <c r="F27" s="151">
        <v>11248.176501599997</v>
      </c>
      <c r="G27" s="151">
        <v>4818.1352348499995</v>
      </c>
      <c r="H27" s="151">
        <v>8119.3286799822454</v>
      </c>
      <c r="I27" s="152">
        <f t="shared" si="0"/>
        <v>31.228917977199405</v>
      </c>
      <c r="P27" s="238"/>
      <c r="Q27" s="238"/>
      <c r="R27" s="238"/>
      <c r="S27" s="238"/>
      <c r="T27" s="238"/>
    </row>
    <row r="28" spans="2:20">
      <c r="B28" s="153" t="str">
        <f>IF(C28="E",YEAR(Dat_01!B$2)-3,"")</f>
        <v/>
      </c>
      <c r="C28" s="154" t="s">
        <v>89</v>
      </c>
      <c r="D28" s="150">
        <v>8226.3793556488708</v>
      </c>
      <c r="E28" s="151">
        <v>18538.071</v>
      </c>
      <c r="F28" s="151">
        <v>13212.158572249993</v>
      </c>
      <c r="G28" s="151">
        <v>5311.2606904000004</v>
      </c>
      <c r="H28" s="151">
        <v>8643.2465402423641</v>
      </c>
      <c r="I28" s="152">
        <f t="shared" si="0"/>
        <v>44.375595258259992</v>
      </c>
      <c r="P28" s="238"/>
      <c r="Q28" s="238"/>
      <c r="R28" s="238"/>
      <c r="S28" s="238"/>
      <c r="T28" s="238"/>
    </row>
    <row r="29" spans="2:20">
      <c r="B29" s="153">
        <f>IF(C29="E",YEAR(Dat_01!B$2)-2,"")</f>
        <v>2023</v>
      </c>
      <c r="C29" s="154" t="s">
        <v>90</v>
      </c>
      <c r="D29" s="150">
        <v>10223.608293560101</v>
      </c>
      <c r="E29" s="151">
        <v>18538.071</v>
      </c>
      <c r="F29" s="151">
        <v>13040.239735350002</v>
      </c>
      <c r="G29" s="151">
        <v>5486.0984956999982</v>
      </c>
      <c r="H29" s="151">
        <v>9345.1985046020109</v>
      </c>
      <c r="I29" s="152">
        <f>D29/E29*100</f>
        <v>55.149256325321552</v>
      </c>
      <c r="P29" s="238"/>
      <c r="Q29" s="238"/>
      <c r="R29" s="238"/>
      <c r="S29" s="238"/>
      <c r="T29" s="238"/>
    </row>
    <row r="30" spans="2:20">
      <c r="B30" s="153" t="str">
        <f>IF(C30="E",YEAR(Dat_01!B$2)-2,"")</f>
        <v/>
      </c>
      <c r="C30" s="154" t="s">
        <v>82</v>
      </c>
      <c r="D30" s="150">
        <v>9799.5666123993706</v>
      </c>
      <c r="E30" s="151">
        <v>18538.071</v>
      </c>
      <c r="F30" s="151">
        <v>13487.652788849999</v>
      </c>
      <c r="G30" s="151">
        <v>5615.0378613499997</v>
      </c>
      <c r="H30" s="151">
        <v>10020.752600659313</v>
      </c>
      <c r="I30" s="152">
        <f t="shared" ref="I30:I52" si="1">D30/E30*100</f>
        <v>52.861846372253993</v>
      </c>
      <c r="P30" s="238"/>
      <c r="Q30" s="238"/>
      <c r="R30" s="238"/>
      <c r="S30" s="238"/>
      <c r="T30" s="238"/>
    </row>
    <row r="31" spans="2:20">
      <c r="B31" s="153" t="str">
        <f>IF(C31="E",YEAR(Dat_01!B$2)-2,"")</f>
        <v/>
      </c>
      <c r="C31" s="154" t="s">
        <v>83</v>
      </c>
      <c r="D31" s="150">
        <v>10212.192476558999</v>
      </c>
      <c r="E31" s="151">
        <v>18538.071</v>
      </c>
      <c r="F31" s="151">
        <v>13930.057121199998</v>
      </c>
      <c r="G31" s="151">
        <v>6014.3883134999978</v>
      </c>
      <c r="H31" s="151">
        <v>10628.434723363</v>
      </c>
      <c r="I31" s="152">
        <f t="shared" si="1"/>
        <v>55.087675932188404</v>
      </c>
      <c r="P31" s="238"/>
      <c r="Q31" s="238"/>
      <c r="R31" s="238"/>
      <c r="S31" s="238"/>
      <c r="T31" s="238"/>
    </row>
    <row r="32" spans="2:20">
      <c r="B32" s="153" t="str">
        <f>IF(C32="E",YEAR(Dat_01!B$2)-2,"")</f>
        <v/>
      </c>
      <c r="C32" s="154" t="s">
        <v>84</v>
      </c>
      <c r="D32" s="150">
        <v>9885.1331418185291</v>
      </c>
      <c r="E32" s="151">
        <v>18538.071</v>
      </c>
      <c r="F32" s="151">
        <v>14047.993249249999</v>
      </c>
      <c r="G32" s="151">
        <v>7267.1733878570958</v>
      </c>
      <c r="H32" s="151">
        <v>11226.165030795621</v>
      </c>
      <c r="I32" s="152">
        <f t="shared" si="1"/>
        <v>53.323418287795576</v>
      </c>
      <c r="P32" s="238"/>
      <c r="Q32" s="238"/>
      <c r="R32" s="238"/>
      <c r="S32" s="238"/>
      <c r="T32" s="238"/>
    </row>
    <row r="33" spans="2:20">
      <c r="B33" s="153" t="str">
        <f>IF(C33="E",YEAR(Dat_01!B$2)-2,"")</f>
        <v/>
      </c>
      <c r="C33" s="154" t="s">
        <v>83</v>
      </c>
      <c r="D33" s="150">
        <v>9365.4005860970192</v>
      </c>
      <c r="E33" s="151">
        <v>18538.071</v>
      </c>
      <c r="F33" s="151">
        <v>14233.601752450002</v>
      </c>
      <c r="G33" s="151">
        <v>7325.0050030361872</v>
      </c>
      <c r="H33" s="151">
        <v>11367.959959142432</v>
      </c>
      <c r="I33" s="152">
        <f t="shared" si="1"/>
        <v>50.51982261852929</v>
      </c>
      <c r="P33" s="238"/>
      <c r="Q33" s="238"/>
      <c r="R33" s="238"/>
      <c r="S33" s="238"/>
      <c r="T33" s="238"/>
    </row>
    <row r="34" spans="2:20">
      <c r="B34" s="153" t="str">
        <f>IF(C34="E",YEAR(Dat_01!B$2)-2,"")</f>
        <v/>
      </c>
      <c r="C34" s="154" t="s">
        <v>85</v>
      </c>
      <c r="D34" s="150">
        <v>9135.7508606141801</v>
      </c>
      <c r="E34" s="151">
        <v>18538.071</v>
      </c>
      <c r="F34" s="151">
        <v>13976.290717650001</v>
      </c>
      <c r="G34" s="151">
        <v>6772.5070219186337</v>
      </c>
      <c r="H34" s="151">
        <v>10854.516130029104</v>
      </c>
      <c r="I34" s="152">
        <f t="shared" si="1"/>
        <v>49.281022068661727</v>
      </c>
      <c r="P34" s="238"/>
      <c r="Q34" s="238"/>
      <c r="R34" s="238"/>
      <c r="S34" s="238"/>
      <c r="T34" s="238"/>
    </row>
    <row r="35" spans="2:20">
      <c r="B35" s="153" t="str">
        <f>IF(C35="E",YEAR(Dat_01!B$2)-2,"")</f>
        <v/>
      </c>
      <c r="C35" s="154" t="s">
        <v>85</v>
      </c>
      <c r="D35" s="150">
        <v>8175.9128053970835</v>
      </c>
      <c r="E35" s="151">
        <v>18538.071</v>
      </c>
      <c r="F35" s="151">
        <v>12562.378863849992</v>
      </c>
      <c r="G35" s="151">
        <v>5915.1664204949993</v>
      </c>
      <c r="H35" s="151">
        <v>9688.0502232640847</v>
      </c>
      <c r="I35" s="152">
        <f t="shared" si="1"/>
        <v>44.103363318638081</v>
      </c>
      <c r="P35" s="238"/>
      <c r="Q35" s="238"/>
      <c r="R35" s="238"/>
      <c r="S35" s="238"/>
      <c r="T35" s="238"/>
    </row>
    <row r="36" spans="2:20">
      <c r="B36" s="153" t="str">
        <f>IF(C36="E",YEAR(Dat_01!B$2)-2,"")</f>
        <v/>
      </c>
      <c r="C36" s="154" t="s">
        <v>84</v>
      </c>
      <c r="D36" s="150">
        <v>7267.4230046471803</v>
      </c>
      <c r="E36" s="151">
        <v>18538.071</v>
      </c>
      <c r="F36" s="151">
        <v>11229.408822250003</v>
      </c>
      <c r="G36" s="151">
        <v>5168.0545450397494</v>
      </c>
      <c r="H36" s="151">
        <v>8576.9264407265182</v>
      </c>
      <c r="I36" s="152">
        <f t="shared" si="1"/>
        <v>39.202692689261895</v>
      </c>
      <c r="P36" s="238"/>
      <c r="Q36" s="238"/>
      <c r="R36" s="238"/>
      <c r="S36" s="238"/>
      <c r="T36" s="238"/>
    </row>
    <row r="37" spans="2:20">
      <c r="B37" s="153" t="str">
        <f>IF(C37="E",YEAR(Dat_01!B$2)-2,"")</f>
        <v/>
      </c>
      <c r="C37" s="154" t="s">
        <v>86</v>
      </c>
      <c r="D37" s="150">
        <v>7008.4596426560602</v>
      </c>
      <c r="E37" s="151">
        <v>18538.071</v>
      </c>
      <c r="F37" s="151">
        <v>10432.212868399996</v>
      </c>
      <c r="G37" s="151">
        <v>4785.5655401029526</v>
      </c>
      <c r="H37" s="151">
        <v>7781.2152055584493</v>
      </c>
      <c r="I37" s="152">
        <f t="shared" si="1"/>
        <v>37.805765457776381</v>
      </c>
      <c r="P37" s="238"/>
      <c r="Q37" s="238"/>
      <c r="R37" s="238"/>
      <c r="S37" s="238"/>
      <c r="T37" s="238"/>
    </row>
    <row r="38" spans="2:20">
      <c r="B38" s="153" t="str">
        <f>IF(C38="E",YEAR(Dat_01!B$2)-2,"")</f>
        <v/>
      </c>
      <c r="C38" s="154" t="s">
        <v>87</v>
      </c>
      <c r="D38" s="150">
        <v>7614.13469651794</v>
      </c>
      <c r="E38" s="151">
        <v>18538.071</v>
      </c>
      <c r="F38" s="151">
        <v>10126.464060649998</v>
      </c>
      <c r="G38" s="151">
        <v>4514.7712603624032</v>
      </c>
      <c r="H38" s="151">
        <v>7613.3641368904337</v>
      </c>
      <c r="I38" s="152">
        <f t="shared" si="1"/>
        <v>41.07296113235266</v>
      </c>
      <c r="P38" s="238"/>
      <c r="Q38" s="238"/>
      <c r="R38" s="238"/>
      <c r="S38" s="238"/>
      <c r="T38" s="238"/>
    </row>
    <row r="39" spans="2:20">
      <c r="B39" s="153" t="str">
        <f>IF(C39="E",YEAR(Dat_01!B$2)-2,"")</f>
        <v/>
      </c>
      <c r="C39" s="154" t="s">
        <v>88</v>
      </c>
      <c r="D39" s="150">
        <v>9142.8206733039697</v>
      </c>
      <c r="E39" s="151">
        <v>18538.071</v>
      </c>
      <c r="F39" s="151">
        <v>11273.481864499998</v>
      </c>
      <c r="G39" s="151">
        <v>4824.0998959000008</v>
      </c>
      <c r="H39" s="151">
        <v>7991.0891993394935</v>
      </c>
      <c r="I39" s="152">
        <f t="shared" si="1"/>
        <v>49.319158791138349</v>
      </c>
      <c r="P39" s="238"/>
      <c r="Q39" s="238"/>
      <c r="R39" s="238"/>
      <c r="S39" s="238"/>
      <c r="T39" s="238"/>
    </row>
    <row r="40" spans="2:20">
      <c r="B40" s="153" t="str">
        <f>IF(C40="E",YEAR(Dat_01!B$2)-2,"")</f>
        <v/>
      </c>
      <c r="C40" s="154" t="s">
        <v>89</v>
      </c>
      <c r="D40" s="150">
        <v>9446.2258304710394</v>
      </c>
      <c r="E40" s="151">
        <v>18538.071</v>
      </c>
      <c r="F40" s="151">
        <v>13151.183606699993</v>
      </c>
      <c r="G40" s="151">
        <v>5306.2445997000004</v>
      </c>
      <c r="H40" s="151">
        <v>8518.007405024804</v>
      </c>
      <c r="I40" s="152">
        <f t="shared" si="1"/>
        <v>50.955818598769199</v>
      </c>
      <c r="P40" s="238"/>
      <c r="Q40" s="238"/>
      <c r="R40" s="238"/>
      <c r="S40" s="238"/>
      <c r="T40" s="238"/>
    </row>
    <row r="41" spans="2:20">
      <c r="B41" s="153">
        <f>IF(C41="E",YEAR(Dat_01!B$2)-1,"")</f>
        <v>2024</v>
      </c>
      <c r="C41" s="154" t="s">
        <v>90</v>
      </c>
      <c r="D41" s="150">
        <v>10688.2040657137</v>
      </c>
      <c r="E41" s="151">
        <v>18538.071</v>
      </c>
      <c r="F41" s="151">
        <v>13045.226951500001</v>
      </c>
      <c r="G41" s="151">
        <v>5495.1702926999978</v>
      </c>
      <c r="H41" s="151">
        <v>9256.8070597800142</v>
      </c>
      <c r="I41" s="152">
        <f t="shared" si="1"/>
        <v>57.655427394326523</v>
      </c>
      <c r="P41" s="238"/>
      <c r="Q41" s="238"/>
      <c r="R41" s="238"/>
      <c r="S41" s="238"/>
      <c r="T41" s="238"/>
    </row>
    <row r="42" spans="2:20">
      <c r="B42" s="153" t="str">
        <f>IF(C42="E",YEAR(Dat_01!B$2)-1,"")</f>
        <v/>
      </c>
      <c r="C42" s="154" t="s">
        <v>82</v>
      </c>
      <c r="D42" s="150">
        <v>11221.4886575035</v>
      </c>
      <c r="E42" s="151">
        <v>18538.071</v>
      </c>
      <c r="F42" s="151">
        <v>13556.135233550001</v>
      </c>
      <c r="G42" s="151">
        <v>5633.2263627000011</v>
      </c>
      <c r="H42" s="151">
        <v>9899.4168212792774</v>
      </c>
      <c r="I42" s="152">
        <f t="shared" si="1"/>
        <v>60.532126872874201</v>
      </c>
      <c r="P42" s="238"/>
      <c r="Q42" s="238"/>
      <c r="R42" s="238"/>
      <c r="S42" s="238"/>
      <c r="T42" s="238"/>
    </row>
    <row r="43" spans="2:20">
      <c r="B43" s="153" t="str">
        <f>IF(C43="E",YEAR(Dat_01!B$2)-1,"")</f>
        <v/>
      </c>
      <c r="C43" s="154" t="s">
        <v>83</v>
      </c>
      <c r="D43" s="150">
        <v>13037.077126418901</v>
      </c>
      <c r="E43" s="151">
        <v>18538.071</v>
      </c>
      <c r="F43" s="151">
        <v>13961.2765736</v>
      </c>
      <c r="G43" s="151">
        <v>6078.193415849998</v>
      </c>
      <c r="H43" s="151">
        <v>10511.775118190948</v>
      </c>
      <c r="I43" s="152">
        <f t="shared" si="1"/>
        <v>70.325963938852652</v>
      </c>
      <c r="P43" s="238"/>
      <c r="Q43" s="238"/>
      <c r="R43" s="238"/>
      <c r="S43" s="238"/>
      <c r="T43" s="238"/>
    </row>
    <row r="44" spans="2:20">
      <c r="B44" s="153" t="str">
        <f>IF(C44="E",YEAR(Dat_01!B$2)-1,"")</f>
        <v/>
      </c>
      <c r="C44" s="154" t="s">
        <v>84</v>
      </c>
      <c r="D44" s="150">
        <v>13948.444329464</v>
      </c>
      <c r="E44" s="151">
        <v>18538.071</v>
      </c>
      <c r="F44" s="151">
        <v>14096.665781349997</v>
      </c>
      <c r="G44" s="151">
        <v>7320.4817357141919</v>
      </c>
      <c r="H44" s="151">
        <v>11066.351444386546</v>
      </c>
      <c r="I44" s="152">
        <f t="shared" si="1"/>
        <v>75.242156152406579</v>
      </c>
      <c r="P44" s="238"/>
      <c r="Q44" s="238"/>
      <c r="R44" s="238"/>
      <c r="S44" s="238"/>
      <c r="T44" s="238"/>
    </row>
    <row r="45" spans="2:20">
      <c r="B45" s="153" t="str">
        <f>IF(C45="E",YEAR(Dat_01!B$2)-1,"")</f>
        <v/>
      </c>
      <c r="C45" s="154" t="s">
        <v>83</v>
      </c>
      <c r="D45" s="150">
        <v>14172.663355012501</v>
      </c>
      <c r="E45" s="151">
        <v>18538.071</v>
      </c>
      <c r="F45" s="151">
        <v>14273.023168700001</v>
      </c>
      <c r="G45" s="151">
        <v>7374.8342840723762</v>
      </c>
      <c r="H45" s="151">
        <v>11196.411789447282</v>
      </c>
      <c r="I45" s="152">
        <f t="shared" si="1"/>
        <v>76.451661853126467</v>
      </c>
      <c r="P45" s="238"/>
      <c r="Q45" s="238"/>
      <c r="R45" s="238"/>
      <c r="S45" s="238"/>
      <c r="T45" s="238"/>
    </row>
    <row r="46" spans="2:20">
      <c r="B46" s="153" t="str">
        <f>IF(C46="E",YEAR(Dat_01!B$2)-1,"")</f>
        <v/>
      </c>
      <c r="C46" s="154" t="s">
        <v>85</v>
      </c>
      <c r="D46" s="150">
        <v>13422.185926005801</v>
      </c>
      <c r="E46" s="151">
        <v>18538.071</v>
      </c>
      <c r="F46" s="151">
        <v>14033.682326700004</v>
      </c>
      <c r="G46" s="151">
        <v>6824.7202014883251</v>
      </c>
      <c r="H46" s="151">
        <v>10706.264048059809</v>
      </c>
      <c r="I46" s="152">
        <f t="shared" si="1"/>
        <v>72.403358073263405</v>
      </c>
      <c r="P46" s="238"/>
      <c r="Q46" s="238"/>
      <c r="R46" s="238"/>
      <c r="S46" s="238"/>
      <c r="T46" s="238"/>
    </row>
    <row r="47" spans="2:20">
      <c r="B47" s="153" t="str">
        <f>IF(C47="E",YEAR(Dat_01!B$2)-1,"")</f>
        <v/>
      </c>
      <c r="C47" s="154" t="s">
        <v>85</v>
      </c>
      <c r="D47" s="150">
        <v>11989.9537651518</v>
      </c>
      <c r="E47" s="151">
        <v>18538.071</v>
      </c>
      <c r="F47" s="151">
        <v>12637.876730299991</v>
      </c>
      <c r="G47" s="151">
        <v>5968.7575210041769</v>
      </c>
      <c r="H47" s="151">
        <v>9551.05530403394</v>
      </c>
      <c r="I47" s="152">
        <f t="shared" si="1"/>
        <v>64.677461668756152</v>
      </c>
      <c r="P47" s="238"/>
      <c r="Q47" s="238"/>
      <c r="R47" s="238"/>
      <c r="S47" s="238"/>
      <c r="T47" s="238"/>
    </row>
    <row r="48" spans="2:20">
      <c r="B48" s="153" t="str">
        <f>IF(C48="E",YEAR(Dat_01!B$2)-1,"")</f>
        <v/>
      </c>
      <c r="C48" s="154" t="s">
        <v>84</v>
      </c>
      <c r="D48" s="150">
        <v>10414.1239856706</v>
      </c>
      <c r="E48" s="151">
        <v>18538.071</v>
      </c>
      <c r="F48" s="151">
        <v>11303.085258200004</v>
      </c>
      <c r="G48" s="151">
        <v>5213.6904483732833</v>
      </c>
      <c r="H48" s="151">
        <v>8444.0754629588773</v>
      </c>
      <c r="I48" s="152">
        <f t="shared" si="1"/>
        <v>56.176955982478439</v>
      </c>
      <c r="P48" s="238"/>
      <c r="Q48" s="238"/>
      <c r="R48" s="238"/>
      <c r="S48" s="238"/>
      <c r="T48" s="238"/>
    </row>
    <row r="49" spans="2:20">
      <c r="B49" s="153" t="str">
        <f>IF(C49="E",YEAR(Dat_01!B$2)-1,"")</f>
        <v/>
      </c>
      <c r="C49" s="154" t="s">
        <v>86</v>
      </c>
      <c r="D49" s="150">
        <v>9721.2123072402792</v>
      </c>
      <c r="E49" s="151">
        <v>18538.071</v>
      </c>
      <c r="F49" s="151">
        <v>10503.954605199997</v>
      </c>
      <c r="G49" s="151">
        <v>4801.527965628522</v>
      </c>
      <c r="H49" s="151">
        <v>7672.7940631912497</v>
      </c>
      <c r="I49" s="152">
        <f t="shared" si="1"/>
        <v>52.439179390564853</v>
      </c>
      <c r="P49" s="238"/>
      <c r="Q49" s="238"/>
      <c r="R49" s="238"/>
      <c r="S49" s="238"/>
      <c r="T49" s="238"/>
    </row>
    <row r="50" spans="2:20">
      <c r="B50" s="153" t="str">
        <f>IF(C50="E",YEAR(Dat_01!B$2)-1,"")</f>
        <v/>
      </c>
      <c r="C50" s="154" t="s">
        <v>87</v>
      </c>
      <c r="D50" s="150">
        <v>10172.0387333156</v>
      </c>
      <c r="E50" s="151">
        <v>18538.071</v>
      </c>
      <c r="F50" s="151">
        <v>10198.405590699997</v>
      </c>
      <c r="G50" s="151">
        <v>4538.6333860624027</v>
      </c>
      <c r="H50" s="151">
        <v>7534.5096632163304</v>
      </c>
      <c r="I50" s="152">
        <f t="shared" si="1"/>
        <v>54.871074413921491</v>
      </c>
      <c r="P50" s="238"/>
      <c r="Q50" s="238"/>
      <c r="R50" s="238"/>
      <c r="S50" s="238"/>
      <c r="T50" s="238"/>
    </row>
    <row r="51" spans="2:20">
      <c r="B51" s="153" t="str">
        <f>IF(C51="E",YEAR(Dat_01!B$2)-1,"")</f>
        <v/>
      </c>
      <c r="C51" s="154" t="s">
        <v>88</v>
      </c>
      <c r="D51" s="150">
        <v>9729.7201887363699</v>
      </c>
      <c r="E51" s="151">
        <v>18538.071</v>
      </c>
      <c r="F51" s="151">
        <v>11298.787227399998</v>
      </c>
      <c r="G51" s="151">
        <v>4803.1739069499999</v>
      </c>
      <c r="H51" s="151">
        <v>7935.87371500469</v>
      </c>
      <c r="I51" s="152">
        <f t="shared" si="1"/>
        <v>52.485073494088837</v>
      </c>
      <c r="P51" s="238"/>
      <c r="Q51" s="238"/>
      <c r="R51" s="238"/>
      <c r="S51" s="238"/>
      <c r="T51" s="238"/>
    </row>
    <row r="52" spans="2:20">
      <c r="B52" s="153" t="str">
        <f>IF(C52="E",YEAR(Dat_01!B$2)-1,"")</f>
        <v/>
      </c>
      <c r="C52" s="154" t="s">
        <v>89</v>
      </c>
      <c r="D52" s="150">
        <v>9697.9008206068702</v>
      </c>
      <c r="E52" s="151">
        <v>18538.071</v>
      </c>
      <c r="F52" s="151">
        <v>13090.208641149995</v>
      </c>
      <c r="G52" s="151">
        <v>5281.5086990000018</v>
      </c>
      <c r="H52" s="151">
        <v>8466.130292548356</v>
      </c>
      <c r="I52" s="152">
        <f t="shared" si="1"/>
        <v>52.313430133085959</v>
      </c>
      <c r="J52" s="125"/>
      <c r="K52" s="125"/>
      <c r="P52" s="238"/>
      <c r="Q52" s="238"/>
      <c r="R52" s="238"/>
      <c r="S52" s="238"/>
      <c r="T52" s="238"/>
    </row>
    <row r="53" spans="2:20">
      <c r="B53" s="153">
        <f>IF(C53="E",YEAR(Dat_01!B$2),"")</f>
        <v>2025</v>
      </c>
      <c r="C53" s="154" t="s">
        <v>90</v>
      </c>
      <c r="D53" s="150">
        <v>10662.1502703717</v>
      </c>
      <c r="E53" s="151">
        <v>18538.071</v>
      </c>
      <c r="F53" s="151">
        <v>13050.214167650001</v>
      </c>
      <c r="G53" s="151">
        <v>5504.2420896999975</v>
      </c>
      <c r="H53" s="151">
        <v>9240.0485735656985</v>
      </c>
      <c r="I53" s="152">
        <f t="shared" ref="I53:I54" si="2">D53/E53*100</f>
        <v>57.514885288613357</v>
      </c>
      <c r="J53" s="125">
        <f t="shared" ref="J53" si="3">I53-I52</f>
        <v>5.2014551555273982</v>
      </c>
      <c r="K53" s="125">
        <f t="shared" ref="K53:K58" si="4">I53-I41</f>
        <v>-0.14054210571316617</v>
      </c>
    </row>
    <row r="54" spans="2:20">
      <c r="B54" s="153" t="str">
        <f>IF(C54="E",YEAR(Dat_01!B$2),"")</f>
        <v/>
      </c>
      <c r="C54" s="154" t="s">
        <v>82</v>
      </c>
      <c r="D54" s="150">
        <v>11118.121739063799</v>
      </c>
      <c r="E54" s="151">
        <v>18538.071</v>
      </c>
      <c r="F54" s="151">
        <v>13624.617678250001</v>
      </c>
      <c r="G54" s="151">
        <v>5651.4148640500007</v>
      </c>
      <c r="H54" s="151">
        <v>9933.6137851544518</v>
      </c>
      <c r="I54" s="152">
        <f t="shared" si="2"/>
        <v>59.974534238561283</v>
      </c>
      <c r="J54" s="125">
        <f t="shared" ref="J54" si="5">I54-I53</f>
        <v>2.4596489499479262</v>
      </c>
      <c r="K54" s="125">
        <f t="shared" si="4"/>
        <v>-0.55759263431291828</v>
      </c>
    </row>
    <row r="55" spans="2:20">
      <c r="B55" s="153" t="str">
        <f>IF(C55="E",YEAR(Dat_01!B$2),"")</f>
        <v/>
      </c>
      <c r="C55" s="154" t="s">
        <v>83</v>
      </c>
      <c r="D55" s="150">
        <v>13574.769505443999</v>
      </c>
      <c r="E55" s="151">
        <v>18538.071</v>
      </c>
      <c r="F55" s="151">
        <v>13992.496025999999</v>
      </c>
      <c r="G55" s="151">
        <v>6141.9985181999982</v>
      </c>
      <c r="H55" s="151">
        <v>10635.40697301189</v>
      </c>
      <c r="I55" s="152">
        <f t="shared" ref="I55" si="6">D55/E55*100</f>
        <v>73.226440363962354</v>
      </c>
      <c r="J55" s="125">
        <f t="shared" ref="J55" si="7">I55-I54</f>
        <v>13.251906125401071</v>
      </c>
      <c r="K55" s="125">
        <f t="shared" si="4"/>
        <v>2.9004764251097015</v>
      </c>
    </row>
    <row r="56" spans="2:20">
      <c r="B56" s="153" t="str">
        <f>IF(C56="E",YEAR(Dat_01!B$2),"")</f>
        <v/>
      </c>
      <c r="C56" s="154" t="s">
        <v>84</v>
      </c>
      <c r="D56" s="150">
        <v>14969.985800696601</v>
      </c>
      <c r="E56" s="151">
        <v>18538.071</v>
      </c>
      <c r="F56" s="151">
        <v>14145.338313449998</v>
      </c>
      <c r="G56" s="151">
        <v>7373.7900835712881</v>
      </c>
      <c r="H56" s="151">
        <v>11219.686175859746</v>
      </c>
      <c r="I56" s="152">
        <f t="shared" ref="I56" si="8">D56/E56*100</f>
        <v>80.752661917718413</v>
      </c>
      <c r="J56" s="125">
        <f t="shared" ref="J56" si="9">I56-I55</f>
        <v>7.5262215537560593</v>
      </c>
      <c r="K56" s="125">
        <f t="shared" si="4"/>
        <v>5.5105057653118337</v>
      </c>
    </row>
    <row r="57" spans="2:20">
      <c r="B57" s="153" t="str">
        <f>IF(C57="E",YEAR(Dat_01!B$2),"")</f>
        <v/>
      </c>
      <c r="C57" s="154" t="s">
        <v>83</v>
      </c>
      <c r="D57" s="150">
        <v>15463.717740821099</v>
      </c>
      <c r="E57" s="151">
        <v>18538.071</v>
      </c>
      <c r="F57" s="151">
        <v>14312.444584950004</v>
      </c>
      <c r="G57" s="151">
        <v>7424.6635651085671</v>
      </c>
      <c r="H57" s="151">
        <v>11351.635380197906</v>
      </c>
      <c r="I57" s="152">
        <f t="shared" ref="I57" si="10">D57/E57*100</f>
        <v>83.416002349009773</v>
      </c>
      <c r="J57" s="125">
        <f t="shared" ref="J57" si="11">I57-I56</f>
        <v>2.6633404312913598</v>
      </c>
      <c r="K57" s="125">
        <f t="shared" si="4"/>
        <v>6.9643404958833059</v>
      </c>
    </row>
    <row r="58" spans="2:20">
      <c r="B58" s="153" t="str">
        <f>IF(C58="E",YEAR(Dat_01!B$2),"")</f>
        <v/>
      </c>
      <c r="C58" s="154" t="s">
        <v>85</v>
      </c>
      <c r="D58" s="150">
        <v>14590.258003320499</v>
      </c>
      <c r="E58" s="151">
        <v>18538.071</v>
      </c>
      <c r="F58" s="151">
        <v>14091.073935750002</v>
      </c>
      <c r="G58" s="151">
        <v>6876.9333810580165</v>
      </c>
      <c r="H58" s="151">
        <v>10855.515463360101</v>
      </c>
      <c r="I58" s="152">
        <f t="shared" ref="I58" si="12">D58/E58*100</f>
        <v>78.704294547801112</v>
      </c>
      <c r="J58" s="125">
        <f t="shared" ref="J58" si="13">I58-I57</f>
        <v>-4.7117078012086608</v>
      </c>
      <c r="K58" s="125">
        <f t="shared" si="4"/>
        <v>6.300936474537707</v>
      </c>
    </row>
    <row r="59" spans="2:20">
      <c r="B59" s="153" t="str">
        <f>IF(C59="E",YEAR(Dat_01!B$2),"")</f>
        <v/>
      </c>
      <c r="C59" s="154" t="s">
        <v>85</v>
      </c>
      <c r="D59" s="150">
        <v>13127.2878467726</v>
      </c>
      <c r="E59" s="151">
        <v>18538.071</v>
      </c>
      <c r="F59" s="151">
        <v>12713.374596749991</v>
      </c>
      <c r="G59" s="151">
        <v>6022.3486215133544</v>
      </c>
      <c r="H59" s="151">
        <v>9681.0422432915329</v>
      </c>
      <c r="I59" s="152">
        <f>D59/E59*100</f>
        <v>70.812588034497224</v>
      </c>
      <c r="J59" s="125">
        <f t="shared" ref="J59" si="14">I59-I58</f>
        <v>-7.8917065133038875</v>
      </c>
      <c r="K59" s="125">
        <f t="shared" ref="K59" si="15">I59-I47</f>
        <v>6.1351263657410726</v>
      </c>
    </row>
    <row r="60" spans="2:20">
      <c r="B60" s="153" t="str">
        <f>IF(C60="E",YEAR(Dat_01!B$2),"")</f>
        <v/>
      </c>
      <c r="C60" s="154" t="s">
        <v>84</v>
      </c>
      <c r="D60" s="150">
        <v>11592.3052743925</v>
      </c>
      <c r="E60" s="151">
        <v>18538.071</v>
      </c>
      <c r="F60" s="151">
        <v>11376.761694150005</v>
      </c>
      <c r="G60" s="151">
        <v>5259.3263517068171</v>
      </c>
      <c r="H60" s="151">
        <v>8548.0662227424091</v>
      </c>
      <c r="I60" s="152">
        <f>D60/E60*100</f>
        <v>62.532424621701466</v>
      </c>
      <c r="J60" s="125">
        <f t="shared" ref="J60" si="16">I60-I59</f>
        <v>-8.2801634127957584</v>
      </c>
      <c r="K60" s="125">
        <f t="shared" ref="K60" si="17">I60-I48</f>
        <v>6.3554686392230266</v>
      </c>
    </row>
    <row r="61" spans="2:20">
      <c r="B61" s="153" t="str">
        <f>IF(C61="E",YEAR(Dat_01!B$2),"")</f>
        <v/>
      </c>
      <c r="C61" s="154" t="s">
        <v>86</v>
      </c>
      <c r="D61" s="150">
        <v>10461.9403252879</v>
      </c>
      <c r="E61" s="151">
        <v>18538.071</v>
      </c>
      <c r="F61" s="151">
        <v>10575.696341999996</v>
      </c>
      <c r="G61" s="151">
        <v>4817.4903911540914</v>
      </c>
      <c r="H61" s="151">
        <v>7777.3659905532668</v>
      </c>
      <c r="I61" s="152">
        <f>D61/E61*100</f>
        <v>56.434891878922564</v>
      </c>
      <c r="J61" s="125">
        <f t="shared" ref="J61" si="18">I61-I60</f>
        <v>-6.0975327427789026</v>
      </c>
      <c r="K61" s="125">
        <f t="shared" ref="K61" si="19">I61-I49</f>
        <v>3.9957124883577109</v>
      </c>
    </row>
    <row r="62" spans="2:20">
      <c r="B62" s="153" t="str">
        <f>IF(C62="E",YEAR(Dat_01!B$2),"")</f>
        <v/>
      </c>
      <c r="C62" s="154" t="s">
        <v>87</v>
      </c>
      <c r="D62" s="150">
        <v>9269.4509272739197</v>
      </c>
      <c r="E62" s="151">
        <v>18538.071</v>
      </c>
      <c r="F62" s="151">
        <v>10270.347120749997</v>
      </c>
      <c r="G62" s="151">
        <v>4562.4955117624031</v>
      </c>
      <c r="H62" s="151">
        <v>7669.2419293821104</v>
      </c>
      <c r="I62" s="152">
        <f>D62/E62*100</f>
        <v>50.002240941217238</v>
      </c>
      <c r="J62" s="125">
        <f t="shared" ref="J62" si="20">I62-I61</f>
        <v>-6.4326509377053256</v>
      </c>
      <c r="K62" s="125">
        <f t="shared" ref="K62" si="21">I62-I50</f>
        <v>-4.868833472704253</v>
      </c>
    </row>
    <row r="63" spans="2:20">
      <c r="B63" s="153" t="str">
        <f>IF(C63="E",YEAR(Dat_01!B$2),"")</f>
        <v/>
      </c>
      <c r="C63" s="154" t="s">
        <v>88</v>
      </c>
      <c r="D63" s="150"/>
      <c r="E63" s="151">
        <v>18538.071</v>
      </c>
      <c r="F63" s="151">
        <v>11324.092590299999</v>
      </c>
      <c r="G63" s="151">
        <v>4782.2479179999991</v>
      </c>
      <c r="H63" s="151">
        <v>8062.114649941509</v>
      </c>
      <c r="I63" s="152"/>
      <c r="J63" s="125"/>
      <c r="K63" s="125"/>
    </row>
    <row r="64" spans="2:20">
      <c r="B64" s="153" t="str">
        <f>IF(C64="E",YEAR(Dat_01!B$2),"")</f>
        <v/>
      </c>
      <c r="C64" s="154" t="s">
        <v>89</v>
      </c>
      <c r="D64" s="150"/>
      <c r="E64" s="151">
        <v>18538.071</v>
      </c>
      <c r="F64" s="151">
        <v>13029.233675599995</v>
      </c>
      <c r="G64" s="151">
        <v>5256.7727983000023</v>
      </c>
      <c r="H64" s="151">
        <v>8582.1752510786991</v>
      </c>
      <c r="I64" s="152"/>
      <c r="J64" s="125"/>
      <c r="K64" s="125"/>
    </row>
    <row r="65" spans="2:11">
      <c r="B65" s="153"/>
      <c r="C65" s="154"/>
      <c r="D65" s="151"/>
      <c r="E65" s="151"/>
      <c r="F65" s="151"/>
      <c r="G65" s="151"/>
      <c r="H65" s="151"/>
      <c r="I65" s="152"/>
      <c r="J65" s="125"/>
    </row>
    <row r="67" spans="2:11">
      <c r="B67" s="210" t="str">
        <f>CONCATENATE("Reservas hidroeléctricas a ",TEXT(DATEVALUE(MID(Dat_01!B2,1,10)),"dd")," de ",TEXT(DATEVALUE(MID(Dat_01!B2,1,10)),"mmmm")," de ",TEXT(DATEVALUE(MID(Dat_01!B2,1,10)),"aaaa")," por cuencas")</f>
        <v>Reservas hidroeléctricas a 31 de octubre de 2025 por cuencas</v>
      </c>
      <c r="C67" s="211"/>
      <c r="D67" s="211"/>
      <c r="E67" s="211"/>
      <c r="F67" s="211"/>
      <c r="G67" s="115"/>
      <c r="H67" s="115"/>
    </row>
    <row r="68" spans="2:11">
      <c r="B68" s="116"/>
      <c r="C68" s="337" t="s">
        <v>51</v>
      </c>
      <c r="D68" s="337" t="s">
        <v>51</v>
      </c>
      <c r="E68" s="116"/>
      <c r="F68" s="337" t="s">
        <v>40</v>
      </c>
      <c r="G68" s="337"/>
      <c r="H68" s="337" t="s">
        <v>41</v>
      </c>
      <c r="I68" s="337"/>
      <c r="J68" s="337" t="s">
        <v>42</v>
      </c>
      <c r="K68" s="337"/>
    </row>
    <row r="69" spans="2:11">
      <c r="B69" s="117"/>
      <c r="C69" s="118" t="s">
        <v>40</v>
      </c>
      <c r="D69" s="118" t="s">
        <v>41</v>
      </c>
      <c r="E69" s="118" t="s">
        <v>77</v>
      </c>
      <c r="F69" s="119" t="s">
        <v>38</v>
      </c>
      <c r="G69" s="118" t="s">
        <v>43</v>
      </c>
      <c r="H69" s="119" t="s">
        <v>38</v>
      </c>
      <c r="I69" s="118" t="s">
        <v>43</v>
      </c>
      <c r="J69" s="119" t="s">
        <v>38</v>
      </c>
      <c r="K69" s="118" t="s">
        <v>43</v>
      </c>
    </row>
    <row r="70" spans="2:11">
      <c r="B70" s="120" t="s">
        <v>44</v>
      </c>
      <c r="C70" s="121">
        <v>2546.8180000000002</v>
      </c>
      <c r="D70" s="121">
        <v>909.476</v>
      </c>
      <c r="E70" s="212">
        <v>5252.6595566666665</v>
      </c>
      <c r="F70" s="213">
        <f>G70/C70</f>
        <v>0.40941339473192118</v>
      </c>
      <c r="G70" s="121">
        <v>1042.7014031443621</v>
      </c>
      <c r="H70" s="213">
        <f>I70/D70</f>
        <v>0.55541026479241828</v>
      </c>
      <c r="I70" s="121">
        <v>505.13230598234941</v>
      </c>
      <c r="J70" s="143">
        <f>K70/SUM(C70:D70)</f>
        <v>0.44783045340665795</v>
      </c>
      <c r="K70" s="121">
        <f>SUM(G70,I70)</f>
        <v>1547.8337091267115</v>
      </c>
    </row>
    <row r="71" spans="2:11">
      <c r="B71" s="120" t="s">
        <v>45</v>
      </c>
      <c r="C71" s="121">
        <v>1681</v>
      </c>
      <c r="D71" s="121">
        <v>3120.6</v>
      </c>
      <c r="E71" s="212">
        <v>4077.7992333333332</v>
      </c>
      <c r="F71" s="213">
        <f>G71/C71</f>
        <v>0.3624857276581796</v>
      </c>
      <c r="G71" s="121">
        <v>609.33850819339989</v>
      </c>
      <c r="H71" s="213">
        <f t="shared" ref="H71:H75" si="22">I71/D71</f>
        <v>0.67761806981519768</v>
      </c>
      <c r="I71" s="121">
        <v>2114.5749486653058</v>
      </c>
      <c r="J71" s="143">
        <f t="shared" ref="J71:J75" si="23">K71/SUM(C71:D71)</f>
        <v>0.56729287255471206</v>
      </c>
      <c r="K71" s="121">
        <f t="shared" ref="K71:K75" si="24">SUM(G71,I71)</f>
        <v>2723.9134568587056</v>
      </c>
    </row>
    <row r="72" spans="2:11">
      <c r="B72" s="120" t="s">
        <v>46</v>
      </c>
      <c r="C72" s="121">
        <v>2424.9229999999998</v>
      </c>
      <c r="D72" s="121">
        <v>3791.8719999999998</v>
      </c>
      <c r="E72" s="212">
        <v>3557.7104000000004</v>
      </c>
      <c r="F72" s="213">
        <f>G72/C72</f>
        <v>0.52174501805153395</v>
      </c>
      <c r="G72" s="121">
        <v>1265.1914944085797</v>
      </c>
      <c r="H72" s="213">
        <f t="shared" si="22"/>
        <v>0.4629225765339588</v>
      </c>
      <c r="I72" s="121">
        <v>1755.3431561269754</v>
      </c>
      <c r="J72" s="143">
        <f t="shared" si="23"/>
        <v>0.48586685752635483</v>
      </c>
      <c r="K72" s="121">
        <f t="shared" si="24"/>
        <v>3020.5346505355551</v>
      </c>
    </row>
    <row r="73" spans="2:11">
      <c r="B73" s="120" t="s">
        <v>47</v>
      </c>
      <c r="C73" s="121"/>
      <c r="D73" s="121">
        <v>835.14400000000001</v>
      </c>
      <c r="E73" s="212">
        <v>195.78800000000001</v>
      </c>
      <c r="F73" s="213" t="s">
        <v>18</v>
      </c>
      <c r="G73" s="121" t="s">
        <v>18</v>
      </c>
      <c r="H73" s="213">
        <f t="shared" si="22"/>
        <v>0.58291384805652369</v>
      </c>
      <c r="I73" s="121">
        <v>486.81700272131741</v>
      </c>
      <c r="J73" s="143">
        <f t="shared" si="23"/>
        <v>0.58291384805652369</v>
      </c>
      <c r="K73" s="121">
        <f t="shared" si="24"/>
        <v>486.81700272131741</v>
      </c>
    </row>
    <row r="74" spans="2:11">
      <c r="B74" s="120" t="s">
        <v>48</v>
      </c>
      <c r="C74" s="121">
        <v>180.3</v>
      </c>
      <c r="D74" s="121">
        <v>669.1</v>
      </c>
      <c r="E74" s="212">
        <v>609.78800000000001</v>
      </c>
      <c r="F74" s="213">
        <f>G74/C74</f>
        <v>0.77237017108569928</v>
      </c>
      <c r="G74" s="121">
        <v>139.25834184675159</v>
      </c>
      <c r="H74" s="213">
        <f t="shared" si="22"/>
        <v>0.21171329087306295</v>
      </c>
      <c r="I74" s="121">
        <v>141.65736292316643</v>
      </c>
      <c r="J74" s="143">
        <f t="shared" si="23"/>
        <v>0.330722515622696</v>
      </c>
      <c r="K74" s="121">
        <f t="shared" si="24"/>
        <v>280.91570476991802</v>
      </c>
    </row>
    <row r="75" spans="2:11">
      <c r="B75" s="120" t="s">
        <v>49</v>
      </c>
      <c r="C75" s="121">
        <v>2133.8380000000002</v>
      </c>
      <c r="D75" s="121">
        <v>245</v>
      </c>
      <c r="E75" s="212">
        <v>3402.1428400000004</v>
      </c>
      <c r="F75" s="213">
        <f>G75/C75</f>
        <v>0.49912396279873728</v>
      </c>
      <c r="G75" s="121">
        <v>1065.049678530532</v>
      </c>
      <c r="H75" s="213">
        <f t="shared" si="22"/>
        <v>0.58933357033134082</v>
      </c>
      <c r="I75" s="121">
        <v>144.3867247311785</v>
      </c>
      <c r="J75" s="143">
        <f t="shared" si="23"/>
        <v>0.50841478203295487</v>
      </c>
      <c r="K75" s="121">
        <f t="shared" si="24"/>
        <v>1209.4364032617104</v>
      </c>
    </row>
    <row r="76" spans="2:11">
      <c r="B76" s="117" t="s">
        <v>50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17095.888030000002</v>
      </c>
      <c r="F76" s="214">
        <f>G76/C76</f>
        <v>0.45964035269391107</v>
      </c>
      <c r="G76" s="122">
        <f>SUM(G70:G75)</f>
        <v>4121.5394261236252</v>
      </c>
      <c r="H76" s="214">
        <f>I76/D76</f>
        <v>0.53785479396404257</v>
      </c>
      <c r="I76" s="122">
        <f>SUM(I70:I75)</f>
        <v>5147.9115011502927</v>
      </c>
      <c r="J76" s="144">
        <f>ROUND(K76/SUM(C76:D76),4)</f>
        <v>0.5</v>
      </c>
      <c r="K76" s="122">
        <f>SUM(K70:K75)</f>
        <v>9269.4509272739178</v>
      </c>
    </row>
    <row r="79" spans="2:11">
      <c r="B79" s="104" t="str">
        <f>TEXT(CONCATENATE(TEXT(Dat_01!B2,"dd de mm de aaaa")),"@")</f>
        <v>31 312025 10 312025 2025</v>
      </c>
    </row>
    <row r="80" spans="2:11">
      <c r="B80" s="192" t="str">
        <f>CONCATENATE("Reservas hidroeléctricas a ",TEXT(DATEVALUE(MID(Dat_01!B2,1,10)),"dd")," de ",TEXT(DATEVALUE(MID(Dat_01!B2,1,10)),"mmmm")," de ",TEXT(DATEVALUE(MID(Dat_01!B2,1,10)),"aaaa")," por cuencas")</f>
        <v>Reservas hidroeléctricas a 31 de octubre de 2025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topLeftCell="A473" workbookViewId="0">
      <selection activeCell="F490" sqref="F490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1" width="11.42578125" style="232"/>
    <col min="22" max="22" width="11.42578125" style="232" customWidth="1"/>
    <col min="23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31" t="s">
        <v>158</v>
      </c>
      <c r="D1" s="261" t="s">
        <v>191</v>
      </c>
    </row>
    <row r="2" spans="1:9">
      <c r="A2" s="232">
        <v>0</v>
      </c>
      <c r="B2" s="233">
        <v>45200</v>
      </c>
      <c r="C2" s="234">
        <v>65.036508999999995</v>
      </c>
      <c r="D2" s="235">
        <v>153.65643704499149</v>
      </c>
      <c r="E2" s="234">
        <f>IF(C2&gt;D2,D2,C2)</f>
        <v>65.036508999999995</v>
      </c>
      <c r="F2" s="237">
        <f>YEAR(B2)</f>
        <v>2023</v>
      </c>
      <c r="G2" s="18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45201</v>
      </c>
      <c r="C3" s="234">
        <v>119.873908</v>
      </c>
      <c r="D3" s="235">
        <v>153.65643704499149</v>
      </c>
      <c r="E3" s="234">
        <f t="shared" ref="E3:E66" si="0">IF(C3&gt;D3,D3,C3)</f>
        <v>119.873908</v>
      </c>
      <c r="F3" s="239"/>
      <c r="G3" s="18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:H66" si="2">IF(DAY($B3)=15,TEXT(D3,"#,0"),"")</f>
        <v/>
      </c>
      <c r="I3" s="237"/>
    </row>
    <row r="4" spans="1:9">
      <c r="A4" s="232">
        <f t="shared" ref="A4:A67" si="3">+A3+1</f>
        <v>2</v>
      </c>
      <c r="B4" s="233">
        <v>45202</v>
      </c>
      <c r="C4" s="234">
        <v>119.526482</v>
      </c>
      <c r="D4" s="235">
        <v>153.65643704499149</v>
      </c>
      <c r="E4" s="234">
        <f t="shared" si="0"/>
        <v>119.526482</v>
      </c>
      <c r="F4" s="239"/>
      <c r="G4" s="188" t="str">
        <f t="shared" si="1"/>
        <v/>
      </c>
      <c r="H4" s="236" t="str">
        <f t="shared" si="2"/>
        <v/>
      </c>
      <c r="I4" s="237"/>
    </row>
    <row r="5" spans="1:9">
      <c r="A5" s="232">
        <f t="shared" si="3"/>
        <v>3</v>
      </c>
      <c r="B5" s="233">
        <v>45203</v>
      </c>
      <c r="C5" s="234">
        <v>100.721293</v>
      </c>
      <c r="D5" s="235">
        <v>153.65643704499149</v>
      </c>
      <c r="E5" s="234">
        <f t="shared" si="0"/>
        <v>100.721293</v>
      </c>
      <c r="F5" s="239"/>
      <c r="G5" s="188" t="str">
        <f t="shared" si="1"/>
        <v/>
      </c>
      <c r="H5" s="236" t="str">
        <f t="shared" si="2"/>
        <v/>
      </c>
      <c r="I5" s="237"/>
    </row>
    <row r="6" spans="1:9">
      <c r="A6" s="232">
        <f t="shared" si="3"/>
        <v>4</v>
      </c>
      <c r="B6" s="233">
        <v>45204</v>
      </c>
      <c r="C6" s="234">
        <v>48.011491999999997</v>
      </c>
      <c r="D6" s="235">
        <v>153.65643704499149</v>
      </c>
      <c r="E6" s="234">
        <f t="shared" si="0"/>
        <v>48.011491999999997</v>
      </c>
      <c r="F6" s="239"/>
      <c r="G6" s="188" t="str">
        <f t="shared" si="1"/>
        <v/>
      </c>
      <c r="H6" s="236" t="str">
        <f t="shared" si="2"/>
        <v/>
      </c>
      <c r="I6" s="237"/>
    </row>
    <row r="7" spans="1:9">
      <c r="A7" s="232">
        <f t="shared" si="3"/>
        <v>5</v>
      </c>
      <c r="B7" s="233">
        <v>45205</v>
      </c>
      <c r="C7" s="234">
        <v>62.862432999999996</v>
      </c>
      <c r="D7" s="235">
        <v>153.65643704499149</v>
      </c>
      <c r="E7" s="234">
        <f t="shared" si="0"/>
        <v>62.862432999999996</v>
      </c>
      <c r="F7" s="239"/>
      <c r="G7" s="188" t="str">
        <f t="shared" si="1"/>
        <v/>
      </c>
      <c r="H7" s="236" t="str">
        <f t="shared" si="2"/>
        <v/>
      </c>
      <c r="I7" s="237"/>
    </row>
    <row r="8" spans="1:9">
      <c r="A8" s="232">
        <f t="shared" si="3"/>
        <v>6</v>
      </c>
      <c r="B8" s="233">
        <v>45206</v>
      </c>
      <c r="C8" s="234">
        <v>73.717717000000007</v>
      </c>
      <c r="D8" s="235">
        <v>153.65643704499149</v>
      </c>
      <c r="E8" s="234">
        <f t="shared" si="0"/>
        <v>73.717717000000007</v>
      </c>
      <c r="F8" s="239"/>
      <c r="G8" s="188" t="str">
        <f t="shared" si="1"/>
        <v/>
      </c>
      <c r="H8" s="236" t="str">
        <f t="shared" si="2"/>
        <v/>
      </c>
      <c r="I8" s="237"/>
    </row>
    <row r="9" spans="1:9">
      <c r="A9" s="232">
        <f t="shared" si="3"/>
        <v>7</v>
      </c>
      <c r="B9" s="233">
        <v>45207</v>
      </c>
      <c r="C9" s="234">
        <v>58.464908000000001</v>
      </c>
      <c r="D9" s="235">
        <v>153.65643704499149</v>
      </c>
      <c r="E9" s="234">
        <f t="shared" si="0"/>
        <v>58.464908000000001</v>
      </c>
      <c r="F9" s="239"/>
      <c r="G9" s="188" t="str">
        <f t="shared" si="1"/>
        <v/>
      </c>
      <c r="H9" s="236" t="str">
        <f t="shared" si="2"/>
        <v/>
      </c>
      <c r="I9" s="237"/>
    </row>
    <row r="10" spans="1:9">
      <c r="A10" s="232">
        <f t="shared" si="3"/>
        <v>8</v>
      </c>
      <c r="B10" s="233">
        <v>45208</v>
      </c>
      <c r="C10" s="234">
        <v>53.210732</v>
      </c>
      <c r="D10" s="235">
        <v>153.65643704499149</v>
      </c>
      <c r="E10" s="234">
        <f t="shared" si="0"/>
        <v>53.210732</v>
      </c>
      <c r="F10" s="239"/>
      <c r="G10" s="188" t="str">
        <f t="shared" si="1"/>
        <v/>
      </c>
      <c r="H10" s="236" t="str">
        <f t="shared" si="2"/>
        <v/>
      </c>
      <c r="I10" s="237"/>
    </row>
    <row r="11" spans="1:9">
      <c r="A11" s="232">
        <f t="shared" si="3"/>
        <v>9</v>
      </c>
      <c r="B11" s="233">
        <v>45209</v>
      </c>
      <c r="C11" s="234">
        <v>39.624146000000003</v>
      </c>
      <c r="D11" s="235">
        <v>153.65643704499149</v>
      </c>
      <c r="E11" s="234">
        <f t="shared" si="0"/>
        <v>39.624146000000003</v>
      </c>
      <c r="F11" s="239"/>
      <c r="G11" s="188" t="str">
        <f t="shared" si="1"/>
        <v/>
      </c>
      <c r="H11" s="236" t="str">
        <f t="shared" si="2"/>
        <v/>
      </c>
      <c r="I11" s="237"/>
    </row>
    <row r="12" spans="1:9">
      <c r="A12" s="232">
        <f t="shared" si="3"/>
        <v>10</v>
      </c>
      <c r="B12" s="233">
        <v>45210</v>
      </c>
      <c r="C12" s="234">
        <v>44.576447999999999</v>
      </c>
      <c r="D12" s="235">
        <v>153.65643704499149</v>
      </c>
      <c r="E12" s="234">
        <f t="shared" si="0"/>
        <v>44.576447999999999</v>
      </c>
      <c r="F12" s="239"/>
      <c r="G12" s="188" t="str">
        <f t="shared" si="1"/>
        <v/>
      </c>
      <c r="H12" s="236" t="str">
        <f t="shared" si="2"/>
        <v/>
      </c>
      <c r="I12" s="237"/>
    </row>
    <row r="13" spans="1:9">
      <c r="A13" s="232">
        <f t="shared" si="3"/>
        <v>11</v>
      </c>
      <c r="B13" s="233">
        <v>45211</v>
      </c>
      <c r="C13" s="234">
        <v>85.145594000000017</v>
      </c>
      <c r="D13" s="235">
        <v>153.65643704499149</v>
      </c>
      <c r="E13" s="234">
        <f t="shared" si="0"/>
        <v>85.145594000000017</v>
      </c>
      <c r="F13" s="239"/>
      <c r="G13" s="188" t="str">
        <f t="shared" si="1"/>
        <v/>
      </c>
      <c r="H13" s="236" t="str">
        <f t="shared" si="2"/>
        <v/>
      </c>
      <c r="I13" s="237"/>
    </row>
    <row r="14" spans="1:9">
      <c r="A14" s="232">
        <f t="shared" si="3"/>
        <v>12</v>
      </c>
      <c r="B14" s="233">
        <v>45212</v>
      </c>
      <c r="C14" s="234">
        <v>155.04919400000003</v>
      </c>
      <c r="D14" s="235">
        <v>153.65643704499149</v>
      </c>
      <c r="E14" s="234">
        <f t="shared" si="0"/>
        <v>153.65643704499149</v>
      </c>
      <c r="F14" s="239"/>
      <c r="G14" s="188" t="str">
        <f t="shared" si="1"/>
        <v/>
      </c>
      <c r="H14" s="236" t="str">
        <f t="shared" si="2"/>
        <v/>
      </c>
      <c r="I14" s="237"/>
    </row>
    <row r="15" spans="1:9">
      <c r="A15" s="232">
        <f t="shared" si="3"/>
        <v>13</v>
      </c>
      <c r="B15" s="233">
        <v>45213</v>
      </c>
      <c r="C15" s="234">
        <v>77.801785999999993</v>
      </c>
      <c r="D15" s="235">
        <v>153.65643704499149</v>
      </c>
      <c r="E15" s="234">
        <f t="shared" si="0"/>
        <v>77.801785999999993</v>
      </c>
      <c r="F15" s="239"/>
      <c r="G15" s="188" t="str">
        <f t="shared" si="1"/>
        <v/>
      </c>
      <c r="H15" s="236" t="str">
        <f t="shared" si="2"/>
        <v/>
      </c>
      <c r="I15" s="237"/>
    </row>
    <row r="16" spans="1:9">
      <c r="A16" s="232">
        <f t="shared" si="3"/>
        <v>14</v>
      </c>
      <c r="B16" s="233">
        <v>45214</v>
      </c>
      <c r="C16" s="234">
        <v>55.921984999999999</v>
      </c>
      <c r="D16" s="235">
        <v>153.65643704499149</v>
      </c>
      <c r="E16" s="234">
        <f t="shared" si="0"/>
        <v>55.921984999999999</v>
      </c>
      <c r="F16" s="239"/>
      <c r="G16" s="188" t="str">
        <f t="shared" si="1"/>
        <v>O</v>
      </c>
      <c r="H16" s="236" t="str">
        <f t="shared" si="2"/>
        <v>153,7</v>
      </c>
      <c r="I16" s="237"/>
    </row>
    <row r="17" spans="1:9">
      <c r="A17" s="232">
        <f t="shared" si="3"/>
        <v>15</v>
      </c>
      <c r="B17" s="233">
        <v>45215</v>
      </c>
      <c r="C17" s="234">
        <v>100.69317699999999</v>
      </c>
      <c r="D17" s="235">
        <v>153.65643704499149</v>
      </c>
      <c r="E17" s="234">
        <f t="shared" si="0"/>
        <v>100.69317699999999</v>
      </c>
      <c r="F17" s="239"/>
      <c r="G17" s="188" t="str">
        <f t="shared" si="1"/>
        <v/>
      </c>
      <c r="H17" s="236" t="str">
        <f t="shared" si="2"/>
        <v/>
      </c>
      <c r="I17" s="188"/>
    </row>
    <row r="18" spans="1:9">
      <c r="A18" s="232">
        <f t="shared" si="3"/>
        <v>16</v>
      </c>
      <c r="B18" s="233">
        <v>45216</v>
      </c>
      <c r="C18" s="234">
        <v>303.56875000000002</v>
      </c>
      <c r="D18" s="235">
        <v>153.65643704499149</v>
      </c>
      <c r="E18" s="234">
        <f t="shared" si="0"/>
        <v>153.65643704499149</v>
      </c>
      <c r="F18" s="239"/>
      <c r="G18" s="188" t="str">
        <f t="shared" si="1"/>
        <v/>
      </c>
      <c r="H18" s="236" t="str">
        <f t="shared" si="2"/>
        <v/>
      </c>
      <c r="I18" s="237"/>
    </row>
    <row r="19" spans="1:9">
      <c r="A19" s="232">
        <f t="shared" si="3"/>
        <v>17</v>
      </c>
      <c r="B19" s="233">
        <v>45217</v>
      </c>
      <c r="C19" s="234">
        <v>377.86370500000004</v>
      </c>
      <c r="D19" s="235">
        <v>153.65643704499149</v>
      </c>
      <c r="E19" s="234">
        <f t="shared" si="0"/>
        <v>153.65643704499149</v>
      </c>
      <c r="F19" s="239"/>
      <c r="G19" s="188" t="str">
        <f t="shared" si="1"/>
        <v/>
      </c>
      <c r="H19" s="236" t="str">
        <f t="shared" si="2"/>
        <v/>
      </c>
      <c r="I19" s="237"/>
    </row>
    <row r="20" spans="1:9">
      <c r="A20" s="232">
        <f t="shared" si="3"/>
        <v>18</v>
      </c>
      <c r="B20" s="233">
        <v>45218</v>
      </c>
      <c r="C20" s="234">
        <v>394.54359199999993</v>
      </c>
      <c r="D20" s="235">
        <v>153.65643704499149</v>
      </c>
      <c r="E20" s="234">
        <f t="shared" si="0"/>
        <v>153.65643704499149</v>
      </c>
      <c r="F20" s="239"/>
      <c r="G20" s="188" t="str">
        <f t="shared" si="1"/>
        <v/>
      </c>
      <c r="H20" s="236" t="str">
        <f t="shared" si="2"/>
        <v/>
      </c>
      <c r="I20" s="237"/>
    </row>
    <row r="21" spans="1:9">
      <c r="A21" s="232">
        <f t="shared" si="3"/>
        <v>19</v>
      </c>
      <c r="B21" s="233">
        <v>45219</v>
      </c>
      <c r="C21" s="234">
        <v>416.60651100000001</v>
      </c>
      <c r="D21" s="235">
        <v>153.65643704499149</v>
      </c>
      <c r="E21" s="234">
        <f t="shared" si="0"/>
        <v>153.65643704499149</v>
      </c>
      <c r="F21" s="239"/>
      <c r="G21" s="188" t="str">
        <f t="shared" si="1"/>
        <v/>
      </c>
      <c r="H21" s="236" t="str">
        <f t="shared" si="2"/>
        <v/>
      </c>
      <c r="I21" s="237"/>
    </row>
    <row r="22" spans="1:9">
      <c r="A22" s="232">
        <f t="shared" si="3"/>
        <v>20</v>
      </c>
      <c r="B22" s="233">
        <v>45220</v>
      </c>
      <c r="C22" s="234">
        <v>193.11387200000001</v>
      </c>
      <c r="D22" s="235">
        <v>153.65643704499149</v>
      </c>
      <c r="E22" s="234">
        <f t="shared" si="0"/>
        <v>153.65643704499149</v>
      </c>
      <c r="F22" s="239"/>
      <c r="G22" s="188" t="str">
        <f t="shared" si="1"/>
        <v/>
      </c>
      <c r="H22" s="236" t="str">
        <f t="shared" si="2"/>
        <v/>
      </c>
      <c r="I22" s="237"/>
    </row>
    <row r="23" spans="1:9">
      <c r="A23" s="232">
        <f t="shared" si="3"/>
        <v>21</v>
      </c>
      <c r="B23" s="233">
        <v>45221</v>
      </c>
      <c r="C23" s="234">
        <v>170.560667</v>
      </c>
      <c r="D23" s="235">
        <v>153.65643704499149</v>
      </c>
      <c r="E23" s="234">
        <f t="shared" si="0"/>
        <v>153.65643704499149</v>
      </c>
      <c r="F23" s="239"/>
      <c r="G23" s="188" t="str">
        <f t="shared" si="1"/>
        <v/>
      </c>
      <c r="H23" s="236" t="str">
        <f t="shared" si="2"/>
        <v/>
      </c>
      <c r="I23" s="237"/>
    </row>
    <row r="24" spans="1:9">
      <c r="A24" s="232">
        <f t="shared" si="3"/>
        <v>22</v>
      </c>
      <c r="B24" s="233">
        <v>45222</v>
      </c>
      <c r="C24" s="234">
        <v>148.388329</v>
      </c>
      <c r="D24" s="235">
        <v>153.65643704499149</v>
      </c>
      <c r="E24" s="234">
        <f t="shared" si="0"/>
        <v>148.388329</v>
      </c>
      <c r="F24" s="239"/>
      <c r="G24" s="188" t="str">
        <f t="shared" si="1"/>
        <v/>
      </c>
      <c r="H24" s="236" t="str">
        <f t="shared" si="2"/>
        <v/>
      </c>
      <c r="I24" s="237"/>
    </row>
    <row r="25" spans="1:9">
      <c r="A25" s="232">
        <f t="shared" si="3"/>
        <v>23</v>
      </c>
      <c r="B25" s="233">
        <v>45223</v>
      </c>
      <c r="C25" s="234">
        <v>303.23055200000005</v>
      </c>
      <c r="D25" s="235">
        <v>153.65643704499149</v>
      </c>
      <c r="E25" s="234">
        <f t="shared" si="0"/>
        <v>153.65643704499149</v>
      </c>
      <c r="F25" s="239"/>
      <c r="G25" s="188" t="str">
        <f t="shared" si="1"/>
        <v/>
      </c>
      <c r="H25" s="236" t="str">
        <f t="shared" si="2"/>
        <v/>
      </c>
      <c r="I25" s="237"/>
    </row>
    <row r="26" spans="1:9">
      <c r="A26" s="232">
        <f t="shared" si="3"/>
        <v>24</v>
      </c>
      <c r="B26" s="233">
        <v>45224</v>
      </c>
      <c r="C26" s="234">
        <v>401.490028</v>
      </c>
      <c r="D26" s="235">
        <v>153.65643704499149</v>
      </c>
      <c r="E26" s="234">
        <f t="shared" si="0"/>
        <v>153.65643704499149</v>
      </c>
      <c r="F26" s="239"/>
      <c r="G26" s="188" t="str">
        <f t="shared" si="1"/>
        <v/>
      </c>
      <c r="H26" s="236" t="str">
        <f t="shared" si="2"/>
        <v/>
      </c>
      <c r="I26" s="237"/>
    </row>
    <row r="27" spans="1:9">
      <c r="A27" s="232">
        <f t="shared" si="3"/>
        <v>25</v>
      </c>
      <c r="B27" s="233">
        <v>45225</v>
      </c>
      <c r="C27" s="234">
        <v>411.52092900000002</v>
      </c>
      <c r="D27" s="235">
        <v>153.65643704499149</v>
      </c>
      <c r="E27" s="234">
        <f t="shared" si="0"/>
        <v>153.65643704499149</v>
      </c>
      <c r="F27" s="239"/>
      <c r="G27" s="188" t="str">
        <f t="shared" si="1"/>
        <v/>
      </c>
      <c r="H27" s="236" t="str">
        <f t="shared" si="2"/>
        <v/>
      </c>
      <c r="I27" s="237"/>
    </row>
    <row r="28" spans="1:9">
      <c r="A28" s="232">
        <f t="shared" si="3"/>
        <v>26</v>
      </c>
      <c r="B28" s="233">
        <v>45226</v>
      </c>
      <c r="C28" s="234">
        <v>357.31926899999996</v>
      </c>
      <c r="D28" s="235">
        <v>153.65643704499149</v>
      </c>
      <c r="E28" s="234">
        <f t="shared" si="0"/>
        <v>153.65643704499149</v>
      </c>
      <c r="F28" s="239"/>
      <c r="G28" s="188" t="str">
        <f t="shared" si="1"/>
        <v/>
      </c>
      <c r="H28" s="236" t="str">
        <f t="shared" si="2"/>
        <v/>
      </c>
      <c r="I28" s="237"/>
    </row>
    <row r="29" spans="1:9">
      <c r="A29" s="232">
        <f t="shared" si="3"/>
        <v>27</v>
      </c>
      <c r="B29" s="233">
        <v>45227</v>
      </c>
      <c r="C29" s="234">
        <v>286.65468699999997</v>
      </c>
      <c r="D29" s="235">
        <v>153.65643704499149</v>
      </c>
      <c r="E29" s="234">
        <f t="shared" si="0"/>
        <v>153.65643704499149</v>
      </c>
      <c r="F29" s="239"/>
      <c r="G29" s="188" t="str">
        <f t="shared" si="1"/>
        <v/>
      </c>
      <c r="H29" s="236" t="str">
        <f t="shared" si="2"/>
        <v/>
      </c>
      <c r="I29" s="237"/>
    </row>
    <row r="30" spans="1:9">
      <c r="A30" s="232">
        <f t="shared" si="3"/>
        <v>28</v>
      </c>
      <c r="B30" s="233">
        <v>45228</v>
      </c>
      <c r="C30" s="234">
        <v>240.731649</v>
      </c>
      <c r="D30" s="235">
        <v>153.65643704499149</v>
      </c>
      <c r="E30" s="234">
        <f t="shared" si="0"/>
        <v>153.65643704499149</v>
      </c>
      <c r="F30" s="239"/>
      <c r="G30" s="188" t="str">
        <f t="shared" si="1"/>
        <v/>
      </c>
      <c r="H30" s="236" t="str">
        <f t="shared" si="2"/>
        <v/>
      </c>
      <c r="I30" s="237"/>
    </row>
    <row r="31" spans="1:9">
      <c r="A31" s="232">
        <f t="shared" si="3"/>
        <v>29</v>
      </c>
      <c r="B31" s="233">
        <v>45229</v>
      </c>
      <c r="C31" s="234">
        <v>309.97619900000001</v>
      </c>
      <c r="D31" s="235">
        <v>153.65643704499149</v>
      </c>
      <c r="E31" s="234">
        <f t="shared" si="0"/>
        <v>153.65643704499149</v>
      </c>
      <c r="F31" s="239"/>
      <c r="G31" s="188" t="str">
        <f t="shared" si="1"/>
        <v/>
      </c>
      <c r="H31" s="236" t="str">
        <f t="shared" si="2"/>
        <v/>
      </c>
      <c r="I31" s="237"/>
    </row>
    <row r="32" spans="1:9">
      <c r="A32" s="232">
        <f t="shared" si="3"/>
        <v>30</v>
      </c>
      <c r="B32" s="233">
        <v>45230</v>
      </c>
      <c r="C32" s="234">
        <v>184.52124799999999</v>
      </c>
      <c r="D32" s="235">
        <v>153.65643704499149</v>
      </c>
      <c r="E32" s="234">
        <f t="shared" si="0"/>
        <v>153.65643704499149</v>
      </c>
      <c r="F32" s="239"/>
      <c r="G32" s="188" t="str">
        <f t="shared" si="1"/>
        <v/>
      </c>
      <c r="H32" s="236" t="str">
        <f t="shared" si="2"/>
        <v/>
      </c>
      <c r="I32" s="237"/>
    </row>
    <row r="33" spans="1:9">
      <c r="A33" s="232">
        <f t="shared" si="3"/>
        <v>31</v>
      </c>
      <c r="B33" s="233">
        <v>45231</v>
      </c>
      <c r="C33" s="234">
        <v>305.81844899999999</v>
      </c>
      <c r="D33" s="235">
        <v>207.56972273551534</v>
      </c>
      <c r="E33" s="234">
        <f t="shared" si="0"/>
        <v>207.56972273551534</v>
      </c>
      <c r="F33" s="237"/>
      <c r="G33" s="188" t="str">
        <f t="shared" si="1"/>
        <v/>
      </c>
      <c r="H33" s="236" t="str">
        <f t="shared" si="2"/>
        <v/>
      </c>
      <c r="I33" s="237"/>
    </row>
    <row r="34" spans="1:9">
      <c r="A34" s="232">
        <f t="shared" si="3"/>
        <v>32</v>
      </c>
      <c r="B34" s="233">
        <v>45232</v>
      </c>
      <c r="C34" s="234">
        <v>378.86872499999998</v>
      </c>
      <c r="D34" s="235">
        <v>207.56972273551534</v>
      </c>
      <c r="E34" s="234">
        <f t="shared" si="0"/>
        <v>207.56972273551534</v>
      </c>
      <c r="F34" s="239"/>
      <c r="G34" s="188" t="str">
        <f t="shared" si="1"/>
        <v/>
      </c>
      <c r="H34" s="236" t="str">
        <f t="shared" si="2"/>
        <v/>
      </c>
      <c r="I34" s="237"/>
    </row>
    <row r="35" spans="1:9">
      <c r="A35" s="232">
        <f t="shared" si="3"/>
        <v>33</v>
      </c>
      <c r="B35" s="233">
        <v>45233</v>
      </c>
      <c r="C35" s="234">
        <v>373.03598800000003</v>
      </c>
      <c r="D35" s="235">
        <v>207.56972273551534</v>
      </c>
      <c r="E35" s="234">
        <f t="shared" si="0"/>
        <v>207.56972273551534</v>
      </c>
      <c r="F35" s="239"/>
      <c r="G35" s="188" t="str">
        <f t="shared" si="1"/>
        <v/>
      </c>
      <c r="H35" s="236" t="str">
        <f t="shared" si="2"/>
        <v/>
      </c>
      <c r="I35" s="237"/>
    </row>
    <row r="36" spans="1:9">
      <c r="A36" s="232">
        <f t="shared" si="3"/>
        <v>34</v>
      </c>
      <c r="B36" s="233">
        <v>45234</v>
      </c>
      <c r="C36" s="234">
        <v>299.91223500000001</v>
      </c>
      <c r="D36" s="235">
        <v>207.56972273551534</v>
      </c>
      <c r="E36" s="234">
        <f t="shared" si="0"/>
        <v>207.56972273551534</v>
      </c>
      <c r="F36" s="239"/>
      <c r="G36" s="188" t="str">
        <f t="shared" si="1"/>
        <v/>
      </c>
      <c r="H36" s="236" t="str">
        <f t="shared" si="2"/>
        <v/>
      </c>
      <c r="I36" s="237"/>
    </row>
    <row r="37" spans="1:9">
      <c r="A37" s="232">
        <f t="shared" si="3"/>
        <v>35</v>
      </c>
      <c r="B37" s="233">
        <v>45235</v>
      </c>
      <c r="C37" s="234">
        <v>286.01113299999997</v>
      </c>
      <c r="D37" s="235">
        <v>207.56972273551534</v>
      </c>
      <c r="E37" s="234">
        <f t="shared" si="0"/>
        <v>207.56972273551534</v>
      </c>
      <c r="F37" s="239"/>
      <c r="G37" s="188" t="str">
        <f t="shared" si="1"/>
        <v/>
      </c>
      <c r="H37" s="236" t="str">
        <f t="shared" si="2"/>
        <v/>
      </c>
      <c r="I37" s="237"/>
    </row>
    <row r="38" spans="1:9">
      <c r="A38" s="232">
        <f t="shared" si="3"/>
        <v>36</v>
      </c>
      <c r="B38" s="233">
        <v>45236</v>
      </c>
      <c r="C38" s="234">
        <v>220.93818100000001</v>
      </c>
      <c r="D38" s="235">
        <v>207.56972273551534</v>
      </c>
      <c r="E38" s="234">
        <f t="shared" si="0"/>
        <v>207.56972273551534</v>
      </c>
      <c r="F38" s="239"/>
      <c r="G38" s="188" t="str">
        <f t="shared" si="1"/>
        <v/>
      </c>
      <c r="H38" s="236" t="str">
        <f t="shared" si="2"/>
        <v/>
      </c>
      <c r="I38" s="237"/>
    </row>
    <row r="39" spans="1:9">
      <c r="A39" s="232">
        <f t="shared" si="3"/>
        <v>37</v>
      </c>
      <c r="B39" s="233">
        <v>45237</v>
      </c>
      <c r="C39" s="234">
        <v>167.05639300000001</v>
      </c>
      <c r="D39" s="235">
        <v>207.56972273551534</v>
      </c>
      <c r="E39" s="234">
        <f t="shared" si="0"/>
        <v>167.05639300000001</v>
      </c>
      <c r="F39" s="239"/>
      <c r="G39" s="188" t="str">
        <f t="shared" si="1"/>
        <v/>
      </c>
      <c r="H39" s="236" t="str">
        <f t="shared" si="2"/>
        <v/>
      </c>
      <c r="I39" s="237"/>
    </row>
    <row r="40" spans="1:9">
      <c r="A40" s="232">
        <f t="shared" si="3"/>
        <v>38</v>
      </c>
      <c r="B40" s="233">
        <v>45238</v>
      </c>
      <c r="C40" s="234">
        <v>181.78700000000001</v>
      </c>
      <c r="D40" s="235">
        <v>207.56972273551534</v>
      </c>
      <c r="E40" s="234">
        <f t="shared" si="0"/>
        <v>181.78700000000001</v>
      </c>
      <c r="F40" s="239"/>
      <c r="G40" s="188" t="str">
        <f t="shared" si="1"/>
        <v/>
      </c>
      <c r="H40" s="236" t="str">
        <f t="shared" si="2"/>
        <v/>
      </c>
      <c r="I40" s="237"/>
    </row>
    <row r="41" spans="1:9">
      <c r="A41" s="232">
        <f t="shared" si="3"/>
        <v>39</v>
      </c>
      <c r="B41" s="233">
        <v>45239</v>
      </c>
      <c r="C41" s="234">
        <v>265.00637999999998</v>
      </c>
      <c r="D41" s="235">
        <v>207.56972273551534</v>
      </c>
      <c r="E41" s="234">
        <f t="shared" si="0"/>
        <v>207.56972273551534</v>
      </c>
      <c r="F41" s="239"/>
      <c r="G41" s="188" t="str">
        <f t="shared" si="1"/>
        <v/>
      </c>
      <c r="H41" s="236" t="str">
        <f t="shared" si="2"/>
        <v/>
      </c>
      <c r="I41" s="237"/>
    </row>
    <row r="42" spans="1:9">
      <c r="A42" s="232">
        <f t="shared" si="3"/>
        <v>40</v>
      </c>
      <c r="B42" s="233">
        <v>45240</v>
      </c>
      <c r="C42" s="234">
        <v>315.55326199999996</v>
      </c>
      <c r="D42" s="235">
        <v>207.56972273551534</v>
      </c>
      <c r="E42" s="234">
        <f t="shared" si="0"/>
        <v>207.56972273551534</v>
      </c>
      <c r="F42" s="239"/>
      <c r="G42" s="188" t="str">
        <f t="shared" si="1"/>
        <v/>
      </c>
      <c r="H42" s="236" t="str">
        <f t="shared" si="2"/>
        <v/>
      </c>
      <c r="I42" s="237"/>
    </row>
    <row r="43" spans="1:9">
      <c r="A43" s="232">
        <f t="shared" si="3"/>
        <v>41</v>
      </c>
      <c r="B43" s="233">
        <v>45241</v>
      </c>
      <c r="C43" s="234">
        <v>354.778547</v>
      </c>
      <c r="D43" s="235">
        <v>207.56972273551534</v>
      </c>
      <c r="E43" s="234">
        <f t="shared" si="0"/>
        <v>207.56972273551534</v>
      </c>
      <c r="F43" s="239"/>
      <c r="G43" s="188" t="str">
        <f t="shared" si="1"/>
        <v/>
      </c>
      <c r="H43" s="236" t="str">
        <f t="shared" si="2"/>
        <v/>
      </c>
      <c r="I43" s="237"/>
    </row>
    <row r="44" spans="1:9">
      <c r="A44" s="232">
        <f t="shared" si="3"/>
        <v>42</v>
      </c>
      <c r="B44" s="233">
        <v>45242</v>
      </c>
      <c r="C44" s="234">
        <v>269.60511700000001</v>
      </c>
      <c r="D44" s="235">
        <v>207.56972273551534</v>
      </c>
      <c r="E44" s="234">
        <f t="shared" si="0"/>
        <v>207.56972273551534</v>
      </c>
      <c r="F44" s="239"/>
      <c r="G44" s="188" t="str">
        <f t="shared" si="1"/>
        <v/>
      </c>
      <c r="H44" s="236" t="str">
        <f t="shared" si="2"/>
        <v/>
      </c>
      <c r="I44" s="237"/>
    </row>
    <row r="45" spans="1:9">
      <c r="A45" s="232">
        <f t="shared" si="3"/>
        <v>43</v>
      </c>
      <c r="B45" s="233">
        <v>45243</v>
      </c>
      <c r="C45" s="234">
        <v>237.94392799999997</v>
      </c>
      <c r="D45" s="235">
        <v>207.56972273551534</v>
      </c>
      <c r="E45" s="234">
        <f t="shared" si="0"/>
        <v>207.56972273551534</v>
      </c>
      <c r="F45" s="239"/>
      <c r="G45" s="188" t="str">
        <f t="shared" si="1"/>
        <v/>
      </c>
      <c r="H45" s="236" t="str">
        <f t="shared" si="2"/>
        <v/>
      </c>
      <c r="I45" s="237"/>
    </row>
    <row r="46" spans="1:9">
      <c r="A46" s="232">
        <f t="shared" si="3"/>
        <v>44</v>
      </c>
      <c r="B46" s="233">
        <v>45244</v>
      </c>
      <c r="C46" s="234">
        <v>195.99808100000001</v>
      </c>
      <c r="D46" s="235">
        <v>207.56972273551534</v>
      </c>
      <c r="E46" s="234">
        <f t="shared" si="0"/>
        <v>195.99808100000001</v>
      </c>
      <c r="F46" s="239"/>
      <c r="G46" s="188" t="str">
        <f t="shared" si="1"/>
        <v/>
      </c>
      <c r="H46" s="236" t="str">
        <f t="shared" si="2"/>
        <v/>
      </c>
      <c r="I46" s="237"/>
    </row>
    <row r="47" spans="1:9">
      <c r="A47" s="232">
        <f t="shared" si="3"/>
        <v>45</v>
      </c>
      <c r="B47" s="233">
        <v>45245</v>
      </c>
      <c r="C47" s="234">
        <v>103.760564</v>
      </c>
      <c r="D47" s="235">
        <v>207.56972273551534</v>
      </c>
      <c r="E47" s="234">
        <f t="shared" si="0"/>
        <v>103.760564</v>
      </c>
      <c r="F47" s="239"/>
      <c r="G47" s="188" t="str">
        <f t="shared" si="1"/>
        <v>N</v>
      </c>
      <c r="H47" s="236" t="str">
        <f t="shared" si="2"/>
        <v>207,6</v>
      </c>
      <c r="I47" s="237"/>
    </row>
    <row r="48" spans="1:9">
      <c r="A48" s="232">
        <f t="shared" si="3"/>
        <v>46</v>
      </c>
      <c r="B48" s="233">
        <v>45246</v>
      </c>
      <c r="C48" s="234">
        <v>164.64532800000001</v>
      </c>
      <c r="D48" s="235">
        <v>207.56972273551534</v>
      </c>
      <c r="E48" s="234">
        <f t="shared" si="0"/>
        <v>164.64532800000001</v>
      </c>
      <c r="F48" s="239"/>
      <c r="G48" s="188" t="str">
        <f t="shared" si="1"/>
        <v/>
      </c>
      <c r="H48" s="236" t="str">
        <f t="shared" si="2"/>
        <v/>
      </c>
      <c r="I48" s="237"/>
    </row>
    <row r="49" spans="1:9">
      <c r="A49" s="232">
        <f t="shared" si="3"/>
        <v>47</v>
      </c>
      <c r="B49" s="233">
        <v>45247</v>
      </c>
      <c r="C49" s="234">
        <v>106.642061</v>
      </c>
      <c r="D49" s="235">
        <v>207.56972273551534</v>
      </c>
      <c r="E49" s="234">
        <f t="shared" si="0"/>
        <v>106.642061</v>
      </c>
      <c r="F49" s="239"/>
      <c r="G49" s="188" t="str">
        <f t="shared" si="1"/>
        <v/>
      </c>
      <c r="H49" s="236" t="str">
        <f t="shared" si="2"/>
        <v/>
      </c>
      <c r="I49" s="237"/>
    </row>
    <row r="50" spans="1:9">
      <c r="A50" s="232">
        <f t="shared" si="3"/>
        <v>48</v>
      </c>
      <c r="B50" s="233">
        <v>45248</v>
      </c>
      <c r="C50" s="234">
        <v>92.486569000000003</v>
      </c>
      <c r="D50" s="235">
        <v>207.56972273551534</v>
      </c>
      <c r="E50" s="234">
        <f t="shared" si="0"/>
        <v>92.486569000000003</v>
      </c>
      <c r="F50" s="239"/>
      <c r="G50" s="188" t="str">
        <f t="shared" si="1"/>
        <v/>
      </c>
      <c r="H50" s="236" t="str">
        <f t="shared" si="2"/>
        <v/>
      </c>
      <c r="I50" s="237"/>
    </row>
    <row r="51" spans="1:9">
      <c r="A51" s="232">
        <f t="shared" si="3"/>
        <v>49</v>
      </c>
      <c r="B51" s="233">
        <v>45249</v>
      </c>
      <c r="C51" s="234">
        <v>33.756368000000002</v>
      </c>
      <c r="D51" s="235">
        <v>207.56972273551534</v>
      </c>
      <c r="E51" s="234">
        <f t="shared" si="0"/>
        <v>33.756368000000002</v>
      </c>
      <c r="F51" s="239"/>
      <c r="G51" s="188" t="str">
        <f t="shared" si="1"/>
        <v/>
      </c>
      <c r="H51" s="236" t="str">
        <f t="shared" si="2"/>
        <v/>
      </c>
      <c r="I51" s="237"/>
    </row>
    <row r="52" spans="1:9">
      <c r="A52" s="232">
        <f t="shared" si="3"/>
        <v>50</v>
      </c>
      <c r="B52" s="233">
        <v>45250</v>
      </c>
      <c r="C52" s="234">
        <v>127.631987</v>
      </c>
      <c r="D52" s="235">
        <v>207.56972273551534</v>
      </c>
      <c r="E52" s="234">
        <f t="shared" si="0"/>
        <v>127.631987</v>
      </c>
      <c r="F52" s="239"/>
      <c r="G52" s="188" t="str">
        <f t="shared" si="1"/>
        <v/>
      </c>
      <c r="H52" s="236" t="str">
        <f t="shared" si="2"/>
        <v/>
      </c>
      <c r="I52" s="237"/>
    </row>
    <row r="53" spans="1:9">
      <c r="A53" s="232">
        <f t="shared" si="3"/>
        <v>51</v>
      </c>
      <c r="B53" s="233">
        <v>45251</v>
      </c>
      <c r="C53" s="234">
        <v>335.09370699999999</v>
      </c>
      <c r="D53" s="235">
        <v>207.56972273551534</v>
      </c>
      <c r="E53" s="234">
        <f t="shared" si="0"/>
        <v>207.56972273551534</v>
      </c>
      <c r="F53" s="239"/>
      <c r="G53" s="188" t="str">
        <f t="shared" si="1"/>
        <v/>
      </c>
      <c r="H53" s="236" t="str">
        <f t="shared" si="2"/>
        <v/>
      </c>
      <c r="I53" s="237"/>
    </row>
    <row r="54" spans="1:9">
      <c r="A54" s="232">
        <f t="shared" si="3"/>
        <v>52</v>
      </c>
      <c r="B54" s="233">
        <v>45252</v>
      </c>
      <c r="C54" s="234">
        <v>359.17849999999999</v>
      </c>
      <c r="D54" s="235">
        <v>207.56972273551534</v>
      </c>
      <c r="E54" s="234">
        <f t="shared" si="0"/>
        <v>207.56972273551534</v>
      </c>
      <c r="F54" s="239"/>
      <c r="G54" s="188" t="str">
        <f t="shared" si="1"/>
        <v/>
      </c>
      <c r="H54" s="236" t="str">
        <f t="shared" si="2"/>
        <v/>
      </c>
      <c r="I54" s="237"/>
    </row>
    <row r="55" spans="1:9">
      <c r="A55" s="232">
        <f t="shared" si="3"/>
        <v>53</v>
      </c>
      <c r="B55" s="233">
        <v>45253</v>
      </c>
      <c r="C55" s="234">
        <v>302.73943800000001</v>
      </c>
      <c r="D55" s="235">
        <v>207.56972273551534</v>
      </c>
      <c r="E55" s="234">
        <f t="shared" si="0"/>
        <v>207.56972273551534</v>
      </c>
      <c r="F55" s="239"/>
      <c r="G55" s="188" t="str">
        <f t="shared" si="1"/>
        <v/>
      </c>
      <c r="H55" s="236" t="str">
        <f t="shared" si="2"/>
        <v/>
      </c>
      <c r="I55" s="237"/>
    </row>
    <row r="56" spans="1:9">
      <c r="A56" s="232">
        <f t="shared" si="3"/>
        <v>54</v>
      </c>
      <c r="B56" s="233">
        <v>45254</v>
      </c>
      <c r="C56" s="234">
        <v>260.22515499999997</v>
      </c>
      <c r="D56" s="235">
        <v>207.56972273551534</v>
      </c>
      <c r="E56" s="234">
        <f t="shared" si="0"/>
        <v>207.56972273551534</v>
      </c>
      <c r="F56" s="239"/>
      <c r="G56" s="188" t="str">
        <f t="shared" si="1"/>
        <v/>
      </c>
      <c r="H56" s="236" t="str">
        <f t="shared" si="2"/>
        <v/>
      </c>
      <c r="I56" s="237"/>
    </row>
    <row r="57" spans="1:9">
      <c r="A57" s="232">
        <f t="shared" si="3"/>
        <v>55</v>
      </c>
      <c r="B57" s="233">
        <v>45255</v>
      </c>
      <c r="C57" s="234">
        <v>171.300014</v>
      </c>
      <c r="D57" s="235">
        <v>207.56972273551534</v>
      </c>
      <c r="E57" s="234">
        <f t="shared" si="0"/>
        <v>171.300014</v>
      </c>
      <c r="F57" s="239"/>
      <c r="G57" s="188" t="str">
        <f t="shared" si="1"/>
        <v/>
      </c>
      <c r="H57" s="236" t="str">
        <f t="shared" si="2"/>
        <v/>
      </c>
      <c r="I57" s="237"/>
    </row>
    <row r="58" spans="1:9">
      <c r="A58" s="232">
        <f t="shared" si="3"/>
        <v>56</v>
      </c>
      <c r="B58" s="233">
        <v>45256</v>
      </c>
      <c r="C58" s="234">
        <v>30.775072999999999</v>
      </c>
      <c r="D58" s="235">
        <v>207.56972273551534</v>
      </c>
      <c r="E58" s="234">
        <f t="shared" si="0"/>
        <v>30.775072999999999</v>
      </c>
      <c r="F58" s="239"/>
      <c r="G58" s="188" t="str">
        <f t="shared" si="1"/>
        <v/>
      </c>
      <c r="H58" s="236" t="str">
        <f t="shared" si="2"/>
        <v/>
      </c>
      <c r="I58" s="237"/>
    </row>
    <row r="59" spans="1:9">
      <c r="A59" s="232">
        <f t="shared" si="3"/>
        <v>57</v>
      </c>
      <c r="B59" s="233">
        <v>45257</v>
      </c>
      <c r="C59" s="234">
        <v>201.966161</v>
      </c>
      <c r="D59" s="235">
        <v>207.56972273551534</v>
      </c>
      <c r="E59" s="234">
        <f t="shared" si="0"/>
        <v>201.966161</v>
      </c>
      <c r="F59" s="239"/>
      <c r="G59" s="188" t="str">
        <f t="shared" si="1"/>
        <v/>
      </c>
      <c r="H59" s="236" t="str">
        <f t="shared" si="2"/>
        <v/>
      </c>
      <c r="I59" s="237"/>
    </row>
    <row r="60" spans="1:9">
      <c r="A60" s="232">
        <f t="shared" si="3"/>
        <v>58</v>
      </c>
      <c r="B60" s="233">
        <v>45258</v>
      </c>
      <c r="C60" s="234">
        <v>217.77380600000001</v>
      </c>
      <c r="D60" s="235">
        <v>207.56972273551534</v>
      </c>
      <c r="E60" s="234">
        <f t="shared" si="0"/>
        <v>207.56972273551534</v>
      </c>
      <c r="F60" s="239"/>
      <c r="G60" s="188" t="str">
        <f t="shared" si="1"/>
        <v/>
      </c>
      <c r="H60" s="236" t="str">
        <f t="shared" si="2"/>
        <v/>
      </c>
      <c r="I60" s="237"/>
    </row>
    <row r="61" spans="1:9">
      <c r="A61" s="232">
        <f t="shared" si="3"/>
        <v>59</v>
      </c>
      <c r="B61" s="233">
        <v>45259</v>
      </c>
      <c r="C61" s="234">
        <v>291.122863</v>
      </c>
      <c r="D61" s="235">
        <v>207.56972273551534</v>
      </c>
      <c r="E61" s="234">
        <f t="shared" si="0"/>
        <v>207.56972273551534</v>
      </c>
      <c r="F61" s="239"/>
      <c r="G61" s="188" t="str">
        <f t="shared" si="1"/>
        <v/>
      </c>
      <c r="H61" s="236" t="str">
        <f t="shared" si="2"/>
        <v/>
      </c>
      <c r="I61" s="237"/>
    </row>
    <row r="62" spans="1:9">
      <c r="A62" s="232">
        <f t="shared" si="3"/>
        <v>60</v>
      </c>
      <c r="B62" s="233">
        <v>45260</v>
      </c>
      <c r="C62" s="234">
        <v>286.47759200000002</v>
      </c>
      <c r="D62" s="235">
        <v>207.56972273551534</v>
      </c>
      <c r="E62" s="234">
        <f t="shared" si="0"/>
        <v>207.56972273551534</v>
      </c>
      <c r="F62" s="239"/>
      <c r="G62" s="188" t="str">
        <f t="shared" si="1"/>
        <v/>
      </c>
      <c r="H62" s="236" t="str">
        <f t="shared" si="2"/>
        <v/>
      </c>
      <c r="I62" s="237"/>
    </row>
    <row r="63" spans="1:9">
      <c r="A63" s="232">
        <f t="shared" si="3"/>
        <v>61</v>
      </c>
      <c r="B63" s="233">
        <v>45261</v>
      </c>
      <c r="C63" s="234">
        <v>272.70024800000004</v>
      </c>
      <c r="D63" s="235">
        <v>195.62485934287386</v>
      </c>
      <c r="E63" s="234">
        <f t="shared" si="0"/>
        <v>195.62485934287386</v>
      </c>
      <c r="F63" s="237"/>
      <c r="G63" s="188" t="str">
        <f t="shared" si="1"/>
        <v/>
      </c>
      <c r="H63" s="236" t="str">
        <f t="shared" si="2"/>
        <v/>
      </c>
      <c r="I63" s="237"/>
    </row>
    <row r="64" spans="1:9">
      <c r="A64" s="232">
        <f t="shared" si="3"/>
        <v>62</v>
      </c>
      <c r="B64" s="233">
        <v>45262</v>
      </c>
      <c r="C64" s="234">
        <v>208.146873</v>
      </c>
      <c r="D64" s="235">
        <v>195.62485934287386</v>
      </c>
      <c r="E64" s="234">
        <f t="shared" si="0"/>
        <v>195.62485934287386</v>
      </c>
      <c r="F64" s="239"/>
      <c r="G64" s="188" t="str">
        <f t="shared" si="1"/>
        <v/>
      </c>
      <c r="H64" s="236" t="str">
        <f t="shared" si="2"/>
        <v/>
      </c>
      <c r="I64" s="237"/>
    </row>
    <row r="65" spans="1:9">
      <c r="A65" s="232">
        <f t="shared" si="3"/>
        <v>63</v>
      </c>
      <c r="B65" s="233">
        <v>45263</v>
      </c>
      <c r="C65" s="234">
        <v>179.16148200000001</v>
      </c>
      <c r="D65" s="235">
        <v>195.62485934287386</v>
      </c>
      <c r="E65" s="234">
        <f t="shared" si="0"/>
        <v>179.16148200000001</v>
      </c>
      <c r="F65" s="239"/>
      <c r="G65" s="188" t="str">
        <f t="shared" si="1"/>
        <v/>
      </c>
      <c r="H65" s="236" t="str">
        <f t="shared" si="2"/>
        <v/>
      </c>
      <c r="I65" s="237"/>
    </row>
    <row r="66" spans="1:9">
      <c r="A66" s="232">
        <f t="shared" si="3"/>
        <v>64</v>
      </c>
      <c r="B66" s="233">
        <v>45264</v>
      </c>
      <c r="C66" s="234">
        <v>290.79758600000002</v>
      </c>
      <c r="D66" s="235">
        <v>195.62485934287386</v>
      </c>
      <c r="E66" s="234">
        <f t="shared" si="0"/>
        <v>195.62485934287386</v>
      </c>
      <c r="F66" s="239"/>
      <c r="G66" s="188" t="str">
        <f t="shared" si="1"/>
        <v/>
      </c>
      <c r="H66" s="236" t="str">
        <f t="shared" si="2"/>
        <v/>
      </c>
      <c r="I66" s="237"/>
    </row>
    <row r="67" spans="1:9">
      <c r="A67" s="232">
        <f t="shared" si="3"/>
        <v>65</v>
      </c>
      <c r="B67" s="233">
        <v>45265</v>
      </c>
      <c r="C67" s="234">
        <v>117.636807</v>
      </c>
      <c r="D67" s="235">
        <v>195.62485934287386</v>
      </c>
      <c r="E67" s="234">
        <f t="shared" ref="E67:E130" si="4">IF(C67&gt;D67,D67,C67)</f>
        <v>117.636807</v>
      </c>
      <c r="F67" s="239"/>
      <c r="G67" s="188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36" t="str">
        <f t="shared" ref="H67:H130" si="6">IF(DAY($B67)=15,TEXT(D67,"#,0"),"")</f>
        <v/>
      </c>
      <c r="I67" s="237"/>
    </row>
    <row r="68" spans="1:9">
      <c r="A68" s="232">
        <f t="shared" ref="A68:A131" si="7">+A67+1</f>
        <v>66</v>
      </c>
      <c r="B68" s="233">
        <v>45266</v>
      </c>
      <c r="C68" s="234">
        <v>86.278187000000003</v>
      </c>
      <c r="D68" s="235">
        <v>195.62485934287386</v>
      </c>
      <c r="E68" s="234">
        <f t="shared" si="4"/>
        <v>86.278187000000003</v>
      </c>
      <c r="F68" s="239"/>
      <c r="G68" s="188" t="str">
        <f t="shared" si="5"/>
        <v/>
      </c>
      <c r="H68" s="236" t="str">
        <f t="shared" si="6"/>
        <v/>
      </c>
      <c r="I68" s="237"/>
    </row>
    <row r="69" spans="1:9">
      <c r="A69" s="232">
        <f t="shared" si="7"/>
        <v>67</v>
      </c>
      <c r="B69" s="233">
        <v>45267</v>
      </c>
      <c r="C69" s="234">
        <v>218.13426799999999</v>
      </c>
      <c r="D69" s="235">
        <v>195.62485934287386</v>
      </c>
      <c r="E69" s="234">
        <f t="shared" si="4"/>
        <v>195.62485934287386</v>
      </c>
      <c r="F69" s="239"/>
      <c r="G69" s="188" t="str">
        <f t="shared" si="5"/>
        <v/>
      </c>
      <c r="H69" s="236" t="str">
        <f t="shared" si="6"/>
        <v/>
      </c>
      <c r="I69" s="237"/>
    </row>
    <row r="70" spans="1:9">
      <c r="A70" s="232">
        <f t="shared" si="7"/>
        <v>68</v>
      </c>
      <c r="B70" s="233">
        <v>45268</v>
      </c>
      <c r="C70" s="234">
        <v>337.88358999999997</v>
      </c>
      <c r="D70" s="235">
        <v>195.62485934287386</v>
      </c>
      <c r="E70" s="234">
        <f t="shared" si="4"/>
        <v>195.62485934287386</v>
      </c>
      <c r="F70" s="239"/>
      <c r="G70" s="188" t="str">
        <f t="shared" si="5"/>
        <v/>
      </c>
      <c r="H70" s="236" t="str">
        <f t="shared" si="6"/>
        <v/>
      </c>
      <c r="I70" s="237"/>
    </row>
    <row r="71" spans="1:9">
      <c r="A71" s="232">
        <f t="shared" si="7"/>
        <v>69</v>
      </c>
      <c r="B71" s="233">
        <v>45269</v>
      </c>
      <c r="C71" s="234">
        <v>315.39542499999999</v>
      </c>
      <c r="D71" s="235">
        <v>195.62485934287386</v>
      </c>
      <c r="E71" s="234">
        <f t="shared" si="4"/>
        <v>195.62485934287386</v>
      </c>
      <c r="F71" s="239"/>
      <c r="G71" s="188" t="str">
        <f t="shared" si="5"/>
        <v/>
      </c>
      <c r="H71" s="236" t="str">
        <f t="shared" si="6"/>
        <v/>
      </c>
      <c r="I71" s="237"/>
    </row>
    <row r="72" spans="1:9">
      <c r="A72" s="232">
        <f t="shared" si="7"/>
        <v>70</v>
      </c>
      <c r="B72" s="233">
        <v>45270</v>
      </c>
      <c r="C72" s="234">
        <v>243.64799100000002</v>
      </c>
      <c r="D72" s="235">
        <v>195.62485934287386</v>
      </c>
      <c r="E72" s="234">
        <f t="shared" si="4"/>
        <v>195.62485934287386</v>
      </c>
      <c r="F72" s="239"/>
      <c r="G72" s="188" t="str">
        <f t="shared" si="5"/>
        <v/>
      </c>
      <c r="H72" s="236" t="str">
        <f t="shared" si="6"/>
        <v/>
      </c>
      <c r="I72" s="237"/>
    </row>
    <row r="73" spans="1:9">
      <c r="A73" s="232">
        <f t="shared" si="7"/>
        <v>71</v>
      </c>
      <c r="B73" s="233">
        <v>45271</v>
      </c>
      <c r="C73" s="234">
        <v>251.44671599999998</v>
      </c>
      <c r="D73" s="235">
        <v>195.62485934287386</v>
      </c>
      <c r="E73" s="234">
        <f t="shared" si="4"/>
        <v>195.62485934287386</v>
      </c>
      <c r="F73" s="239"/>
      <c r="G73" s="188" t="str">
        <f t="shared" si="5"/>
        <v/>
      </c>
      <c r="H73" s="236" t="str">
        <f t="shared" si="6"/>
        <v/>
      </c>
      <c r="I73" s="237"/>
    </row>
    <row r="74" spans="1:9">
      <c r="A74" s="232">
        <f t="shared" si="7"/>
        <v>72</v>
      </c>
      <c r="B74" s="233">
        <v>45272</v>
      </c>
      <c r="C74" s="234">
        <v>310.79321899999997</v>
      </c>
      <c r="D74" s="235">
        <v>195.62485934287386</v>
      </c>
      <c r="E74" s="234">
        <f t="shared" si="4"/>
        <v>195.62485934287386</v>
      </c>
      <c r="F74" s="239"/>
      <c r="G74" s="188" t="str">
        <f t="shared" si="5"/>
        <v/>
      </c>
      <c r="H74" s="236" t="str">
        <f t="shared" si="6"/>
        <v/>
      </c>
      <c r="I74" s="237"/>
    </row>
    <row r="75" spans="1:9">
      <c r="A75" s="232">
        <f t="shared" si="7"/>
        <v>73</v>
      </c>
      <c r="B75" s="233">
        <v>45273</v>
      </c>
      <c r="C75" s="234">
        <v>360.35050200000001</v>
      </c>
      <c r="D75" s="235">
        <v>195.62485934287386</v>
      </c>
      <c r="E75" s="234">
        <f t="shared" si="4"/>
        <v>195.62485934287386</v>
      </c>
      <c r="F75" s="239"/>
      <c r="G75" s="188" t="str">
        <f t="shared" si="5"/>
        <v/>
      </c>
      <c r="H75" s="236" t="str">
        <f t="shared" si="6"/>
        <v/>
      </c>
      <c r="I75" s="237"/>
    </row>
    <row r="76" spans="1:9">
      <c r="A76" s="232">
        <f t="shared" si="7"/>
        <v>74</v>
      </c>
      <c r="B76" s="233">
        <v>45274</v>
      </c>
      <c r="C76" s="234">
        <v>294.73806399999995</v>
      </c>
      <c r="D76" s="235">
        <v>195.62485934287386</v>
      </c>
      <c r="E76" s="234">
        <f t="shared" si="4"/>
        <v>195.62485934287386</v>
      </c>
      <c r="F76" s="239"/>
      <c r="G76" s="188" t="str">
        <f t="shared" si="5"/>
        <v/>
      </c>
      <c r="H76" s="236" t="str">
        <f t="shared" si="6"/>
        <v/>
      </c>
      <c r="I76" s="237"/>
    </row>
    <row r="77" spans="1:9">
      <c r="A77" s="232">
        <f t="shared" si="7"/>
        <v>75</v>
      </c>
      <c r="B77" s="233">
        <v>45275</v>
      </c>
      <c r="C77" s="234">
        <v>242.31831599999998</v>
      </c>
      <c r="D77" s="235">
        <v>195.62485934287386</v>
      </c>
      <c r="E77" s="234">
        <f t="shared" si="4"/>
        <v>195.62485934287386</v>
      </c>
      <c r="F77" s="239"/>
      <c r="G77" s="188" t="str">
        <f t="shared" si="5"/>
        <v>D</v>
      </c>
      <c r="H77" s="236" t="str">
        <f t="shared" si="6"/>
        <v>195,6</v>
      </c>
      <c r="I77" s="237"/>
    </row>
    <row r="78" spans="1:9">
      <c r="A78" s="232">
        <f t="shared" si="7"/>
        <v>76</v>
      </c>
      <c r="B78" s="233">
        <v>45276</v>
      </c>
      <c r="C78" s="234">
        <v>117.850365</v>
      </c>
      <c r="D78" s="235">
        <v>195.62485934287386</v>
      </c>
      <c r="E78" s="234">
        <f t="shared" si="4"/>
        <v>117.850365</v>
      </c>
      <c r="F78" s="239"/>
      <c r="G78" s="188" t="str">
        <f t="shared" si="5"/>
        <v/>
      </c>
      <c r="H78" s="236" t="str">
        <f t="shared" si="6"/>
        <v/>
      </c>
      <c r="I78" s="237"/>
    </row>
    <row r="79" spans="1:9">
      <c r="A79" s="232">
        <f t="shared" si="7"/>
        <v>77</v>
      </c>
      <c r="B79" s="233">
        <v>45277</v>
      </c>
      <c r="C79" s="234">
        <v>36.720750000000002</v>
      </c>
      <c r="D79" s="235">
        <v>195.62485934287386</v>
      </c>
      <c r="E79" s="234">
        <f t="shared" si="4"/>
        <v>36.720750000000002</v>
      </c>
      <c r="F79" s="239"/>
      <c r="G79" s="188" t="str">
        <f t="shared" si="5"/>
        <v/>
      </c>
      <c r="H79" s="236" t="str">
        <f t="shared" si="6"/>
        <v/>
      </c>
      <c r="I79" s="237"/>
    </row>
    <row r="80" spans="1:9">
      <c r="A80" s="232">
        <f t="shared" si="7"/>
        <v>78</v>
      </c>
      <c r="B80" s="233">
        <v>45278</v>
      </c>
      <c r="C80" s="234">
        <v>21.287457999999997</v>
      </c>
      <c r="D80" s="235">
        <v>195.62485934287386</v>
      </c>
      <c r="E80" s="234">
        <f t="shared" si="4"/>
        <v>21.287457999999997</v>
      </c>
      <c r="F80" s="239"/>
      <c r="G80" s="188" t="str">
        <f t="shared" si="5"/>
        <v/>
      </c>
      <c r="H80" s="236" t="str">
        <f t="shared" si="6"/>
        <v/>
      </c>
      <c r="I80" s="237"/>
    </row>
    <row r="81" spans="1:9">
      <c r="A81" s="232">
        <f t="shared" si="7"/>
        <v>79</v>
      </c>
      <c r="B81" s="233">
        <v>45279</v>
      </c>
      <c r="C81" s="234">
        <v>100.578644</v>
      </c>
      <c r="D81" s="235">
        <v>195.62485934287386</v>
      </c>
      <c r="E81" s="234">
        <f t="shared" si="4"/>
        <v>100.578644</v>
      </c>
      <c r="F81" s="239"/>
      <c r="G81" s="188" t="str">
        <f t="shared" si="5"/>
        <v/>
      </c>
      <c r="H81" s="236" t="str">
        <f t="shared" si="6"/>
        <v/>
      </c>
      <c r="I81" s="237"/>
    </row>
    <row r="82" spans="1:9">
      <c r="A82" s="232">
        <f t="shared" si="7"/>
        <v>80</v>
      </c>
      <c r="B82" s="233">
        <v>45280</v>
      </c>
      <c r="C82" s="234">
        <v>343.335375</v>
      </c>
      <c r="D82" s="235">
        <v>195.62485934287386</v>
      </c>
      <c r="E82" s="234">
        <f t="shared" si="4"/>
        <v>195.62485934287386</v>
      </c>
      <c r="F82" s="239"/>
      <c r="G82" s="188" t="str">
        <f t="shared" si="5"/>
        <v/>
      </c>
      <c r="H82" s="236" t="str">
        <f t="shared" si="6"/>
        <v/>
      </c>
      <c r="I82" s="237"/>
    </row>
    <row r="83" spans="1:9">
      <c r="A83" s="232">
        <f t="shared" si="7"/>
        <v>81</v>
      </c>
      <c r="B83" s="233">
        <v>45281</v>
      </c>
      <c r="C83" s="234">
        <v>267.99624200000005</v>
      </c>
      <c r="D83" s="235">
        <v>195.62485934287386</v>
      </c>
      <c r="E83" s="234">
        <f t="shared" si="4"/>
        <v>195.62485934287386</v>
      </c>
      <c r="F83" s="239"/>
      <c r="G83" s="188" t="str">
        <f t="shared" si="5"/>
        <v/>
      </c>
      <c r="H83" s="236" t="str">
        <f t="shared" si="6"/>
        <v/>
      </c>
      <c r="I83" s="237"/>
    </row>
    <row r="84" spans="1:9">
      <c r="A84" s="232">
        <f t="shared" si="7"/>
        <v>82</v>
      </c>
      <c r="B84" s="233">
        <v>45282</v>
      </c>
      <c r="C84" s="234">
        <v>261.92012600000004</v>
      </c>
      <c r="D84" s="235">
        <v>195.62485934287386</v>
      </c>
      <c r="E84" s="234">
        <f t="shared" si="4"/>
        <v>195.62485934287386</v>
      </c>
      <c r="F84" s="239"/>
      <c r="G84" s="188" t="str">
        <f t="shared" si="5"/>
        <v/>
      </c>
      <c r="H84" s="236" t="str">
        <f t="shared" si="6"/>
        <v/>
      </c>
      <c r="I84" s="237"/>
    </row>
    <row r="85" spans="1:9">
      <c r="A85" s="232">
        <f t="shared" si="7"/>
        <v>83</v>
      </c>
      <c r="B85" s="233">
        <v>45283</v>
      </c>
      <c r="C85" s="234">
        <v>187.89280600000001</v>
      </c>
      <c r="D85" s="235">
        <v>195.62485934287386</v>
      </c>
      <c r="E85" s="234">
        <f t="shared" si="4"/>
        <v>187.89280600000001</v>
      </c>
      <c r="F85" s="239"/>
      <c r="G85" s="188" t="str">
        <f t="shared" si="5"/>
        <v/>
      </c>
      <c r="H85" s="236" t="str">
        <f t="shared" si="6"/>
        <v/>
      </c>
      <c r="I85" s="237"/>
    </row>
    <row r="86" spans="1:9">
      <c r="A86" s="232">
        <f t="shared" si="7"/>
        <v>84</v>
      </c>
      <c r="B86" s="233">
        <v>45284</v>
      </c>
      <c r="C86" s="234">
        <v>40.785699999999999</v>
      </c>
      <c r="D86" s="235">
        <v>195.62485934287386</v>
      </c>
      <c r="E86" s="234">
        <f t="shared" si="4"/>
        <v>40.785699999999999</v>
      </c>
      <c r="F86" s="239"/>
      <c r="G86" s="188" t="str">
        <f t="shared" si="5"/>
        <v/>
      </c>
      <c r="H86" s="236" t="str">
        <f t="shared" si="6"/>
        <v/>
      </c>
      <c r="I86" s="237"/>
    </row>
    <row r="87" spans="1:9">
      <c r="A87" s="232">
        <f t="shared" si="7"/>
        <v>85</v>
      </c>
      <c r="B87" s="233">
        <v>45285</v>
      </c>
      <c r="C87" s="234">
        <v>34.930998000000002</v>
      </c>
      <c r="D87" s="235">
        <v>195.62485934287386</v>
      </c>
      <c r="E87" s="234">
        <f t="shared" si="4"/>
        <v>34.930998000000002</v>
      </c>
      <c r="F87" s="239"/>
      <c r="G87" s="188" t="str">
        <f t="shared" si="5"/>
        <v/>
      </c>
      <c r="H87" s="236" t="str">
        <f t="shared" si="6"/>
        <v/>
      </c>
      <c r="I87" s="237"/>
    </row>
    <row r="88" spans="1:9">
      <c r="A88" s="232">
        <f t="shared" si="7"/>
        <v>86</v>
      </c>
      <c r="B88" s="233">
        <v>45286</v>
      </c>
      <c r="C88" s="234">
        <v>56.949647000000006</v>
      </c>
      <c r="D88" s="235">
        <v>195.62485934287386</v>
      </c>
      <c r="E88" s="234">
        <f t="shared" si="4"/>
        <v>56.949647000000006</v>
      </c>
      <c r="F88" s="239"/>
      <c r="G88" s="188" t="str">
        <f t="shared" si="5"/>
        <v/>
      </c>
      <c r="H88" s="236" t="str">
        <f t="shared" si="6"/>
        <v/>
      </c>
      <c r="I88" s="237"/>
    </row>
    <row r="89" spans="1:9">
      <c r="A89" s="232">
        <f t="shared" si="7"/>
        <v>87</v>
      </c>
      <c r="B89" s="233">
        <v>45287</v>
      </c>
      <c r="C89" s="234">
        <v>117.74673300000001</v>
      </c>
      <c r="D89" s="235">
        <v>195.62485934287386</v>
      </c>
      <c r="E89" s="234">
        <f t="shared" si="4"/>
        <v>117.74673300000001</v>
      </c>
      <c r="F89" s="239"/>
      <c r="G89" s="188" t="str">
        <f t="shared" si="5"/>
        <v/>
      </c>
      <c r="H89" s="236" t="str">
        <f t="shared" si="6"/>
        <v/>
      </c>
      <c r="I89" s="237"/>
    </row>
    <row r="90" spans="1:9">
      <c r="A90" s="232">
        <f t="shared" si="7"/>
        <v>88</v>
      </c>
      <c r="B90" s="233">
        <v>45288</v>
      </c>
      <c r="C90" s="234">
        <v>83.808848999999995</v>
      </c>
      <c r="D90" s="235">
        <v>195.62485934287386</v>
      </c>
      <c r="E90" s="234">
        <f t="shared" si="4"/>
        <v>83.808848999999995</v>
      </c>
      <c r="F90" s="239"/>
      <c r="G90" s="188" t="str">
        <f t="shared" si="5"/>
        <v/>
      </c>
      <c r="H90" s="236" t="str">
        <f t="shared" si="6"/>
        <v/>
      </c>
      <c r="I90" s="237"/>
    </row>
    <row r="91" spans="1:9">
      <c r="A91" s="232">
        <f t="shared" si="7"/>
        <v>89</v>
      </c>
      <c r="B91" s="233">
        <v>45289</v>
      </c>
      <c r="C91" s="234">
        <v>39.407254999999999</v>
      </c>
      <c r="D91" s="235">
        <v>195.62485934287386</v>
      </c>
      <c r="E91" s="234">
        <f t="shared" si="4"/>
        <v>39.407254999999999</v>
      </c>
      <c r="F91" s="239"/>
      <c r="G91" s="188" t="str">
        <f t="shared" si="5"/>
        <v/>
      </c>
      <c r="H91" s="236" t="str">
        <f t="shared" si="6"/>
        <v/>
      </c>
      <c r="I91" s="237"/>
    </row>
    <row r="92" spans="1:9">
      <c r="A92" s="232">
        <f t="shared" si="7"/>
        <v>90</v>
      </c>
      <c r="B92" s="233">
        <v>45290</v>
      </c>
      <c r="C92" s="234">
        <v>137.48146800000001</v>
      </c>
      <c r="D92" s="235">
        <v>195.62485934287386</v>
      </c>
      <c r="E92" s="234">
        <f t="shared" si="4"/>
        <v>137.48146800000001</v>
      </c>
      <c r="F92" s="239"/>
      <c r="G92" s="188" t="str">
        <f t="shared" si="5"/>
        <v/>
      </c>
      <c r="H92" s="236" t="str">
        <f t="shared" si="6"/>
        <v/>
      </c>
      <c r="I92" s="237"/>
    </row>
    <row r="93" spans="1:9">
      <c r="A93" s="232">
        <f t="shared" si="7"/>
        <v>91</v>
      </c>
      <c r="B93" s="233">
        <v>45291</v>
      </c>
      <c r="C93" s="234">
        <v>235.43440200000001</v>
      </c>
      <c r="D93" s="235">
        <v>195.62485934287386</v>
      </c>
      <c r="E93" s="234">
        <f t="shared" si="4"/>
        <v>195.62485934287386</v>
      </c>
      <c r="F93" s="239"/>
      <c r="G93" s="188" t="str">
        <f t="shared" si="5"/>
        <v/>
      </c>
      <c r="H93" s="236" t="str">
        <f t="shared" si="6"/>
        <v/>
      </c>
      <c r="I93" s="237"/>
    </row>
    <row r="94" spans="1:9">
      <c r="A94" s="232">
        <f t="shared" si="7"/>
        <v>92</v>
      </c>
      <c r="B94" s="233">
        <v>45292</v>
      </c>
      <c r="C94" s="234">
        <v>160.07481100000001</v>
      </c>
      <c r="D94" s="235">
        <v>226.69698541636285</v>
      </c>
      <c r="E94" s="234">
        <f t="shared" si="4"/>
        <v>160.07481100000001</v>
      </c>
      <c r="F94" s="237">
        <f>YEAR(B94)</f>
        <v>2024</v>
      </c>
      <c r="G94" s="188" t="str">
        <f t="shared" si="5"/>
        <v/>
      </c>
      <c r="H94" s="236" t="str">
        <f t="shared" si="6"/>
        <v/>
      </c>
      <c r="I94" s="237"/>
    </row>
    <row r="95" spans="1:9">
      <c r="A95" s="232">
        <f t="shared" si="7"/>
        <v>93</v>
      </c>
      <c r="B95" s="233">
        <v>45293</v>
      </c>
      <c r="C95" s="234">
        <v>307.25113500000003</v>
      </c>
      <c r="D95" s="235">
        <v>226.69698541636285</v>
      </c>
      <c r="E95" s="234">
        <f t="shared" si="4"/>
        <v>226.69698541636285</v>
      </c>
      <c r="F95" s="239"/>
      <c r="G95" s="188" t="str">
        <f t="shared" si="5"/>
        <v/>
      </c>
      <c r="H95" s="236" t="str">
        <f t="shared" si="6"/>
        <v/>
      </c>
      <c r="I95" s="237"/>
    </row>
    <row r="96" spans="1:9">
      <c r="A96" s="232">
        <f t="shared" si="7"/>
        <v>94</v>
      </c>
      <c r="B96" s="233">
        <v>45294</v>
      </c>
      <c r="C96" s="234">
        <v>284.84383399999996</v>
      </c>
      <c r="D96" s="235">
        <v>226.69698541636285</v>
      </c>
      <c r="E96" s="234">
        <f t="shared" si="4"/>
        <v>226.69698541636285</v>
      </c>
      <c r="F96" s="239"/>
      <c r="G96" s="188" t="str">
        <f t="shared" si="5"/>
        <v/>
      </c>
      <c r="H96" s="236" t="str">
        <f t="shared" si="6"/>
        <v/>
      </c>
      <c r="I96" s="237"/>
    </row>
    <row r="97" spans="1:9">
      <c r="A97" s="232">
        <f t="shared" si="7"/>
        <v>95</v>
      </c>
      <c r="B97" s="233">
        <v>45295</v>
      </c>
      <c r="C97" s="234">
        <v>138.26594200000002</v>
      </c>
      <c r="D97" s="235">
        <v>226.69698541636285</v>
      </c>
      <c r="E97" s="234">
        <f t="shared" si="4"/>
        <v>138.26594200000002</v>
      </c>
      <c r="F97" s="239"/>
      <c r="G97" s="188" t="str">
        <f t="shared" si="5"/>
        <v/>
      </c>
      <c r="H97" s="236" t="str">
        <f t="shared" si="6"/>
        <v/>
      </c>
      <c r="I97" s="237"/>
    </row>
    <row r="98" spans="1:9">
      <c r="A98" s="232">
        <f t="shared" si="7"/>
        <v>96</v>
      </c>
      <c r="B98" s="233">
        <v>45296</v>
      </c>
      <c r="C98" s="234">
        <v>306.23014400000005</v>
      </c>
      <c r="D98" s="235">
        <v>226.69698541636285</v>
      </c>
      <c r="E98" s="234">
        <f t="shared" si="4"/>
        <v>226.69698541636285</v>
      </c>
      <c r="F98" s="239"/>
      <c r="G98" s="188" t="str">
        <f t="shared" si="5"/>
        <v/>
      </c>
      <c r="H98" s="236" t="str">
        <f t="shared" si="6"/>
        <v/>
      </c>
      <c r="I98" s="237"/>
    </row>
    <row r="99" spans="1:9">
      <c r="A99" s="232">
        <f t="shared" si="7"/>
        <v>97</v>
      </c>
      <c r="B99" s="233">
        <v>45297</v>
      </c>
      <c r="C99" s="234">
        <v>314.35115800000005</v>
      </c>
      <c r="D99" s="235">
        <v>226.69698541636285</v>
      </c>
      <c r="E99" s="234">
        <f t="shared" si="4"/>
        <v>226.69698541636285</v>
      </c>
      <c r="F99" s="239"/>
      <c r="G99" s="188" t="str">
        <f t="shared" si="5"/>
        <v/>
      </c>
      <c r="H99" s="236" t="str">
        <f t="shared" si="6"/>
        <v/>
      </c>
      <c r="I99" s="237"/>
    </row>
    <row r="100" spans="1:9">
      <c r="A100" s="232">
        <f t="shared" si="7"/>
        <v>98</v>
      </c>
      <c r="B100" s="233">
        <v>45298</v>
      </c>
      <c r="C100" s="234">
        <v>266.50268299999993</v>
      </c>
      <c r="D100" s="235">
        <v>226.69698541636285</v>
      </c>
      <c r="E100" s="234">
        <f t="shared" si="4"/>
        <v>226.69698541636285</v>
      </c>
      <c r="F100" s="239"/>
      <c r="G100" s="188" t="str">
        <f t="shared" si="5"/>
        <v/>
      </c>
      <c r="H100" s="236" t="str">
        <f t="shared" si="6"/>
        <v/>
      </c>
      <c r="I100" s="237"/>
    </row>
    <row r="101" spans="1:9">
      <c r="A101" s="232">
        <f t="shared" si="7"/>
        <v>99</v>
      </c>
      <c r="B101" s="233">
        <v>45299</v>
      </c>
      <c r="C101" s="234">
        <v>194.88375699999997</v>
      </c>
      <c r="D101" s="235">
        <v>226.69698541636285</v>
      </c>
      <c r="E101" s="234">
        <f t="shared" si="4"/>
        <v>194.88375699999997</v>
      </c>
      <c r="F101" s="239"/>
      <c r="G101" s="188" t="str">
        <f t="shared" si="5"/>
        <v/>
      </c>
      <c r="H101" s="236" t="str">
        <f t="shared" si="6"/>
        <v/>
      </c>
      <c r="I101" s="237"/>
    </row>
    <row r="102" spans="1:9">
      <c r="A102" s="232">
        <f t="shared" si="7"/>
        <v>100</v>
      </c>
      <c r="B102" s="233">
        <v>45300</v>
      </c>
      <c r="C102" s="234">
        <v>24.609955000000003</v>
      </c>
      <c r="D102" s="235">
        <v>226.69698541636285</v>
      </c>
      <c r="E102" s="234">
        <f t="shared" si="4"/>
        <v>24.609955000000003</v>
      </c>
      <c r="F102" s="239"/>
      <c r="G102" s="188" t="str">
        <f t="shared" si="5"/>
        <v/>
      </c>
      <c r="H102" s="236" t="str">
        <f t="shared" si="6"/>
        <v/>
      </c>
      <c r="I102" s="237"/>
    </row>
    <row r="103" spans="1:9">
      <c r="A103" s="232">
        <f t="shared" si="7"/>
        <v>101</v>
      </c>
      <c r="B103" s="233">
        <v>45301</v>
      </c>
      <c r="C103" s="234">
        <v>90.572484000000003</v>
      </c>
      <c r="D103" s="235">
        <v>226.69698541636285</v>
      </c>
      <c r="E103" s="234">
        <f t="shared" si="4"/>
        <v>90.572484000000003</v>
      </c>
      <c r="F103" s="239"/>
      <c r="G103" s="188" t="str">
        <f t="shared" si="5"/>
        <v/>
      </c>
      <c r="H103" s="236" t="str">
        <f t="shared" si="6"/>
        <v/>
      </c>
      <c r="I103" s="237"/>
    </row>
    <row r="104" spans="1:9">
      <c r="A104" s="232">
        <f t="shared" si="7"/>
        <v>102</v>
      </c>
      <c r="B104" s="233">
        <v>45302</v>
      </c>
      <c r="C104" s="234">
        <v>145.88266300000001</v>
      </c>
      <c r="D104" s="235">
        <v>226.69698541636285</v>
      </c>
      <c r="E104" s="234">
        <f t="shared" si="4"/>
        <v>145.88266300000001</v>
      </c>
      <c r="F104" s="239"/>
      <c r="G104" s="188" t="str">
        <f t="shared" si="5"/>
        <v/>
      </c>
      <c r="H104" s="236" t="str">
        <f t="shared" si="6"/>
        <v/>
      </c>
      <c r="I104" s="237"/>
    </row>
    <row r="105" spans="1:9">
      <c r="A105" s="232">
        <f t="shared" si="7"/>
        <v>103</v>
      </c>
      <c r="B105" s="233">
        <v>45303</v>
      </c>
      <c r="C105" s="234">
        <v>123.754503</v>
      </c>
      <c r="D105" s="235">
        <v>226.69698541636285</v>
      </c>
      <c r="E105" s="234">
        <f t="shared" si="4"/>
        <v>123.754503</v>
      </c>
      <c r="F105" s="239"/>
      <c r="G105" s="188" t="str">
        <f t="shared" si="5"/>
        <v/>
      </c>
      <c r="H105" s="236" t="str">
        <f t="shared" si="6"/>
        <v/>
      </c>
      <c r="I105" s="237"/>
    </row>
    <row r="106" spans="1:9">
      <c r="A106" s="232">
        <f t="shared" si="7"/>
        <v>104</v>
      </c>
      <c r="B106" s="233">
        <v>45304</v>
      </c>
      <c r="C106" s="234">
        <v>155.99460099999999</v>
      </c>
      <c r="D106" s="235">
        <v>226.69698541636285</v>
      </c>
      <c r="E106" s="234">
        <f t="shared" si="4"/>
        <v>155.99460099999999</v>
      </c>
      <c r="F106" s="239"/>
      <c r="G106" s="188" t="str">
        <f t="shared" si="5"/>
        <v/>
      </c>
      <c r="H106" s="236" t="str">
        <f t="shared" si="6"/>
        <v/>
      </c>
      <c r="I106" s="237"/>
    </row>
    <row r="107" spans="1:9">
      <c r="A107" s="232">
        <f t="shared" si="7"/>
        <v>105</v>
      </c>
      <c r="B107" s="233">
        <v>45305</v>
      </c>
      <c r="C107" s="234">
        <v>262.74895299999997</v>
      </c>
      <c r="D107" s="235">
        <v>226.69698541636285</v>
      </c>
      <c r="E107" s="234">
        <f t="shared" si="4"/>
        <v>226.69698541636285</v>
      </c>
      <c r="F107" s="239"/>
      <c r="G107" s="188" t="str">
        <f t="shared" si="5"/>
        <v/>
      </c>
      <c r="H107" s="236" t="str">
        <f t="shared" si="6"/>
        <v/>
      </c>
      <c r="I107" s="237"/>
    </row>
    <row r="108" spans="1:9">
      <c r="A108" s="232">
        <f t="shared" si="7"/>
        <v>106</v>
      </c>
      <c r="B108" s="233">
        <v>45306</v>
      </c>
      <c r="C108" s="234">
        <v>262.54821800000002</v>
      </c>
      <c r="D108" s="235">
        <v>226.69698541636285</v>
      </c>
      <c r="E108" s="234">
        <f t="shared" si="4"/>
        <v>226.69698541636285</v>
      </c>
      <c r="F108" s="239"/>
      <c r="G108" s="188" t="str">
        <f t="shared" si="5"/>
        <v>E</v>
      </c>
      <c r="H108" s="236" t="str">
        <f t="shared" si="6"/>
        <v>226,7</v>
      </c>
      <c r="I108" s="237"/>
    </row>
    <row r="109" spans="1:9">
      <c r="A109" s="232">
        <f t="shared" si="7"/>
        <v>107</v>
      </c>
      <c r="B109" s="233">
        <v>45307</v>
      </c>
      <c r="C109" s="234">
        <v>314.56918899999999</v>
      </c>
      <c r="D109" s="235">
        <v>226.69698541636285</v>
      </c>
      <c r="E109" s="234">
        <f t="shared" si="4"/>
        <v>226.69698541636285</v>
      </c>
      <c r="F109" s="239"/>
      <c r="G109" s="188" t="str">
        <f t="shared" si="5"/>
        <v/>
      </c>
      <c r="H109" s="236" t="str">
        <f t="shared" si="6"/>
        <v/>
      </c>
      <c r="I109" s="237"/>
    </row>
    <row r="110" spans="1:9">
      <c r="A110" s="232">
        <f t="shared" si="7"/>
        <v>108</v>
      </c>
      <c r="B110" s="233">
        <v>45308</v>
      </c>
      <c r="C110" s="234">
        <v>415.95359200000001</v>
      </c>
      <c r="D110" s="235">
        <v>226.69698541636285</v>
      </c>
      <c r="E110" s="234">
        <f t="shared" si="4"/>
        <v>226.69698541636285</v>
      </c>
      <c r="F110" s="239"/>
      <c r="G110" s="188" t="str">
        <f t="shared" si="5"/>
        <v/>
      </c>
      <c r="H110" s="236" t="str">
        <f t="shared" si="6"/>
        <v/>
      </c>
      <c r="I110" s="237"/>
    </row>
    <row r="111" spans="1:9">
      <c r="A111" s="232">
        <f t="shared" si="7"/>
        <v>109</v>
      </c>
      <c r="B111" s="233">
        <v>45309</v>
      </c>
      <c r="C111" s="234">
        <v>316.25680999999997</v>
      </c>
      <c r="D111" s="235">
        <v>226.69698541636285</v>
      </c>
      <c r="E111" s="234">
        <f t="shared" si="4"/>
        <v>226.69698541636285</v>
      </c>
      <c r="F111" s="239"/>
      <c r="G111" s="188" t="str">
        <f t="shared" si="5"/>
        <v/>
      </c>
      <c r="H111" s="236" t="str">
        <f t="shared" si="6"/>
        <v/>
      </c>
      <c r="I111" s="237"/>
    </row>
    <row r="112" spans="1:9">
      <c r="A112" s="232">
        <f t="shared" si="7"/>
        <v>110</v>
      </c>
      <c r="B112" s="233">
        <v>45310</v>
      </c>
      <c r="C112" s="234">
        <v>284.46691100000004</v>
      </c>
      <c r="D112" s="235">
        <v>226.69698541636285</v>
      </c>
      <c r="E112" s="234">
        <f t="shared" si="4"/>
        <v>226.69698541636285</v>
      </c>
      <c r="F112" s="239"/>
      <c r="G112" s="188" t="str">
        <f t="shared" si="5"/>
        <v/>
      </c>
      <c r="H112" s="236" t="str">
        <f t="shared" si="6"/>
        <v/>
      </c>
      <c r="I112" s="237"/>
    </row>
    <row r="113" spans="1:9">
      <c r="A113" s="232">
        <f t="shared" si="7"/>
        <v>111</v>
      </c>
      <c r="B113" s="233">
        <v>45311</v>
      </c>
      <c r="C113" s="234">
        <v>128.54224099999999</v>
      </c>
      <c r="D113" s="235">
        <v>226.69698541636285</v>
      </c>
      <c r="E113" s="234">
        <f t="shared" si="4"/>
        <v>128.54224099999999</v>
      </c>
      <c r="F113" s="239"/>
      <c r="G113" s="188" t="str">
        <f t="shared" si="5"/>
        <v/>
      </c>
      <c r="H113" s="236" t="str">
        <f t="shared" si="6"/>
        <v/>
      </c>
      <c r="I113" s="237"/>
    </row>
    <row r="114" spans="1:9">
      <c r="A114" s="232">
        <f t="shared" si="7"/>
        <v>112</v>
      </c>
      <c r="B114" s="233">
        <v>45312</v>
      </c>
      <c r="C114" s="234">
        <v>122.77217300000001</v>
      </c>
      <c r="D114" s="235">
        <v>226.69698541636285</v>
      </c>
      <c r="E114" s="234">
        <f t="shared" si="4"/>
        <v>122.77217300000001</v>
      </c>
      <c r="F114" s="239"/>
      <c r="G114" s="188" t="str">
        <f t="shared" si="5"/>
        <v/>
      </c>
      <c r="H114" s="236" t="str">
        <f t="shared" si="6"/>
        <v/>
      </c>
      <c r="I114" s="237"/>
    </row>
    <row r="115" spans="1:9">
      <c r="A115" s="232">
        <f t="shared" si="7"/>
        <v>113</v>
      </c>
      <c r="B115" s="233">
        <v>45313</v>
      </c>
      <c r="C115" s="234">
        <v>208.51628600000001</v>
      </c>
      <c r="D115" s="235">
        <v>226.69698541636285</v>
      </c>
      <c r="E115" s="234">
        <f t="shared" si="4"/>
        <v>208.51628600000001</v>
      </c>
      <c r="F115" s="239"/>
      <c r="G115" s="188" t="str">
        <f t="shared" si="5"/>
        <v/>
      </c>
      <c r="H115" s="236" t="str">
        <f t="shared" si="6"/>
        <v/>
      </c>
      <c r="I115" s="237"/>
    </row>
    <row r="116" spans="1:9">
      <c r="A116" s="232">
        <f t="shared" si="7"/>
        <v>114</v>
      </c>
      <c r="B116" s="233">
        <v>45314</v>
      </c>
      <c r="C116" s="234">
        <v>127.14699300000001</v>
      </c>
      <c r="D116" s="235">
        <v>226.69698541636285</v>
      </c>
      <c r="E116" s="234">
        <f t="shared" si="4"/>
        <v>127.14699300000001</v>
      </c>
      <c r="F116" s="239"/>
      <c r="G116" s="188" t="str">
        <f t="shared" si="5"/>
        <v/>
      </c>
      <c r="H116" s="236" t="str">
        <f t="shared" si="6"/>
        <v/>
      </c>
      <c r="I116" s="237"/>
    </row>
    <row r="117" spans="1:9">
      <c r="A117" s="232">
        <f t="shared" si="7"/>
        <v>115</v>
      </c>
      <c r="B117" s="233">
        <v>45315</v>
      </c>
      <c r="C117" s="234">
        <v>82.287725000000009</v>
      </c>
      <c r="D117" s="235">
        <v>226.69698541636285</v>
      </c>
      <c r="E117" s="234">
        <f t="shared" si="4"/>
        <v>82.287725000000009</v>
      </c>
      <c r="F117" s="239"/>
      <c r="G117" s="188" t="str">
        <f t="shared" si="5"/>
        <v/>
      </c>
      <c r="H117" s="236" t="str">
        <f t="shared" si="6"/>
        <v/>
      </c>
      <c r="I117" s="237"/>
    </row>
    <row r="118" spans="1:9">
      <c r="A118" s="232">
        <f t="shared" si="7"/>
        <v>116</v>
      </c>
      <c r="B118" s="233">
        <v>45316</v>
      </c>
      <c r="C118" s="234">
        <v>80.772361999999987</v>
      </c>
      <c r="D118" s="235">
        <v>226.69698541636285</v>
      </c>
      <c r="E118" s="234">
        <f t="shared" si="4"/>
        <v>80.772361999999987</v>
      </c>
      <c r="F118" s="239"/>
      <c r="G118" s="188" t="str">
        <f t="shared" si="5"/>
        <v/>
      </c>
      <c r="H118" s="236" t="str">
        <f t="shared" si="6"/>
        <v/>
      </c>
      <c r="I118" s="237"/>
    </row>
    <row r="119" spans="1:9">
      <c r="A119" s="232">
        <f t="shared" si="7"/>
        <v>117</v>
      </c>
      <c r="B119" s="233">
        <v>45317</v>
      </c>
      <c r="C119" s="234">
        <v>44.223860999999999</v>
      </c>
      <c r="D119" s="235">
        <v>226.69698541636285</v>
      </c>
      <c r="E119" s="234">
        <f t="shared" si="4"/>
        <v>44.223860999999999</v>
      </c>
      <c r="F119" s="239"/>
      <c r="G119" s="188" t="str">
        <f t="shared" si="5"/>
        <v/>
      </c>
      <c r="H119" s="236" t="str">
        <f t="shared" si="6"/>
        <v/>
      </c>
      <c r="I119" s="237"/>
    </row>
    <row r="120" spans="1:9">
      <c r="A120" s="232">
        <f t="shared" si="7"/>
        <v>118</v>
      </c>
      <c r="B120" s="233">
        <v>45318</v>
      </c>
      <c r="C120" s="234">
        <v>85.899208000000002</v>
      </c>
      <c r="D120" s="235">
        <v>226.69698541636285</v>
      </c>
      <c r="E120" s="234">
        <f t="shared" si="4"/>
        <v>85.899208000000002</v>
      </c>
      <c r="F120" s="239"/>
      <c r="G120" s="188" t="str">
        <f t="shared" si="5"/>
        <v/>
      </c>
      <c r="H120" s="236" t="str">
        <f t="shared" si="6"/>
        <v/>
      </c>
      <c r="I120" s="237"/>
    </row>
    <row r="121" spans="1:9">
      <c r="A121" s="232">
        <f t="shared" si="7"/>
        <v>119</v>
      </c>
      <c r="B121" s="233">
        <v>45319</v>
      </c>
      <c r="C121" s="234">
        <v>162.763341</v>
      </c>
      <c r="D121" s="235">
        <v>226.69698541636285</v>
      </c>
      <c r="E121" s="234">
        <f t="shared" si="4"/>
        <v>162.763341</v>
      </c>
      <c r="F121" s="239"/>
      <c r="G121" s="188" t="str">
        <f t="shared" si="5"/>
        <v/>
      </c>
      <c r="H121" s="236" t="str">
        <f t="shared" si="6"/>
        <v/>
      </c>
      <c r="I121" s="237"/>
    </row>
    <row r="122" spans="1:9">
      <c r="A122" s="232">
        <f t="shared" si="7"/>
        <v>120</v>
      </c>
      <c r="B122" s="233">
        <v>45320</v>
      </c>
      <c r="C122" s="234">
        <v>137.261663</v>
      </c>
      <c r="D122" s="235">
        <v>226.69698541636285</v>
      </c>
      <c r="E122" s="234">
        <f t="shared" si="4"/>
        <v>137.261663</v>
      </c>
      <c r="F122" s="239"/>
      <c r="G122" s="188" t="str">
        <f t="shared" si="5"/>
        <v/>
      </c>
      <c r="H122" s="236" t="str">
        <f t="shared" si="6"/>
        <v/>
      </c>
      <c r="I122" s="237"/>
    </row>
    <row r="123" spans="1:9">
      <c r="A123" s="232">
        <f t="shared" si="7"/>
        <v>121</v>
      </c>
      <c r="B123" s="233">
        <v>45321</v>
      </c>
      <c r="C123" s="234">
        <v>64.807305999999997</v>
      </c>
      <c r="D123" s="235">
        <v>226.69698541636285</v>
      </c>
      <c r="E123" s="234">
        <f t="shared" si="4"/>
        <v>64.807305999999997</v>
      </c>
      <c r="F123" s="239"/>
      <c r="G123" s="188" t="str">
        <f t="shared" si="5"/>
        <v/>
      </c>
      <c r="H123" s="236" t="str">
        <f t="shared" si="6"/>
        <v/>
      </c>
      <c r="I123" s="237"/>
    </row>
    <row r="124" spans="1:9">
      <c r="A124" s="232">
        <f t="shared" si="7"/>
        <v>122</v>
      </c>
      <c r="B124" s="233">
        <v>45322</v>
      </c>
      <c r="C124" s="234">
        <v>67.026424000000006</v>
      </c>
      <c r="D124" s="235">
        <v>226.69698541636285</v>
      </c>
      <c r="E124" s="234">
        <f t="shared" si="4"/>
        <v>67.026424000000006</v>
      </c>
      <c r="F124" s="237"/>
      <c r="G124" s="188" t="str">
        <f t="shared" si="5"/>
        <v/>
      </c>
      <c r="H124" s="236" t="str">
        <f t="shared" si="6"/>
        <v/>
      </c>
      <c r="I124" s="237"/>
    </row>
    <row r="125" spans="1:9">
      <c r="A125" s="232">
        <f t="shared" si="7"/>
        <v>123</v>
      </c>
      <c r="B125" s="233">
        <v>45323</v>
      </c>
      <c r="C125" s="234">
        <v>159.82235800000001</v>
      </c>
      <c r="D125" s="235">
        <v>216.84283256745775</v>
      </c>
      <c r="E125" s="234">
        <f t="shared" si="4"/>
        <v>159.82235800000001</v>
      </c>
      <c r="F125" s="239"/>
      <c r="G125" s="188" t="str">
        <f t="shared" si="5"/>
        <v/>
      </c>
      <c r="H125" s="236" t="str">
        <f t="shared" si="6"/>
        <v/>
      </c>
      <c r="I125" s="237"/>
    </row>
    <row r="126" spans="1:9">
      <c r="A126" s="232">
        <f t="shared" si="7"/>
        <v>124</v>
      </c>
      <c r="B126" s="233">
        <v>45324</v>
      </c>
      <c r="C126" s="234">
        <v>204.003638</v>
      </c>
      <c r="D126" s="235">
        <v>216.84283256745775</v>
      </c>
      <c r="E126" s="234">
        <f t="shared" si="4"/>
        <v>204.003638</v>
      </c>
      <c r="F126" s="239"/>
      <c r="G126" s="188" t="str">
        <f t="shared" si="5"/>
        <v/>
      </c>
      <c r="H126" s="236" t="str">
        <f t="shared" si="6"/>
        <v/>
      </c>
      <c r="I126" s="237"/>
    </row>
    <row r="127" spans="1:9">
      <c r="A127" s="232">
        <f t="shared" si="7"/>
        <v>125</v>
      </c>
      <c r="B127" s="233">
        <v>45325</v>
      </c>
      <c r="C127" s="234">
        <v>75.195433999999992</v>
      </c>
      <c r="D127" s="235">
        <v>216.84283256745775</v>
      </c>
      <c r="E127" s="234">
        <f t="shared" si="4"/>
        <v>75.195433999999992</v>
      </c>
      <c r="F127" s="239"/>
      <c r="G127" s="188" t="str">
        <f t="shared" si="5"/>
        <v/>
      </c>
      <c r="H127" s="236" t="str">
        <f t="shared" si="6"/>
        <v/>
      </c>
      <c r="I127" s="237"/>
    </row>
    <row r="128" spans="1:9">
      <c r="A128" s="232">
        <f t="shared" si="7"/>
        <v>126</v>
      </c>
      <c r="B128" s="233">
        <v>45326</v>
      </c>
      <c r="C128" s="234">
        <v>28.476825000000002</v>
      </c>
      <c r="D128" s="235">
        <v>216.84283256745775</v>
      </c>
      <c r="E128" s="234">
        <f t="shared" si="4"/>
        <v>28.476825000000002</v>
      </c>
      <c r="F128" s="239"/>
      <c r="G128" s="188" t="str">
        <f t="shared" si="5"/>
        <v/>
      </c>
      <c r="H128" s="236" t="str">
        <f t="shared" si="6"/>
        <v/>
      </c>
      <c r="I128" s="237"/>
    </row>
    <row r="129" spans="1:9">
      <c r="A129" s="232">
        <f t="shared" si="7"/>
        <v>127</v>
      </c>
      <c r="B129" s="233">
        <v>45327</v>
      </c>
      <c r="C129" s="234">
        <v>16.489471000000002</v>
      </c>
      <c r="D129" s="235">
        <v>216.84283256745775</v>
      </c>
      <c r="E129" s="234">
        <f t="shared" si="4"/>
        <v>16.489471000000002</v>
      </c>
      <c r="F129" s="239"/>
      <c r="G129" s="188" t="str">
        <f t="shared" si="5"/>
        <v/>
      </c>
      <c r="H129" s="236" t="str">
        <f t="shared" si="6"/>
        <v/>
      </c>
      <c r="I129" s="237"/>
    </row>
    <row r="130" spans="1:9">
      <c r="A130" s="232">
        <f t="shared" si="7"/>
        <v>128</v>
      </c>
      <c r="B130" s="233">
        <v>45328</v>
      </c>
      <c r="C130" s="234">
        <v>110.40474800000001</v>
      </c>
      <c r="D130" s="235">
        <v>216.84283256745775</v>
      </c>
      <c r="E130" s="234">
        <f t="shared" si="4"/>
        <v>110.40474800000001</v>
      </c>
      <c r="F130" s="239"/>
      <c r="G130" s="188" t="str">
        <f t="shared" si="5"/>
        <v/>
      </c>
      <c r="H130" s="236" t="str">
        <f t="shared" si="6"/>
        <v/>
      </c>
      <c r="I130" s="237"/>
    </row>
    <row r="131" spans="1:9">
      <c r="A131" s="232">
        <f t="shared" si="7"/>
        <v>129</v>
      </c>
      <c r="B131" s="233">
        <v>45329</v>
      </c>
      <c r="C131" s="234">
        <v>288.404696</v>
      </c>
      <c r="D131" s="235">
        <v>216.84283256745775</v>
      </c>
      <c r="E131" s="234">
        <f t="shared" ref="E131:E194" si="8">IF(C131&gt;D131,D131,C131)</f>
        <v>216.84283256745775</v>
      </c>
      <c r="F131" s="239"/>
      <c r="G131" s="188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36" t="str">
        <f t="shared" ref="H131:H194" si="10">IF(DAY($B131)=15,TEXT(D131,"#,0"),"")</f>
        <v/>
      </c>
      <c r="I131" s="237"/>
    </row>
    <row r="132" spans="1:9">
      <c r="A132" s="232">
        <f t="shared" ref="A132:A195" si="11">+A131+1</f>
        <v>130</v>
      </c>
      <c r="B132" s="233">
        <v>45330</v>
      </c>
      <c r="C132" s="234">
        <v>330.63518599999998</v>
      </c>
      <c r="D132" s="235">
        <v>216.84283256745775</v>
      </c>
      <c r="E132" s="234">
        <f t="shared" si="8"/>
        <v>216.84283256745775</v>
      </c>
      <c r="F132" s="239"/>
      <c r="G132" s="188" t="str">
        <f t="shared" si="9"/>
        <v/>
      </c>
      <c r="H132" s="236" t="str">
        <f t="shared" si="10"/>
        <v/>
      </c>
      <c r="I132" s="237"/>
    </row>
    <row r="133" spans="1:9">
      <c r="A133" s="232">
        <f t="shared" si="11"/>
        <v>131</v>
      </c>
      <c r="B133" s="233">
        <v>45331</v>
      </c>
      <c r="C133" s="234">
        <v>323.49917900000003</v>
      </c>
      <c r="D133" s="235">
        <v>216.84283256745775</v>
      </c>
      <c r="E133" s="234">
        <f t="shared" si="8"/>
        <v>216.84283256745775</v>
      </c>
      <c r="F133" s="239"/>
      <c r="G133" s="188" t="str">
        <f t="shared" si="9"/>
        <v/>
      </c>
      <c r="H133" s="236" t="str">
        <f t="shared" si="10"/>
        <v/>
      </c>
      <c r="I133" s="237"/>
    </row>
    <row r="134" spans="1:9">
      <c r="A134" s="232">
        <f t="shared" si="11"/>
        <v>132</v>
      </c>
      <c r="B134" s="233">
        <v>45332</v>
      </c>
      <c r="C134" s="234">
        <v>396.14495699999998</v>
      </c>
      <c r="D134" s="235">
        <v>216.84283256745775</v>
      </c>
      <c r="E134" s="234">
        <f t="shared" si="8"/>
        <v>216.84283256745775</v>
      </c>
      <c r="F134" s="239"/>
      <c r="G134" s="188" t="str">
        <f t="shared" si="9"/>
        <v/>
      </c>
      <c r="H134" s="236" t="str">
        <f t="shared" si="10"/>
        <v/>
      </c>
      <c r="I134" s="237"/>
    </row>
    <row r="135" spans="1:9">
      <c r="A135" s="232">
        <f t="shared" si="11"/>
        <v>133</v>
      </c>
      <c r="B135" s="233">
        <v>45333</v>
      </c>
      <c r="C135" s="234">
        <v>309.79723999999999</v>
      </c>
      <c r="D135" s="235">
        <v>216.84283256745775</v>
      </c>
      <c r="E135" s="234">
        <f t="shared" si="8"/>
        <v>216.84283256745775</v>
      </c>
      <c r="F135" s="239"/>
      <c r="G135" s="188" t="str">
        <f t="shared" si="9"/>
        <v/>
      </c>
      <c r="H135" s="236" t="str">
        <f t="shared" si="10"/>
        <v/>
      </c>
      <c r="I135" s="237"/>
    </row>
    <row r="136" spans="1:9">
      <c r="A136" s="232">
        <f t="shared" si="11"/>
        <v>134</v>
      </c>
      <c r="B136" s="233">
        <v>45334</v>
      </c>
      <c r="C136" s="234">
        <v>327.75338399999998</v>
      </c>
      <c r="D136" s="235">
        <v>216.84283256745775</v>
      </c>
      <c r="E136" s="234">
        <f t="shared" si="8"/>
        <v>216.84283256745775</v>
      </c>
      <c r="F136" s="239"/>
      <c r="G136" s="188" t="str">
        <f t="shared" si="9"/>
        <v/>
      </c>
      <c r="H136" s="236" t="str">
        <f t="shared" si="10"/>
        <v/>
      </c>
      <c r="I136" s="237"/>
    </row>
    <row r="137" spans="1:9">
      <c r="A137" s="232">
        <f t="shared" si="11"/>
        <v>135</v>
      </c>
      <c r="B137" s="233">
        <v>45335</v>
      </c>
      <c r="C137" s="234">
        <v>168.62369799999999</v>
      </c>
      <c r="D137" s="235">
        <v>216.84283256745775</v>
      </c>
      <c r="E137" s="234">
        <f t="shared" si="8"/>
        <v>168.62369799999999</v>
      </c>
      <c r="F137" s="239"/>
      <c r="G137" s="188" t="str">
        <f t="shared" si="9"/>
        <v/>
      </c>
      <c r="H137" s="236" t="str">
        <f t="shared" si="10"/>
        <v/>
      </c>
      <c r="I137" s="237"/>
    </row>
    <row r="138" spans="1:9">
      <c r="A138" s="232">
        <f t="shared" si="11"/>
        <v>136</v>
      </c>
      <c r="B138" s="233">
        <v>45336</v>
      </c>
      <c r="C138" s="234">
        <v>158.582087</v>
      </c>
      <c r="D138" s="235">
        <v>216.84283256745775</v>
      </c>
      <c r="E138" s="234">
        <f t="shared" si="8"/>
        <v>158.582087</v>
      </c>
      <c r="F138" s="239"/>
      <c r="G138" s="188" t="str">
        <f t="shared" si="9"/>
        <v/>
      </c>
      <c r="H138" s="236" t="str">
        <f t="shared" si="10"/>
        <v/>
      </c>
      <c r="I138" s="237"/>
    </row>
    <row r="139" spans="1:9">
      <c r="A139" s="232">
        <f t="shared" si="11"/>
        <v>137</v>
      </c>
      <c r="B139" s="233">
        <v>45337</v>
      </c>
      <c r="C139" s="234">
        <v>248.21895500000002</v>
      </c>
      <c r="D139" s="235">
        <v>216.84283256745775</v>
      </c>
      <c r="E139" s="234">
        <f t="shared" si="8"/>
        <v>216.84283256745775</v>
      </c>
      <c r="F139" s="239"/>
      <c r="G139" s="188" t="str">
        <f t="shared" si="9"/>
        <v>F</v>
      </c>
      <c r="H139" s="236" t="str">
        <f t="shared" si="10"/>
        <v>216,8</v>
      </c>
      <c r="I139" s="237"/>
    </row>
    <row r="140" spans="1:9">
      <c r="A140" s="232">
        <f t="shared" si="11"/>
        <v>138</v>
      </c>
      <c r="B140" s="233">
        <v>45338</v>
      </c>
      <c r="C140" s="234">
        <v>235.15105300000002</v>
      </c>
      <c r="D140" s="235">
        <v>216.84283256745775</v>
      </c>
      <c r="E140" s="234">
        <f t="shared" si="8"/>
        <v>216.84283256745775</v>
      </c>
      <c r="F140" s="239"/>
      <c r="G140" s="188" t="str">
        <f t="shared" si="9"/>
        <v/>
      </c>
      <c r="H140" s="236" t="str">
        <f t="shared" si="10"/>
        <v/>
      </c>
      <c r="I140" s="237"/>
    </row>
    <row r="141" spans="1:9">
      <c r="A141" s="232">
        <f t="shared" si="11"/>
        <v>139</v>
      </c>
      <c r="B141" s="233">
        <v>45339</v>
      </c>
      <c r="C141" s="234">
        <v>145.90896499999999</v>
      </c>
      <c r="D141" s="235">
        <v>216.84283256745775</v>
      </c>
      <c r="E141" s="234">
        <f t="shared" si="8"/>
        <v>145.90896499999999</v>
      </c>
      <c r="F141" s="239"/>
      <c r="G141" s="188" t="str">
        <f t="shared" si="9"/>
        <v/>
      </c>
      <c r="H141" s="236" t="str">
        <f t="shared" si="10"/>
        <v/>
      </c>
      <c r="I141" s="237"/>
    </row>
    <row r="142" spans="1:9">
      <c r="A142" s="232">
        <f t="shared" si="11"/>
        <v>140</v>
      </c>
      <c r="B142" s="233">
        <v>45340</v>
      </c>
      <c r="C142" s="234">
        <v>95.06930899999999</v>
      </c>
      <c r="D142" s="235">
        <v>216.84283256745775</v>
      </c>
      <c r="E142" s="234">
        <f t="shared" si="8"/>
        <v>95.06930899999999</v>
      </c>
      <c r="F142" s="239"/>
      <c r="G142" s="188" t="str">
        <f t="shared" si="9"/>
        <v/>
      </c>
      <c r="H142" s="236" t="str">
        <f t="shared" si="10"/>
        <v/>
      </c>
      <c r="I142" s="237"/>
    </row>
    <row r="143" spans="1:9">
      <c r="A143" s="232">
        <f t="shared" si="11"/>
        <v>141</v>
      </c>
      <c r="B143" s="233">
        <v>45341</v>
      </c>
      <c r="C143" s="234">
        <v>220.327552</v>
      </c>
      <c r="D143" s="235">
        <v>216.84283256745775</v>
      </c>
      <c r="E143" s="234">
        <f t="shared" si="8"/>
        <v>216.84283256745775</v>
      </c>
      <c r="F143" s="239"/>
      <c r="G143" s="188" t="str">
        <f t="shared" si="9"/>
        <v/>
      </c>
      <c r="H143" s="236" t="str">
        <f t="shared" si="10"/>
        <v/>
      </c>
      <c r="I143" s="237"/>
    </row>
    <row r="144" spans="1:9">
      <c r="A144" s="232">
        <f t="shared" si="11"/>
        <v>142</v>
      </c>
      <c r="B144" s="233">
        <v>45342</v>
      </c>
      <c r="C144" s="234">
        <v>147.90806099999998</v>
      </c>
      <c r="D144" s="235">
        <v>216.84283256745775</v>
      </c>
      <c r="E144" s="234">
        <f t="shared" si="8"/>
        <v>147.90806099999998</v>
      </c>
      <c r="F144" s="239"/>
      <c r="G144" s="188" t="str">
        <f t="shared" si="9"/>
        <v/>
      </c>
      <c r="H144" s="236" t="str">
        <f t="shared" si="10"/>
        <v/>
      </c>
      <c r="I144" s="237"/>
    </row>
    <row r="145" spans="1:9">
      <c r="A145" s="232">
        <f t="shared" si="11"/>
        <v>143</v>
      </c>
      <c r="B145" s="233">
        <v>45343</v>
      </c>
      <c r="C145" s="234">
        <v>141.81943600000002</v>
      </c>
      <c r="D145" s="235">
        <v>216.84283256745775</v>
      </c>
      <c r="E145" s="234">
        <f t="shared" si="8"/>
        <v>141.81943600000002</v>
      </c>
      <c r="F145" s="239"/>
      <c r="G145" s="188" t="str">
        <f t="shared" si="9"/>
        <v/>
      </c>
      <c r="H145" s="236" t="str">
        <f t="shared" si="10"/>
        <v/>
      </c>
      <c r="I145" s="237"/>
    </row>
    <row r="146" spans="1:9">
      <c r="A146" s="232">
        <f t="shared" si="11"/>
        <v>144</v>
      </c>
      <c r="B146" s="233">
        <v>45344</v>
      </c>
      <c r="C146" s="234">
        <v>376.42025799999999</v>
      </c>
      <c r="D146" s="235">
        <v>216.84283256745775</v>
      </c>
      <c r="E146" s="234">
        <f t="shared" si="8"/>
        <v>216.84283256745775</v>
      </c>
      <c r="F146" s="239"/>
      <c r="G146" s="188" t="str">
        <f t="shared" si="9"/>
        <v/>
      </c>
      <c r="H146" s="236" t="str">
        <f t="shared" si="10"/>
        <v/>
      </c>
      <c r="I146" s="237"/>
    </row>
    <row r="147" spans="1:9">
      <c r="A147" s="232">
        <f t="shared" si="11"/>
        <v>145</v>
      </c>
      <c r="B147" s="233">
        <v>45345</v>
      </c>
      <c r="C147" s="234">
        <v>391.862303</v>
      </c>
      <c r="D147" s="235">
        <v>216.84283256745775</v>
      </c>
      <c r="E147" s="234">
        <f t="shared" si="8"/>
        <v>216.84283256745775</v>
      </c>
      <c r="F147" s="239"/>
      <c r="G147" s="188" t="str">
        <f t="shared" si="9"/>
        <v/>
      </c>
      <c r="H147" s="236" t="str">
        <f t="shared" si="10"/>
        <v/>
      </c>
      <c r="I147" s="237"/>
    </row>
    <row r="148" spans="1:9">
      <c r="A148" s="232">
        <f t="shared" si="11"/>
        <v>146</v>
      </c>
      <c r="B148" s="233">
        <v>45346</v>
      </c>
      <c r="C148" s="234">
        <v>349.08516100000003</v>
      </c>
      <c r="D148" s="235">
        <v>216.84283256745775</v>
      </c>
      <c r="E148" s="234">
        <f t="shared" si="8"/>
        <v>216.84283256745775</v>
      </c>
      <c r="F148" s="239"/>
      <c r="G148" s="188" t="str">
        <f t="shared" si="9"/>
        <v/>
      </c>
      <c r="H148" s="236" t="str">
        <f t="shared" si="10"/>
        <v/>
      </c>
      <c r="I148" s="237"/>
    </row>
    <row r="149" spans="1:9">
      <c r="A149" s="232">
        <f t="shared" si="11"/>
        <v>147</v>
      </c>
      <c r="B149" s="233">
        <v>45347</v>
      </c>
      <c r="C149" s="234">
        <v>359.74380200000002</v>
      </c>
      <c r="D149" s="235">
        <v>216.84283256745775</v>
      </c>
      <c r="E149" s="234">
        <f t="shared" si="8"/>
        <v>216.84283256745775</v>
      </c>
      <c r="F149" s="239"/>
      <c r="G149" s="188" t="str">
        <f t="shared" si="9"/>
        <v/>
      </c>
      <c r="H149" s="236" t="str">
        <f t="shared" si="10"/>
        <v/>
      </c>
      <c r="I149" s="237"/>
    </row>
    <row r="150" spans="1:9">
      <c r="A150" s="232">
        <f t="shared" si="11"/>
        <v>148</v>
      </c>
      <c r="B150" s="233">
        <v>45348</v>
      </c>
      <c r="C150" s="234">
        <v>369.79782699999998</v>
      </c>
      <c r="D150" s="235">
        <v>216.84283256745775</v>
      </c>
      <c r="E150" s="234">
        <f t="shared" si="8"/>
        <v>216.84283256745775</v>
      </c>
      <c r="F150" s="239"/>
      <c r="G150" s="188" t="str">
        <f t="shared" si="9"/>
        <v/>
      </c>
      <c r="H150" s="236" t="str">
        <f t="shared" si="10"/>
        <v/>
      </c>
      <c r="I150" s="237"/>
    </row>
    <row r="151" spans="1:9">
      <c r="A151" s="232">
        <f t="shared" si="11"/>
        <v>149</v>
      </c>
      <c r="B151" s="233">
        <v>45349</v>
      </c>
      <c r="C151" s="234">
        <v>341.24197000000004</v>
      </c>
      <c r="D151" s="235">
        <v>216.84283256745775</v>
      </c>
      <c r="E151" s="234">
        <f t="shared" si="8"/>
        <v>216.84283256745775</v>
      </c>
      <c r="F151" s="239"/>
      <c r="G151" s="188" t="str">
        <f t="shared" si="9"/>
        <v/>
      </c>
      <c r="H151" s="236" t="str">
        <f t="shared" si="10"/>
        <v/>
      </c>
      <c r="I151" s="237"/>
    </row>
    <row r="152" spans="1:9">
      <c r="A152" s="232">
        <f t="shared" si="11"/>
        <v>150</v>
      </c>
      <c r="B152" s="233">
        <v>45350</v>
      </c>
      <c r="C152" s="234">
        <v>273.86204800000002</v>
      </c>
      <c r="D152" s="235">
        <v>216.84283256745775</v>
      </c>
      <c r="E152" s="234">
        <f t="shared" si="8"/>
        <v>216.84283256745775</v>
      </c>
      <c r="F152" s="239"/>
      <c r="G152" s="188" t="str">
        <f t="shared" si="9"/>
        <v/>
      </c>
      <c r="H152" s="236" t="str">
        <f t="shared" si="10"/>
        <v/>
      </c>
      <c r="I152" s="237"/>
    </row>
    <row r="153" spans="1:9">
      <c r="A153" s="232">
        <f t="shared" si="11"/>
        <v>151</v>
      </c>
      <c r="B153" s="233">
        <v>45351</v>
      </c>
      <c r="C153" s="234">
        <v>282.68962400000004</v>
      </c>
      <c r="D153" s="235">
        <v>216.84283256745775</v>
      </c>
      <c r="E153" s="234">
        <f t="shared" si="8"/>
        <v>216.84283256745775</v>
      </c>
      <c r="F153" s="239"/>
      <c r="G153" s="188" t="str">
        <f t="shared" si="9"/>
        <v/>
      </c>
      <c r="H153" s="236" t="str">
        <f t="shared" si="10"/>
        <v/>
      </c>
      <c r="I153" s="237"/>
    </row>
    <row r="154" spans="1:9">
      <c r="A154" s="232">
        <f t="shared" si="11"/>
        <v>152</v>
      </c>
      <c r="B154" s="233">
        <v>45352</v>
      </c>
      <c r="C154" s="234">
        <v>302.79244400000005</v>
      </c>
      <c r="D154" s="235">
        <v>222.84447144022923</v>
      </c>
      <c r="E154" s="234">
        <f t="shared" si="8"/>
        <v>222.84447144022923</v>
      </c>
      <c r="F154" s="239"/>
      <c r="G154" s="188" t="str">
        <f t="shared" si="9"/>
        <v/>
      </c>
      <c r="H154" s="236" t="str">
        <f t="shared" si="10"/>
        <v/>
      </c>
      <c r="I154" s="237"/>
    </row>
    <row r="155" spans="1:9">
      <c r="A155" s="232">
        <f t="shared" si="11"/>
        <v>153</v>
      </c>
      <c r="B155" s="233">
        <v>45353</v>
      </c>
      <c r="C155" s="234">
        <v>308.57966399999998</v>
      </c>
      <c r="D155" s="235">
        <v>222.84447144022923</v>
      </c>
      <c r="E155" s="234">
        <f t="shared" si="8"/>
        <v>222.84447144022923</v>
      </c>
      <c r="F155" s="237"/>
      <c r="G155" s="188" t="str">
        <f t="shared" si="9"/>
        <v/>
      </c>
      <c r="H155" s="236" t="str">
        <f t="shared" si="10"/>
        <v/>
      </c>
      <c r="I155" s="237"/>
    </row>
    <row r="156" spans="1:9">
      <c r="A156" s="232">
        <f t="shared" si="11"/>
        <v>154</v>
      </c>
      <c r="B156" s="233">
        <v>45354</v>
      </c>
      <c r="C156" s="234">
        <v>274.19204099999996</v>
      </c>
      <c r="D156" s="235">
        <v>222.84447144022923</v>
      </c>
      <c r="E156" s="234">
        <f t="shared" si="8"/>
        <v>222.84447144022923</v>
      </c>
      <c r="F156" s="239"/>
      <c r="G156" s="188" t="str">
        <f t="shared" si="9"/>
        <v/>
      </c>
      <c r="H156" s="236" t="str">
        <f t="shared" si="10"/>
        <v/>
      </c>
      <c r="I156" s="237"/>
    </row>
    <row r="157" spans="1:9">
      <c r="A157" s="232">
        <f t="shared" si="11"/>
        <v>155</v>
      </c>
      <c r="B157" s="233">
        <v>45355</v>
      </c>
      <c r="C157" s="234">
        <v>304.715936</v>
      </c>
      <c r="D157" s="235">
        <v>222.84447144022923</v>
      </c>
      <c r="E157" s="234">
        <f t="shared" si="8"/>
        <v>222.84447144022923</v>
      </c>
      <c r="F157" s="239"/>
      <c r="G157" s="188" t="str">
        <f t="shared" si="9"/>
        <v/>
      </c>
      <c r="H157" s="236" t="str">
        <f t="shared" si="10"/>
        <v/>
      </c>
      <c r="I157" s="237"/>
    </row>
    <row r="158" spans="1:9">
      <c r="A158" s="232">
        <f t="shared" si="11"/>
        <v>156</v>
      </c>
      <c r="B158" s="233">
        <v>45356</v>
      </c>
      <c r="C158" s="234">
        <v>142.68886299999997</v>
      </c>
      <c r="D158" s="235">
        <v>222.84447144022923</v>
      </c>
      <c r="E158" s="234">
        <f t="shared" si="8"/>
        <v>142.68886299999997</v>
      </c>
      <c r="F158" s="239"/>
      <c r="G158" s="188" t="str">
        <f t="shared" si="9"/>
        <v/>
      </c>
      <c r="H158" s="236" t="str">
        <f t="shared" si="10"/>
        <v/>
      </c>
      <c r="I158" s="237"/>
    </row>
    <row r="159" spans="1:9">
      <c r="A159" s="232">
        <f t="shared" si="11"/>
        <v>157</v>
      </c>
      <c r="B159" s="233">
        <v>45357</v>
      </c>
      <c r="C159" s="234">
        <v>74.129460000000009</v>
      </c>
      <c r="D159" s="235">
        <v>222.84447144022923</v>
      </c>
      <c r="E159" s="234">
        <f t="shared" si="8"/>
        <v>74.129460000000009</v>
      </c>
      <c r="F159" s="239"/>
      <c r="G159" s="188" t="str">
        <f t="shared" si="9"/>
        <v/>
      </c>
      <c r="H159" s="236" t="str">
        <f t="shared" si="10"/>
        <v/>
      </c>
      <c r="I159" s="237"/>
    </row>
    <row r="160" spans="1:9">
      <c r="A160" s="232">
        <f t="shared" si="11"/>
        <v>158</v>
      </c>
      <c r="B160" s="233">
        <v>45358</v>
      </c>
      <c r="C160" s="234">
        <v>289.21666899999997</v>
      </c>
      <c r="D160" s="235">
        <v>222.84447144022923</v>
      </c>
      <c r="E160" s="234">
        <f t="shared" si="8"/>
        <v>222.84447144022923</v>
      </c>
      <c r="F160" s="239"/>
      <c r="G160" s="188" t="str">
        <f t="shared" si="9"/>
        <v/>
      </c>
      <c r="H160" s="236" t="str">
        <f t="shared" si="10"/>
        <v/>
      </c>
      <c r="I160" s="237"/>
    </row>
    <row r="161" spans="1:9">
      <c r="A161" s="232">
        <f t="shared" si="11"/>
        <v>159</v>
      </c>
      <c r="B161" s="233">
        <v>45359</v>
      </c>
      <c r="C161" s="234">
        <v>300.36727100000002</v>
      </c>
      <c r="D161" s="235">
        <v>222.84447144022923</v>
      </c>
      <c r="E161" s="234">
        <f t="shared" si="8"/>
        <v>222.84447144022923</v>
      </c>
      <c r="F161" s="239"/>
      <c r="G161" s="188" t="str">
        <f t="shared" si="9"/>
        <v/>
      </c>
      <c r="H161" s="236" t="str">
        <f t="shared" si="10"/>
        <v/>
      </c>
      <c r="I161" s="237"/>
    </row>
    <row r="162" spans="1:9">
      <c r="A162" s="232">
        <f t="shared" si="11"/>
        <v>160</v>
      </c>
      <c r="B162" s="233">
        <v>45360</v>
      </c>
      <c r="C162" s="234">
        <v>291.49103100000002</v>
      </c>
      <c r="D162" s="235">
        <v>222.84447144022923</v>
      </c>
      <c r="E162" s="234">
        <f t="shared" si="8"/>
        <v>222.84447144022923</v>
      </c>
      <c r="F162" s="239"/>
      <c r="G162" s="188" t="str">
        <f t="shared" si="9"/>
        <v/>
      </c>
      <c r="H162" s="236" t="str">
        <f t="shared" si="10"/>
        <v/>
      </c>
      <c r="I162" s="237"/>
    </row>
    <row r="163" spans="1:9">
      <c r="A163" s="232">
        <f t="shared" si="11"/>
        <v>161</v>
      </c>
      <c r="B163" s="233">
        <v>45361</v>
      </c>
      <c r="C163" s="234">
        <v>247.51816299999999</v>
      </c>
      <c r="D163" s="235">
        <v>222.84447144022923</v>
      </c>
      <c r="E163" s="234">
        <f t="shared" si="8"/>
        <v>222.84447144022923</v>
      </c>
      <c r="F163" s="239"/>
      <c r="G163" s="188" t="str">
        <f t="shared" si="9"/>
        <v/>
      </c>
      <c r="H163" s="236" t="str">
        <f t="shared" si="10"/>
        <v/>
      </c>
      <c r="I163" s="237"/>
    </row>
    <row r="164" spans="1:9">
      <c r="A164" s="232">
        <f t="shared" si="11"/>
        <v>162</v>
      </c>
      <c r="B164" s="233">
        <v>45362</v>
      </c>
      <c r="C164" s="234">
        <v>232.96147099999999</v>
      </c>
      <c r="D164" s="235">
        <v>222.84447144022923</v>
      </c>
      <c r="E164" s="234">
        <f t="shared" si="8"/>
        <v>222.84447144022923</v>
      </c>
      <c r="F164" s="239"/>
      <c r="G164" s="188" t="str">
        <f t="shared" si="9"/>
        <v/>
      </c>
      <c r="H164" s="236" t="str">
        <f t="shared" si="10"/>
        <v/>
      </c>
      <c r="I164" s="237"/>
    </row>
    <row r="165" spans="1:9">
      <c r="A165" s="232">
        <f t="shared" si="11"/>
        <v>163</v>
      </c>
      <c r="B165" s="233">
        <v>45363</v>
      </c>
      <c r="C165" s="234">
        <v>92.800828999999993</v>
      </c>
      <c r="D165" s="235">
        <v>222.84447144022923</v>
      </c>
      <c r="E165" s="234">
        <f t="shared" si="8"/>
        <v>92.800828999999993</v>
      </c>
      <c r="F165" s="239"/>
      <c r="G165" s="188" t="str">
        <f t="shared" si="9"/>
        <v/>
      </c>
      <c r="H165" s="236" t="str">
        <f t="shared" si="10"/>
        <v/>
      </c>
      <c r="I165" s="237"/>
    </row>
    <row r="166" spans="1:9">
      <c r="A166" s="232">
        <f t="shared" si="11"/>
        <v>164</v>
      </c>
      <c r="B166" s="233">
        <v>45364</v>
      </c>
      <c r="C166" s="234">
        <v>77.45814</v>
      </c>
      <c r="D166" s="235">
        <v>222.84447144022923</v>
      </c>
      <c r="E166" s="234">
        <f t="shared" si="8"/>
        <v>77.45814</v>
      </c>
      <c r="F166" s="239"/>
      <c r="G166" s="188" t="str">
        <f t="shared" si="9"/>
        <v/>
      </c>
      <c r="H166" s="236" t="str">
        <f t="shared" si="10"/>
        <v/>
      </c>
      <c r="I166" s="237"/>
    </row>
    <row r="167" spans="1:9">
      <c r="A167" s="232">
        <f t="shared" si="11"/>
        <v>165</v>
      </c>
      <c r="B167" s="233">
        <v>45365</v>
      </c>
      <c r="C167" s="234">
        <v>156.409908</v>
      </c>
      <c r="D167" s="235">
        <v>222.84447144022923</v>
      </c>
      <c r="E167" s="234">
        <f t="shared" si="8"/>
        <v>156.409908</v>
      </c>
      <c r="F167" s="239"/>
      <c r="G167" s="188" t="str">
        <f t="shared" si="9"/>
        <v/>
      </c>
      <c r="H167" s="236" t="str">
        <f t="shared" si="10"/>
        <v/>
      </c>
      <c r="I167" s="237"/>
    </row>
    <row r="168" spans="1:9">
      <c r="A168" s="232">
        <f t="shared" si="11"/>
        <v>166</v>
      </c>
      <c r="B168" s="233">
        <v>45366</v>
      </c>
      <c r="C168" s="234">
        <v>124.23169799999999</v>
      </c>
      <c r="D168" s="235">
        <v>222.84447144022923</v>
      </c>
      <c r="E168" s="234">
        <f t="shared" si="8"/>
        <v>124.23169799999999</v>
      </c>
      <c r="F168" s="239"/>
      <c r="G168" s="188" t="str">
        <f t="shared" si="9"/>
        <v>M</v>
      </c>
      <c r="H168" s="236" t="str">
        <f t="shared" si="10"/>
        <v>222,8</v>
      </c>
      <c r="I168" s="237"/>
    </row>
    <row r="169" spans="1:9">
      <c r="A169" s="232">
        <f t="shared" si="11"/>
        <v>167</v>
      </c>
      <c r="B169" s="233">
        <v>45367</v>
      </c>
      <c r="C169" s="234">
        <v>94.42524499999999</v>
      </c>
      <c r="D169" s="235">
        <v>222.84447144022923</v>
      </c>
      <c r="E169" s="234">
        <f t="shared" si="8"/>
        <v>94.42524499999999</v>
      </c>
      <c r="F169" s="237"/>
      <c r="G169" s="188" t="str">
        <f t="shared" si="9"/>
        <v/>
      </c>
      <c r="H169" s="236" t="str">
        <f t="shared" si="10"/>
        <v/>
      </c>
      <c r="I169" s="237"/>
    </row>
    <row r="170" spans="1:9">
      <c r="A170" s="232">
        <f t="shared" si="11"/>
        <v>168</v>
      </c>
      <c r="B170" s="233">
        <v>45368</v>
      </c>
      <c r="C170" s="234">
        <v>83.422263000000001</v>
      </c>
      <c r="D170" s="235">
        <v>222.84447144022923</v>
      </c>
      <c r="E170" s="234">
        <f t="shared" si="8"/>
        <v>83.422263000000001</v>
      </c>
      <c r="F170" s="239"/>
      <c r="G170" s="188" t="str">
        <f t="shared" si="9"/>
        <v/>
      </c>
      <c r="H170" s="236" t="str">
        <f t="shared" si="10"/>
        <v/>
      </c>
      <c r="I170" s="237"/>
    </row>
    <row r="171" spans="1:9">
      <c r="A171" s="232">
        <f t="shared" si="11"/>
        <v>169</v>
      </c>
      <c r="B171" s="233">
        <v>45369</v>
      </c>
      <c r="C171" s="234">
        <v>35.761544999999998</v>
      </c>
      <c r="D171" s="235">
        <v>222.84447144022923</v>
      </c>
      <c r="E171" s="234">
        <f t="shared" si="8"/>
        <v>35.761544999999998</v>
      </c>
      <c r="F171" s="239"/>
      <c r="G171" s="188" t="str">
        <f t="shared" si="9"/>
        <v/>
      </c>
      <c r="H171" s="236" t="str">
        <f t="shared" si="10"/>
        <v/>
      </c>
      <c r="I171" s="237"/>
    </row>
    <row r="172" spans="1:9">
      <c r="A172" s="232">
        <f t="shared" si="11"/>
        <v>170</v>
      </c>
      <c r="B172" s="233">
        <v>45370</v>
      </c>
      <c r="C172" s="234">
        <v>42.875498999999998</v>
      </c>
      <c r="D172" s="235">
        <v>222.84447144022923</v>
      </c>
      <c r="E172" s="234">
        <f t="shared" si="8"/>
        <v>42.875498999999998</v>
      </c>
      <c r="F172" s="239"/>
      <c r="G172" s="188" t="str">
        <f t="shared" si="9"/>
        <v/>
      </c>
      <c r="H172" s="236" t="str">
        <f t="shared" si="10"/>
        <v/>
      </c>
      <c r="I172" s="237"/>
    </row>
    <row r="173" spans="1:9">
      <c r="A173" s="232">
        <f t="shared" si="11"/>
        <v>171</v>
      </c>
      <c r="B173" s="233">
        <v>45371</v>
      </c>
      <c r="C173" s="234">
        <v>129.89415199999999</v>
      </c>
      <c r="D173" s="235">
        <v>222.84447144022923</v>
      </c>
      <c r="E173" s="234">
        <f t="shared" si="8"/>
        <v>129.89415199999999</v>
      </c>
      <c r="F173" s="239"/>
      <c r="G173" s="188" t="str">
        <f t="shared" si="9"/>
        <v/>
      </c>
      <c r="H173" s="236" t="str">
        <f t="shared" si="10"/>
        <v/>
      </c>
      <c r="I173" s="237"/>
    </row>
    <row r="174" spans="1:9">
      <c r="A174" s="232">
        <f t="shared" si="11"/>
        <v>172</v>
      </c>
      <c r="B174" s="233">
        <v>45372</v>
      </c>
      <c r="C174" s="234">
        <v>188.33634900000001</v>
      </c>
      <c r="D174" s="235">
        <v>222.84447144022923</v>
      </c>
      <c r="E174" s="234">
        <f t="shared" si="8"/>
        <v>188.33634900000001</v>
      </c>
      <c r="F174" s="239"/>
      <c r="G174" s="188" t="str">
        <f t="shared" si="9"/>
        <v/>
      </c>
      <c r="H174" s="236" t="str">
        <f t="shared" si="10"/>
        <v/>
      </c>
      <c r="I174" s="237"/>
    </row>
    <row r="175" spans="1:9">
      <c r="A175" s="232">
        <f t="shared" si="11"/>
        <v>173</v>
      </c>
      <c r="B175" s="233">
        <v>45373</v>
      </c>
      <c r="C175" s="234">
        <v>134.00907100000003</v>
      </c>
      <c r="D175" s="235">
        <v>222.84447144022923</v>
      </c>
      <c r="E175" s="234">
        <f t="shared" si="8"/>
        <v>134.00907100000003</v>
      </c>
      <c r="F175" s="239"/>
      <c r="G175" s="188" t="str">
        <f t="shared" si="9"/>
        <v/>
      </c>
      <c r="H175" s="236" t="str">
        <f t="shared" si="10"/>
        <v/>
      </c>
      <c r="I175" s="237"/>
    </row>
    <row r="176" spans="1:9">
      <c r="A176" s="232">
        <f t="shared" si="11"/>
        <v>174</v>
      </c>
      <c r="B176" s="233">
        <v>45374</v>
      </c>
      <c r="C176" s="234">
        <v>252.920299</v>
      </c>
      <c r="D176" s="235">
        <v>222.84447144022923</v>
      </c>
      <c r="E176" s="234">
        <f t="shared" si="8"/>
        <v>222.84447144022923</v>
      </c>
      <c r="F176" s="239"/>
      <c r="G176" s="188" t="str">
        <f t="shared" si="9"/>
        <v/>
      </c>
      <c r="H176" s="236" t="str">
        <f t="shared" si="10"/>
        <v/>
      </c>
      <c r="I176" s="237"/>
    </row>
    <row r="177" spans="1:9">
      <c r="A177" s="232">
        <f t="shared" si="11"/>
        <v>175</v>
      </c>
      <c r="B177" s="233">
        <v>45375</v>
      </c>
      <c r="C177" s="234">
        <v>192.43456699999999</v>
      </c>
      <c r="D177" s="235">
        <v>222.84447144022923</v>
      </c>
      <c r="E177" s="234">
        <f t="shared" si="8"/>
        <v>192.43456699999999</v>
      </c>
      <c r="F177" s="239"/>
      <c r="G177" s="188" t="str">
        <f t="shared" si="9"/>
        <v/>
      </c>
      <c r="H177" s="236" t="str">
        <f t="shared" si="10"/>
        <v/>
      </c>
      <c r="I177" s="237"/>
    </row>
    <row r="178" spans="1:9">
      <c r="A178" s="232">
        <f t="shared" si="11"/>
        <v>176</v>
      </c>
      <c r="B178" s="233">
        <v>45376</v>
      </c>
      <c r="C178" s="234">
        <v>196.87216000000001</v>
      </c>
      <c r="D178" s="235">
        <v>222.84447144022923</v>
      </c>
      <c r="E178" s="234">
        <f t="shared" si="8"/>
        <v>196.87216000000001</v>
      </c>
      <c r="F178" s="239"/>
      <c r="G178" s="188" t="str">
        <f t="shared" si="9"/>
        <v/>
      </c>
      <c r="H178" s="236" t="str">
        <f t="shared" si="10"/>
        <v/>
      </c>
      <c r="I178" s="237"/>
    </row>
    <row r="179" spans="1:9">
      <c r="A179" s="232">
        <f t="shared" si="11"/>
        <v>177</v>
      </c>
      <c r="B179" s="233">
        <v>45377</v>
      </c>
      <c r="C179" s="234">
        <v>260.28339999999997</v>
      </c>
      <c r="D179" s="235">
        <v>222.84447144022923</v>
      </c>
      <c r="E179" s="234">
        <f t="shared" si="8"/>
        <v>222.84447144022923</v>
      </c>
      <c r="F179" s="239"/>
      <c r="G179" s="188" t="str">
        <f t="shared" si="9"/>
        <v/>
      </c>
      <c r="H179" s="236" t="str">
        <f t="shared" si="10"/>
        <v/>
      </c>
      <c r="I179" s="237"/>
    </row>
    <row r="180" spans="1:9">
      <c r="A180" s="232">
        <f t="shared" si="11"/>
        <v>178</v>
      </c>
      <c r="B180" s="233">
        <v>45378</v>
      </c>
      <c r="C180" s="234">
        <v>332.93795499999999</v>
      </c>
      <c r="D180" s="235">
        <v>222.84447144022923</v>
      </c>
      <c r="E180" s="234">
        <f t="shared" si="8"/>
        <v>222.84447144022923</v>
      </c>
      <c r="F180" s="239"/>
      <c r="G180" s="188" t="str">
        <f t="shared" si="9"/>
        <v/>
      </c>
      <c r="H180" s="236" t="str">
        <f t="shared" si="10"/>
        <v/>
      </c>
      <c r="I180" s="237"/>
    </row>
    <row r="181" spans="1:9">
      <c r="A181" s="232">
        <f t="shared" si="11"/>
        <v>179</v>
      </c>
      <c r="B181" s="233">
        <v>45379</v>
      </c>
      <c r="C181" s="234">
        <v>293.16768099999996</v>
      </c>
      <c r="D181" s="235">
        <v>222.84447144022923</v>
      </c>
      <c r="E181" s="234">
        <f t="shared" si="8"/>
        <v>222.84447144022923</v>
      </c>
      <c r="F181" s="239"/>
      <c r="G181" s="188" t="str">
        <f t="shared" si="9"/>
        <v/>
      </c>
      <c r="H181" s="236" t="str">
        <f t="shared" si="10"/>
        <v/>
      </c>
      <c r="I181" s="237"/>
    </row>
    <row r="182" spans="1:9">
      <c r="A182" s="232">
        <f t="shared" si="11"/>
        <v>180</v>
      </c>
      <c r="B182" s="233">
        <v>45380</v>
      </c>
      <c r="C182" s="234">
        <v>208.22990799999999</v>
      </c>
      <c r="D182" s="235">
        <v>222.84447144022923</v>
      </c>
      <c r="E182" s="234">
        <f t="shared" si="8"/>
        <v>208.22990799999999</v>
      </c>
      <c r="F182" s="239"/>
      <c r="G182" s="188" t="str">
        <f t="shared" si="9"/>
        <v/>
      </c>
      <c r="H182" s="236" t="str">
        <f t="shared" si="10"/>
        <v/>
      </c>
      <c r="I182" s="237"/>
    </row>
    <row r="183" spans="1:9">
      <c r="A183" s="232">
        <f t="shared" si="11"/>
        <v>181</v>
      </c>
      <c r="B183" s="233">
        <v>45381</v>
      </c>
      <c r="C183" s="234">
        <v>185.79709800000001</v>
      </c>
      <c r="D183" s="235">
        <v>222.84447144022923</v>
      </c>
      <c r="E183" s="234">
        <f t="shared" si="8"/>
        <v>185.79709800000001</v>
      </c>
      <c r="F183" s="239"/>
      <c r="G183" s="188" t="str">
        <f t="shared" si="9"/>
        <v/>
      </c>
      <c r="H183" s="236" t="str">
        <f t="shared" si="10"/>
        <v/>
      </c>
      <c r="I183" s="237"/>
    </row>
    <row r="184" spans="1:9">
      <c r="A184" s="232">
        <f t="shared" si="11"/>
        <v>182</v>
      </c>
      <c r="B184" s="233">
        <v>45382</v>
      </c>
      <c r="C184" s="234">
        <v>226.96737400000001</v>
      </c>
      <c r="D184" s="235">
        <v>222.84447144022923</v>
      </c>
      <c r="E184" s="234">
        <f t="shared" si="8"/>
        <v>222.84447144022923</v>
      </c>
      <c r="F184" s="239"/>
      <c r="G184" s="188" t="str">
        <f t="shared" si="9"/>
        <v/>
      </c>
      <c r="H184" s="236" t="str">
        <f t="shared" si="10"/>
        <v/>
      </c>
      <c r="I184" s="237"/>
    </row>
    <row r="185" spans="1:9">
      <c r="A185" s="232">
        <f t="shared" si="11"/>
        <v>183</v>
      </c>
      <c r="B185" s="233">
        <v>45383</v>
      </c>
      <c r="C185" s="234">
        <v>223.32941500000001</v>
      </c>
      <c r="D185" s="235">
        <v>177.18158829648888</v>
      </c>
      <c r="E185" s="234">
        <f t="shared" si="8"/>
        <v>177.18158829648888</v>
      </c>
      <c r="F185" s="239"/>
      <c r="G185" s="188" t="str">
        <f t="shared" si="9"/>
        <v/>
      </c>
      <c r="H185" s="236" t="str">
        <f t="shared" si="10"/>
        <v/>
      </c>
      <c r="I185" s="237"/>
    </row>
    <row r="186" spans="1:9">
      <c r="A186" s="232">
        <f t="shared" si="11"/>
        <v>184</v>
      </c>
      <c r="B186" s="233">
        <v>45384</v>
      </c>
      <c r="C186" s="234">
        <v>203.433886</v>
      </c>
      <c r="D186" s="235">
        <v>177.18158829648888</v>
      </c>
      <c r="E186" s="234">
        <f t="shared" si="8"/>
        <v>177.18158829648888</v>
      </c>
      <c r="F186" s="237"/>
      <c r="G186" s="188" t="str">
        <f t="shared" si="9"/>
        <v/>
      </c>
      <c r="H186" s="236" t="str">
        <f t="shared" si="10"/>
        <v/>
      </c>
      <c r="I186" s="237"/>
    </row>
    <row r="187" spans="1:9">
      <c r="A187" s="232">
        <f t="shared" si="11"/>
        <v>185</v>
      </c>
      <c r="B187" s="233">
        <v>45385</v>
      </c>
      <c r="C187" s="234">
        <v>182.48627199999999</v>
      </c>
      <c r="D187" s="235">
        <v>177.18158829648888</v>
      </c>
      <c r="E187" s="234">
        <f t="shared" si="8"/>
        <v>177.18158829648888</v>
      </c>
      <c r="F187" s="239"/>
      <c r="G187" s="188" t="str">
        <f t="shared" si="9"/>
        <v/>
      </c>
      <c r="H187" s="236" t="str">
        <f t="shared" si="10"/>
        <v/>
      </c>
      <c r="I187" s="237"/>
    </row>
    <row r="188" spans="1:9">
      <c r="A188" s="232">
        <f t="shared" si="11"/>
        <v>186</v>
      </c>
      <c r="B188" s="233">
        <v>45386</v>
      </c>
      <c r="C188" s="234">
        <v>136.49796799999999</v>
      </c>
      <c r="D188" s="235">
        <v>177.18158829648888</v>
      </c>
      <c r="E188" s="234">
        <f t="shared" si="8"/>
        <v>136.49796799999999</v>
      </c>
      <c r="F188" s="239"/>
      <c r="G188" s="188" t="str">
        <f t="shared" si="9"/>
        <v/>
      </c>
      <c r="H188" s="236" t="str">
        <f t="shared" si="10"/>
        <v/>
      </c>
      <c r="I188" s="237"/>
    </row>
    <row r="189" spans="1:9">
      <c r="A189" s="232">
        <f t="shared" si="11"/>
        <v>187</v>
      </c>
      <c r="B189" s="233">
        <v>45387</v>
      </c>
      <c r="C189" s="234">
        <v>190.38049799999999</v>
      </c>
      <c r="D189" s="235">
        <v>177.18158829648888</v>
      </c>
      <c r="E189" s="234">
        <f t="shared" si="8"/>
        <v>177.18158829648888</v>
      </c>
      <c r="F189" s="239"/>
      <c r="G189" s="188" t="str">
        <f t="shared" si="9"/>
        <v/>
      </c>
      <c r="H189" s="236" t="str">
        <f t="shared" si="10"/>
        <v/>
      </c>
      <c r="I189" s="237"/>
    </row>
    <row r="190" spans="1:9">
      <c r="A190" s="232">
        <f t="shared" si="11"/>
        <v>188</v>
      </c>
      <c r="B190" s="233">
        <v>45388</v>
      </c>
      <c r="C190" s="234">
        <v>184.798304</v>
      </c>
      <c r="D190" s="235">
        <v>177.18158829648888</v>
      </c>
      <c r="E190" s="234">
        <f t="shared" si="8"/>
        <v>177.18158829648888</v>
      </c>
      <c r="F190" s="239"/>
      <c r="G190" s="188" t="str">
        <f t="shared" si="9"/>
        <v/>
      </c>
      <c r="H190" s="236" t="str">
        <f t="shared" si="10"/>
        <v/>
      </c>
      <c r="I190" s="237"/>
    </row>
    <row r="191" spans="1:9">
      <c r="A191" s="232">
        <f t="shared" si="11"/>
        <v>189</v>
      </c>
      <c r="B191" s="233">
        <v>45389</v>
      </c>
      <c r="C191" s="234">
        <v>88.301966000000007</v>
      </c>
      <c r="D191" s="235">
        <v>177.18158829648888</v>
      </c>
      <c r="E191" s="234">
        <f t="shared" si="8"/>
        <v>88.301966000000007</v>
      </c>
      <c r="F191" s="239"/>
      <c r="G191" s="188" t="str">
        <f t="shared" si="9"/>
        <v/>
      </c>
      <c r="H191" s="236" t="str">
        <f t="shared" si="10"/>
        <v/>
      </c>
      <c r="I191" s="237"/>
    </row>
    <row r="192" spans="1:9">
      <c r="A192" s="232">
        <f t="shared" si="11"/>
        <v>190</v>
      </c>
      <c r="B192" s="233">
        <v>45390</v>
      </c>
      <c r="C192" s="234">
        <v>197.19230999999999</v>
      </c>
      <c r="D192" s="235">
        <v>177.18158829648888</v>
      </c>
      <c r="E192" s="234">
        <f t="shared" si="8"/>
        <v>177.18158829648888</v>
      </c>
      <c r="F192" s="239"/>
      <c r="G192" s="188" t="str">
        <f t="shared" si="9"/>
        <v/>
      </c>
      <c r="H192" s="236" t="str">
        <f t="shared" si="10"/>
        <v/>
      </c>
      <c r="I192" s="237"/>
    </row>
    <row r="193" spans="1:9">
      <c r="A193" s="232">
        <f t="shared" si="11"/>
        <v>191</v>
      </c>
      <c r="B193" s="233">
        <v>45391</v>
      </c>
      <c r="C193" s="234">
        <v>155.13695899999999</v>
      </c>
      <c r="D193" s="235">
        <v>177.18158829648888</v>
      </c>
      <c r="E193" s="234">
        <f t="shared" si="8"/>
        <v>155.13695899999999</v>
      </c>
      <c r="F193" s="239"/>
      <c r="G193" s="188" t="str">
        <f t="shared" si="9"/>
        <v/>
      </c>
      <c r="H193" s="236" t="str">
        <f t="shared" si="10"/>
        <v/>
      </c>
      <c r="I193" s="237"/>
    </row>
    <row r="194" spans="1:9">
      <c r="A194" s="232">
        <f t="shared" si="11"/>
        <v>192</v>
      </c>
      <c r="B194" s="233">
        <v>45392</v>
      </c>
      <c r="C194" s="234">
        <v>144.34957</v>
      </c>
      <c r="D194" s="235">
        <v>177.18158829648888</v>
      </c>
      <c r="E194" s="234">
        <f t="shared" si="8"/>
        <v>144.34957</v>
      </c>
      <c r="F194" s="239"/>
      <c r="G194" s="188" t="str">
        <f t="shared" si="9"/>
        <v/>
      </c>
      <c r="H194" s="236" t="str">
        <f t="shared" si="10"/>
        <v/>
      </c>
      <c r="I194" s="237"/>
    </row>
    <row r="195" spans="1:9">
      <c r="A195" s="232">
        <f t="shared" si="11"/>
        <v>193</v>
      </c>
      <c r="B195" s="233">
        <v>45393</v>
      </c>
      <c r="C195" s="234">
        <v>134.635357</v>
      </c>
      <c r="D195" s="235">
        <v>177.18158829648888</v>
      </c>
      <c r="E195" s="234">
        <f t="shared" ref="E195:E258" si="12">IF(C195&gt;D195,D195,C195)</f>
        <v>134.635357</v>
      </c>
      <c r="F195" s="239"/>
      <c r="G195" s="188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36" t="str">
        <f t="shared" ref="H195:H258" si="14">IF(DAY($B195)=15,TEXT(D195,"#,0"),"")</f>
        <v/>
      </c>
      <c r="I195" s="237"/>
    </row>
    <row r="196" spans="1:9">
      <c r="A196" s="232">
        <f t="shared" ref="A196:A259" si="15">+A195+1</f>
        <v>194</v>
      </c>
      <c r="B196" s="233">
        <v>45394</v>
      </c>
      <c r="C196" s="234">
        <v>57.205264</v>
      </c>
      <c r="D196" s="235">
        <v>177.18158829648888</v>
      </c>
      <c r="E196" s="234">
        <f t="shared" si="12"/>
        <v>57.205264</v>
      </c>
      <c r="F196" s="239"/>
      <c r="G196" s="188" t="str">
        <f t="shared" si="13"/>
        <v/>
      </c>
      <c r="H196" s="236" t="str">
        <f t="shared" si="14"/>
        <v/>
      </c>
      <c r="I196" s="237"/>
    </row>
    <row r="197" spans="1:9">
      <c r="A197" s="232">
        <f t="shared" si="15"/>
        <v>195</v>
      </c>
      <c r="B197" s="233">
        <v>45395</v>
      </c>
      <c r="C197" s="234">
        <v>42.257612999999999</v>
      </c>
      <c r="D197" s="235">
        <v>177.18158829648888</v>
      </c>
      <c r="E197" s="234">
        <f t="shared" si="12"/>
        <v>42.257612999999999</v>
      </c>
      <c r="F197" s="239"/>
      <c r="G197" s="188" t="str">
        <f t="shared" si="13"/>
        <v/>
      </c>
      <c r="H197" s="236" t="str">
        <f t="shared" si="14"/>
        <v/>
      </c>
      <c r="I197" s="237"/>
    </row>
    <row r="198" spans="1:9">
      <c r="A198" s="232">
        <f t="shared" si="15"/>
        <v>196</v>
      </c>
      <c r="B198" s="233">
        <v>45396</v>
      </c>
      <c r="C198" s="234">
        <v>46.413694999999997</v>
      </c>
      <c r="D198" s="235">
        <v>177.18158829648888</v>
      </c>
      <c r="E198" s="234">
        <f t="shared" si="12"/>
        <v>46.413694999999997</v>
      </c>
      <c r="F198" s="239"/>
      <c r="G198" s="188" t="str">
        <f t="shared" si="13"/>
        <v/>
      </c>
      <c r="H198" s="236" t="str">
        <f t="shared" si="14"/>
        <v/>
      </c>
      <c r="I198" s="237"/>
    </row>
    <row r="199" spans="1:9">
      <c r="A199" s="232">
        <f t="shared" si="15"/>
        <v>197</v>
      </c>
      <c r="B199" s="233">
        <v>45397</v>
      </c>
      <c r="C199" s="234">
        <v>141.240396</v>
      </c>
      <c r="D199" s="235">
        <v>177.18158829648888</v>
      </c>
      <c r="E199" s="234">
        <f t="shared" si="12"/>
        <v>141.240396</v>
      </c>
      <c r="F199" s="239"/>
      <c r="G199" s="188" t="str">
        <f t="shared" si="13"/>
        <v>A</v>
      </c>
      <c r="H199" s="236" t="str">
        <f t="shared" si="14"/>
        <v>177,2</v>
      </c>
      <c r="I199" s="237"/>
    </row>
    <row r="200" spans="1:9">
      <c r="A200" s="232">
        <f t="shared" si="15"/>
        <v>198</v>
      </c>
      <c r="B200" s="233">
        <v>45398</v>
      </c>
      <c r="C200" s="234">
        <v>197.10136000000003</v>
      </c>
      <c r="D200" s="235">
        <v>177.18158829648888</v>
      </c>
      <c r="E200" s="234">
        <f t="shared" si="12"/>
        <v>177.18158829648888</v>
      </c>
      <c r="F200" s="239"/>
      <c r="G200" s="188" t="str">
        <f t="shared" si="13"/>
        <v/>
      </c>
      <c r="H200" s="236" t="str">
        <f t="shared" si="14"/>
        <v/>
      </c>
      <c r="I200" s="237"/>
    </row>
    <row r="201" spans="1:9">
      <c r="A201" s="232">
        <f t="shared" si="15"/>
        <v>199</v>
      </c>
      <c r="B201" s="233">
        <v>45399</v>
      </c>
      <c r="C201" s="234">
        <v>210.68524599999998</v>
      </c>
      <c r="D201" s="235">
        <v>177.18158829648888</v>
      </c>
      <c r="E201" s="234">
        <f t="shared" si="12"/>
        <v>177.18158829648888</v>
      </c>
      <c r="F201" s="239"/>
      <c r="G201" s="188" t="str">
        <f t="shared" si="13"/>
        <v/>
      </c>
      <c r="H201" s="236" t="str">
        <f t="shared" si="14"/>
        <v/>
      </c>
      <c r="I201" s="237"/>
    </row>
    <row r="202" spans="1:9">
      <c r="A202" s="232">
        <f t="shared" si="15"/>
        <v>200</v>
      </c>
      <c r="B202" s="233">
        <v>45400</v>
      </c>
      <c r="C202" s="234">
        <v>222.16881000000001</v>
      </c>
      <c r="D202" s="235">
        <v>177.18158829648888</v>
      </c>
      <c r="E202" s="234">
        <f t="shared" si="12"/>
        <v>177.18158829648888</v>
      </c>
      <c r="F202" s="239"/>
      <c r="G202" s="188" t="str">
        <f t="shared" si="13"/>
        <v/>
      </c>
      <c r="H202" s="236" t="str">
        <f t="shared" si="14"/>
        <v/>
      </c>
      <c r="I202" s="237"/>
    </row>
    <row r="203" spans="1:9">
      <c r="A203" s="232">
        <f t="shared" si="15"/>
        <v>201</v>
      </c>
      <c r="B203" s="233">
        <v>45401</v>
      </c>
      <c r="C203" s="234">
        <v>131.74317500000001</v>
      </c>
      <c r="D203" s="235">
        <v>177.18158829648888</v>
      </c>
      <c r="E203" s="234">
        <f t="shared" si="12"/>
        <v>131.74317500000001</v>
      </c>
      <c r="F203" s="239"/>
      <c r="G203" s="188" t="str">
        <f t="shared" si="13"/>
        <v/>
      </c>
      <c r="H203" s="236" t="str">
        <f t="shared" si="14"/>
        <v/>
      </c>
      <c r="I203" s="237"/>
    </row>
    <row r="204" spans="1:9">
      <c r="A204" s="232">
        <f t="shared" si="15"/>
        <v>202</v>
      </c>
      <c r="B204" s="233">
        <v>45402</v>
      </c>
      <c r="C204" s="234">
        <v>186.09048200000001</v>
      </c>
      <c r="D204" s="235">
        <v>177.18158829648888</v>
      </c>
      <c r="E204" s="234">
        <f t="shared" si="12"/>
        <v>177.18158829648888</v>
      </c>
      <c r="F204" s="239"/>
      <c r="G204" s="188" t="str">
        <f t="shared" si="13"/>
        <v/>
      </c>
      <c r="H204" s="236" t="str">
        <f t="shared" si="14"/>
        <v/>
      </c>
      <c r="I204" s="237"/>
    </row>
    <row r="205" spans="1:9">
      <c r="A205" s="232">
        <f t="shared" si="15"/>
        <v>203</v>
      </c>
      <c r="B205" s="233">
        <v>45403</v>
      </c>
      <c r="C205" s="234">
        <v>185.73502099999999</v>
      </c>
      <c r="D205" s="235">
        <v>177.18158829648888</v>
      </c>
      <c r="E205" s="234">
        <f t="shared" si="12"/>
        <v>177.18158829648888</v>
      </c>
      <c r="F205" s="239"/>
      <c r="G205" s="188" t="str">
        <f t="shared" si="13"/>
        <v/>
      </c>
      <c r="H205" s="236" t="str">
        <f t="shared" si="14"/>
        <v/>
      </c>
      <c r="I205" s="237"/>
    </row>
    <row r="206" spans="1:9">
      <c r="A206" s="232">
        <f t="shared" si="15"/>
        <v>204</v>
      </c>
      <c r="B206" s="233">
        <v>45404</v>
      </c>
      <c r="C206" s="234">
        <v>253.281972</v>
      </c>
      <c r="D206" s="235">
        <v>177.18158829648888</v>
      </c>
      <c r="E206" s="234">
        <f t="shared" si="12"/>
        <v>177.18158829648888</v>
      </c>
      <c r="F206" s="239"/>
      <c r="G206" s="188" t="str">
        <f t="shared" si="13"/>
        <v/>
      </c>
      <c r="H206" s="236" t="str">
        <f t="shared" si="14"/>
        <v/>
      </c>
      <c r="I206" s="237"/>
    </row>
    <row r="207" spans="1:9">
      <c r="A207" s="232">
        <f t="shared" si="15"/>
        <v>205</v>
      </c>
      <c r="B207" s="233">
        <v>45405</v>
      </c>
      <c r="C207" s="234">
        <v>233.504029</v>
      </c>
      <c r="D207" s="235">
        <v>177.18158829648888</v>
      </c>
      <c r="E207" s="234">
        <f t="shared" si="12"/>
        <v>177.18158829648888</v>
      </c>
      <c r="F207" s="239"/>
      <c r="G207" s="188" t="str">
        <f t="shared" si="13"/>
        <v/>
      </c>
      <c r="H207" s="236" t="str">
        <f t="shared" si="14"/>
        <v/>
      </c>
      <c r="I207" s="237"/>
    </row>
    <row r="208" spans="1:9">
      <c r="A208" s="232">
        <f t="shared" si="15"/>
        <v>206</v>
      </c>
      <c r="B208" s="233">
        <v>45406</v>
      </c>
      <c r="C208" s="234">
        <v>198.339823</v>
      </c>
      <c r="D208" s="235">
        <v>177.18158829648888</v>
      </c>
      <c r="E208" s="234">
        <f t="shared" si="12"/>
        <v>177.18158829648888</v>
      </c>
      <c r="F208" s="239"/>
      <c r="G208" s="188" t="str">
        <f t="shared" si="13"/>
        <v/>
      </c>
      <c r="H208" s="236" t="str">
        <f t="shared" si="14"/>
        <v/>
      </c>
      <c r="I208" s="237"/>
    </row>
    <row r="209" spans="1:9">
      <c r="A209" s="232">
        <f t="shared" si="15"/>
        <v>207</v>
      </c>
      <c r="B209" s="233">
        <v>45407</v>
      </c>
      <c r="C209" s="234">
        <v>97.932551000000004</v>
      </c>
      <c r="D209" s="235">
        <v>177.18158829648888</v>
      </c>
      <c r="E209" s="234">
        <f t="shared" si="12"/>
        <v>97.932551000000004</v>
      </c>
      <c r="F209" s="239"/>
      <c r="G209" s="188" t="str">
        <f t="shared" si="13"/>
        <v/>
      </c>
      <c r="H209" s="236" t="str">
        <f t="shared" si="14"/>
        <v/>
      </c>
      <c r="I209" s="237"/>
    </row>
    <row r="210" spans="1:9">
      <c r="A210" s="232">
        <f t="shared" si="15"/>
        <v>208</v>
      </c>
      <c r="B210" s="233">
        <v>45408</v>
      </c>
      <c r="C210" s="234">
        <v>103.308204</v>
      </c>
      <c r="D210" s="235">
        <v>177.18158829648888</v>
      </c>
      <c r="E210" s="234">
        <f t="shared" si="12"/>
        <v>103.308204</v>
      </c>
      <c r="F210" s="239"/>
      <c r="G210" s="188" t="str">
        <f t="shared" si="13"/>
        <v/>
      </c>
      <c r="H210" s="236" t="str">
        <f t="shared" si="14"/>
        <v/>
      </c>
      <c r="I210" s="237"/>
    </row>
    <row r="211" spans="1:9">
      <c r="A211" s="232">
        <f t="shared" si="15"/>
        <v>209</v>
      </c>
      <c r="B211" s="233">
        <v>45409</v>
      </c>
      <c r="C211" s="234">
        <v>208.21277900000001</v>
      </c>
      <c r="D211" s="235">
        <v>177.18158829648888</v>
      </c>
      <c r="E211" s="234">
        <f t="shared" si="12"/>
        <v>177.18158829648888</v>
      </c>
      <c r="F211" s="239"/>
      <c r="G211" s="188" t="str">
        <f t="shared" si="13"/>
        <v/>
      </c>
      <c r="H211" s="236" t="str">
        <f t="shared" si="14"/>
        <v/>
      </c>
      <c r="I211" s="237"/>
    </row>
    <row r="212" spans="1:9">
      <c r="A212" s="232">
        <f t="shared" si="15"/>
        <v>210</v>
      </c>
      <c r="B212" s="233">
        <v>45410</v>
      </c>
      <c r="C212" s="234">
        <v>49.425173000000001</v>
      </c>
      <c r="D212" s="235">
        <v>177.18158829648888</v>
      </c>
      <c r="E212" s="234">
        <f t="shared" si="12"/>
        <v>49.425173000000001</v>
      </c>
      <c r="F212" s="239"/>
      <c r="G212" s="188" t="str">
        <f t="shared" si="13"/>
        <v/>
      </c>
      <c r="H212" s="236" t="str">
        <f t="shared" si="14"/>
        <v/>
      </c>
      <c r="I212" s="237"/>
    </row>
    <row r="213" spans="1:9">
      <c r="A213" s="232">
        <f t="shared" si="15"/>
        <v>211</v>
      </c>
      <c r="B213" s="233">
        <v>45411</v>
      </c>
      <c r="C213" s="234">
        <v>79.722092999999987</v>
      </c>
      <c r="D213" s="235">
        <v>177.18158829648888</v>
      </c>
      <c r="E213" s="234">
        <f t="shared" si="12"/>
        <v>79.722092999999987</v>
      </c>
      <c r="F213" s="239"/>
      <c r="G213" s="188" t="str">
        <f t="shared" si="13"/>
        <v/>
      </c>
      <c r="H213" s="236" t="str">
        <f t="shared" si="14"/>
        <v/>
      </c>
      <c r="I213" s="237"/>
    </row>
    <row r="214" spans="1:9">
      <c r="A214" s="232">
        <f t="shared" si="15"/>
        <v>212</v>
      </c>
      <c r="B214" s="233">
        <v>45412</v>
      </c>
      <c r="C214" s="234">
        <v>175.17279000000002</v>
      </c>
      <c r="D214" s="235">
        <v>177.18158829648888</v>
      </c>
      <c r="E214" s="234">
        <f t="shared" si="12"/>
        <v>175.17279000000002</v>
      </c>
      <c r="F214" s="239"/>
      <c r="G214" s="188" t="str">
        <f t="shared" si="13"/>
        <v/>
      </c>
      <c r="H214" s="236" t="str">
        <f t="shared" si="14"/>
        <v/>
      </c>
      <c r="I214" s="237"/>
    </row>
    <row r="215" spans="1:9">
      <c r="A215" s="232">
        <f t="shared" si="15"/>
        <v>213</v>
      </c>
      <c r="B215" s="233">
        <v>45413</v>
      </c>
      <c r="C215" s="234">
        <v>233.35741300000001</v>
      </c>
      <c r="D215" s="235">
        <v>166.6203257805451</v>
      </c>
      <c r="E215" s="234">
        <f t="shared" si="12"/>
        <v>166.6203257805451</v>
      </c>
      <c r="F215" s="239"/>
      <c r="G215" s="188" t="str">
        <f t="shared" si="13"/>
        <v/>
      </c>
      <c r="H215" s="236" t="str">
        <f t="shared" si="14"/>
        <v/>
      </c>
      <c r="I215" s="237"/>
    </row>
    <row r="216" spans="1:9">
      <c r="A216" s="232">
        <f t="shared" si="15"/>
        <v>214</v>
      </c>
      <c r="B216" s="233">
        <v>45414</v>
      </c>
      <c r="C216" s="234">
        <v>229.22431800000001</v>
      </c>
      <c r="D216" s="235">
        <v>166.6203257805451</v>
      </c>
      <c r="E216" s="234">
        <f t="shared" si="12"/>
        <v>166.6203257805451</v>
      </c>
      <c r="F216" s="237"/>
      <c r="G216" s="188" t="str">
        <f t="shared" si="13"/>
        <v/>
      </c>
      <c r="H216" s="236" t="str">
        <f t="shared" si="14"/>
        <v/>
      </c>
      <c r="I216" s="237"/>
    </row>
    <row r="217" spans="1:9">
      <c r="A217" s="232">
        <f t="shared" si="15"/>
        <v>215</v>
      </c>
      <c r="B217" s="233">
        <v>45415</v>
      </c>
      <c r="C217" s="234">
        <v>172.13193200000001</v>
      </c>
      <c r="D217" s="235">
        <v>166.6203257805451</v>
      </c>
      <c r="E217" s="234">
        <f t="shared" si="12"/>
        <v>166.6203257805451</v>
      </c>
      <c r="F217" s="239"/>
      <c r="G217" s="188" t="str">
        <f t="shared" si="13"/>
        <v/>
      </c>
      <c r="H217" s="236" t="str">
        <f t="shared" si="14"/>
        <v/>
      </c>
      <c r="I217" s="237"/>
    </row>
    <row r="218" spans="1:9">
      <c r="A218" s="232">
        <f t="shared" si="15"/>
        <v>216</v>
      </c>
      <c r="B218" s="233">
        <v>45416</v>
      </c>
      <c r="C218" s="234">
        <v>191.382001</v>
      </c>
      <c r="D218" s="235">
        <v>166.6203257805451</v>
      </c>
      <c r="E218" s="234">
        <f t="shared" si="12"/>
        <v>166.6203257805451</v>
      </c>
      <c r="F218" s="239"/>
      <c r="G218" s="188" t="str">
        <f t="shared" si="13"/>
        <v/>
      </c>
      <c r="H218" s="236" t="str">
        <f t="shared" si="14"/>
        <v/>
      </c>
      <c r="I218" s="237"/>
    </row>
    <row r="219" spans="1:9">
      <c r="A219" s="232">
        <f t="shared" si="15"/>
        <v>217</v>
      </c>
      <c r="B219" s="233">
        <v>45417</v>
      </c>
      <c r="C219" s="234">
        <v>161.45757500000002</v>
      </c>
      <c r="D219" s="235">
        <v>166.6203257805451</v>
      </c>
      <c r="E219" s="234">
        <f t="shared" si="12"/>
        <v>161.45757500000002</v>
      </c>
      <c r="F219" s="239"/>
      <c r="G219" s="188" t="str">
        <f t="shared" si="13"/>
        <v/>
      </c>
      <c r="H219" s="236" t="str">
        <f t="shared" si="14"/>
        <v/>
      </c>
      <c r="I219" s="237"/>
    </row>
    <row r="220" spans="1:9">
      <c r="A220" s="232">
        <f t="shared" si="15"/>
        <v>218</v>
      </c>
      <c r="B220" s="233">
        <v>45418</v>
      </c>
      <c r="C220" s="234">
        <v>134.828249</v>
      </c>
      <c r="D220" s="235">
        <v>166.6203257805451</v>
      </c>
      <c r="E220" s="234">
        <f t="shared" si="12"/>
        <v>134.828249</v>
      </c>
      <c r="F220" s="239"/>
      <c r="G220" s="188" t="str">
        <f t="shared" si="13"/>
        <v/>
      </c>
      <c r="H220" s="236" t="str">
        <f t="shared" si="14"/>
        <v/>
      </c>
      <c r="I220" s="237"/>
    </row>
    <row r="221" spans="1:9">
      <c r="A221" s="232">
        <f t="shared" si="15"/>
        <v>219</v>
      </c>
      <c r="B221" s="233">
        <v>45419</v>
      </c>
      <c r="C221" s="234">
        <v>175.97327899999999</v>
      </c>
      <c r="D221" s="235">
        <v>166.6203257805451</v>
      </c>
      <c r="E221" s="234">
        <f t="shared" si="12"/>
        <v>166.6203257805451</v>
      </c>
      <c r="F221" s="239"/>
      <c r="G221" s="188" t="str">
        <f t="shared" si="13"/>
        <v/>
      </c>
      <c r="H221" s="236" t="str">
        <f t="shared" si="14"/>
        <v/>
      </c>
      <c r="I221" s="237"/>
    </row>
    <row r="222" spans="1:9">
      <c r="A222" s="232">
        <f t="shared" si="15"/>
        <v>220</v>
      </c>
      <c r="B222" s="233">
        <v>45420</v>
      </c>
      <c r="C222" s="234">
        <v>179.67409799999999</v>
      </c>
      <c r="D222" s="235">
        <v>166.6203257805451</v>
      </c>
      <c r="E222" s="234">
        <f t="shared" si="12"/>
        <v>166.6203257805451</v>
      </c>
      <c r="F222" s="239"/>
      <c r="G222" s="188" t="str">
        <f t="shared" si="13"/>
        <v/>
      </c>
      <c r="H222" s="236" t="str">
        <f t="shared" si="14"/>
        <v/>
      </c>
      <c r="I222" s="237"/>
    </row>
    <row r="223" spans="1:9">
      <c r="A223" s="232">
        <f t="shared" si="15"/>
        <v>221</v>
      </c>
      <c r="B223" s="233">
        <v>45421</v>
      </c>
      <c r="C223" s="234">
        <v>94.349829999999997</v>
      </c>
      <c r="D223" s="235">
        <v>166.6203257805451</v>
      </c>
      <c r="E223" s="234">
        <f t="shared" si="12"/>
        <v>94.349829999999997</v>
      </c>
      <c r="F223" s="239"/>
      <c r="G223" s="188" t="str">
        <f t="shared" si="13"/>
        <v/>
      </c>
      <c r="H223" s="236" t="str">
        <f t="shared" si="14"/>
        <v/>
      </c>
      <c r="I223" s="237"/>
    </row>
    <row r="224" spans="1:9">
      <c r="A224" s="232">
        <f t="shared" si="15"/>
        <v>222</v>
      </c>
      <c r="B224" s="233">
        <v>45422</v>
      </c>
      <c r="C224" s="234">
        <v>104.52058700000001</v>
      </c>
      <c r="D224" s="235">
        <v>166.6203257805451</v>
      </c>
      <c r="E224" s="234">
        <f t="shared" si="12"/>
        <v>104.52058700000001</v>
      </c>
      <c r="F224" s="239"/>
      <c r="G224" s="188" t="str">
        <f t="shared" si="13"/>
        <v/>
      </c>
      <c r="H224" s="236" t="str">
        <f t="shared" si="14"/>
        <v/>
      </c>
      <c r="I224" s="237"/>
    </row>
    <row r="225" spans="1:9">
      <c r="A225" s="232">
        <f t="shared" si="15"/>
        <v>223</v>
      </c>
      <c r="B225" s="233">
        <v>45423</v>
      </c>
      <c r="C225" s="234">
        <v>111.98720299999999</v>
      </c>
      <c r="D225" s="235">
        <v>166.6203257805451</v>
      </c>
      <c r="E225" s="234">
        <f t="shared" si="12"/>
        <v>111.98720299999999</v>
      </c>
      <c r="F225" s="239"/>
      <c r="G225" s="188" t="str">
        <f t="shared" si="13"/>
        <v/>
      </c>
      <c r="H225" s="236" t="str">
        <f t="shared" si="14"/>
        <v/>
      </c>
      <c r="I225" s="237"/>
    </row>
    <row r="226" spans="1:9">
      <c r="A226" s="232">
        <f t="shared" si="15"/>
        <v>224</v>
      </c>
      <c r="B226" s="233">
        <v>45424</v>
      </c>
      <c r="C226" s="234">
        <v>42.815072000000001</v>
      </c>
      <c r="D226" s="235">
        <v>166.6203257805451</v>
      </c>
      <c r="E226" s="234">
        <f t="shared" si="12"/>
        <v>42.815072000000001</v>
      </c>
      <c r="F226" s="239"/>
      <c r="G226" s="188" t="str">
        <f t="shared" si="13"/>
        <v/>
      </c>
      <c r="H226" s="236" t="str">
        <f t="shared" si="14"/>
        <v/>
      </c>
      <c r="I226" s="237"/>
    </row>
    <row r="227" spans="1:9">
      <c r="A227" s="232">
        <f t="shared" si="15"/>
        <v>225</v>
      </c>
      <c r="B227" s="233">
        <v>45425</v>
      </c>
      <c r="C227" s="234">
        <v>149.357788</v>
      </c>
      <c r="D227" s="235">
        <v>166.6203257805451</v>
      </c>
      <c r="E227" s="234">
        <f t="shared" si="12"/>
        <v>149.357788</v>
      </c>
      <c r="F227" s="239"/>
      <c r="G227" s="188" t="str">
        <f t="shared" si="13"/>
        <v/>
      </c>
      <c r="H227" s="236" t="str">
        <f t="shared" si="14"/>
        <v/>
      </c>
      <c r="I227" s="237"/>
    </row>
    <row r="228" spans="1:9">
      <c r="A228" s="232">
        <f t="shared" si="15"/>
        <v>226</v>
      </c>
      <c r="B228" s="233">
        <v>45426</v>
      </c>
      <c r="C228" s="234">
        <v>219.279246</v>
      </c>
      <c r="D228" s="235">
        <v>166.6203257805451</v>
      </c>
      <c r="E228" s="234">
        <f t="shared" si="12"/>
        <v>166.6203257805451</v>
      </c>
      <c r="F228" s="239"/>
      <c r="G228" s="188" t="str">
        <f t="shared" si="13"/>
        <v/>
      </c>
      <c r="H228" s="236" t="str">
        <f t="shared" si="14"/>
        <v/>
      </c>
      <c r="I228" s="237"/>
    </row>
    <row r="229" spans="1:9">
      <c r="A229" s="232">
        <f t="shared" si="15"/>
        <v>227</v>
      </c>
      <c r="B229" s="233">
        <v>45427</v>
      </c>
      <c r="C229" s="234">
        <v>161.88280700000001</v>
      </c>
      <c r="D229" s="235">
        <v>166.6203257805451</v>
      </c>
      <c r="E229" s="234">
        <f t="shared" si="12"/>
        <v>161.88280700000001</v>
      </c>
      <c r="F229" s="239"/>
      <c r="G229" s="188" t="str">
        <f t="shared" si="13"/>
        <v>M</v>
      </c>
      <c r="H229" s="236" t="str">
        <f t="shared" si="14"/>
        <v>166,6</v>
      </c>
      <c r="I229" s="237"/>
    </row>
    <row r="230" spans="1:9">
      <c r="A230" s="232">
        <f t="shared" si="15"/>
        <v>228</v>
      </c>
      <c r="B230" s="233">
        <v>45428</v>
      </c>
      <c r="C230" s="234">
        <v>151.256146</v>
      </c>
      <c r="D230" s="235">
        <v>166.6203257805451</v>
      </c>
      <c r="E230" s="234">
        <f t="shared" si="12"/>
        <v>151.256146</v>
      </c>
      <c r="F230" s="237"/>
      <c r="G230" s="188" t="str">
        <f t="shared" si="13"/>
        <v/>
      </c>
      <c r="H230" s="236" t="str">
        <f t="shared" si="14"/>
        <v/>
      </c>
      <c r="I230" s="237"/>
    </row>
    <row r="231" spans="1:9">
      <c r="A231" s="232">
        <f t="shared" si="15"/>
        <v>229</v>
      </c>
      <c r="B231" s="233">
        <v>45429</v>
      </c>
      <c r="C231" s="234">
        <v>92.694320000000005</v>
      </c>
      <c r="D231" s="235">
        <v>166.6203257805451</v>
      </c>
      <c r="E231" s="234">
        <f t="shared" si="12"/>
        <v>92.694320000000005</v>
      </c>
      <c r="F231" s="239"/>
      <c r="G231" s="188" t="str">
        <f t="shared" si="13"/>
        <v/>
      </c>
      <c r="H231" s="236" t="str">
        <f t="shared" si="14"/>
        <v/>
      </c>
      <c r="I231" s="237"/>
    </row>
    <row r="232" spans="1:9">
      <c r="A232" s="232">
        <f t="shared" si="15"/>
        <v>230</v>
      </c>
      <c r="B232" s="233">
        <v>45430</v>
      </c>
      <c r="C232" s="234">
        <v>66.203377000000003</v>
      </c>
      <c r="D232" s="235">
        <v>166.6203257805451</v>
      </c>
      <c r="E232" s="234">
        <f t="shared" si="12"/>
        <v>66.203377000000003</v>
      </c>
      <c r="F232" s="239"/>
      <c r="G232" s="188" t="str">
        <f t="shared" si="13"/>
        <v/>
      </c>
      <c r="H232" s="236" t="str">
        <f t="shared" si="14"/>
        <v/>
      </c>
      <c r="I232" s="237"/>
    </row>
    <row r="233" spans="1:9">
      <c r="A233" s="232">
        <f t="shared" si="15"/>
        <v>231</v>
      </c>
      <c r="B233" s="233">
        <v>45431</v>
      </c>
      <c r="C233" s="234">
        <v>59.654917000000005</v>
      </c>
      <c r="D233" s="235">
        <v>166.6203257805451</v>
      </c>
      <c r="E233" s="234">
        <f t="shared" si="12"/>
        <v>59.654917000000005</v>
      </c>
      <c r="F233" s="239"/>
      <c r="G233" s="188" t="str">
        <f t="shared" si="13"/>
        <v/>
      </c>
      <c r="H233" s="236" t="str">
        <f t="shared" si="14"/>
        <v/>
      </c>
      <c r="I233" s="237"/>
    </row>
    <row r="234" spans="1:9">
      <c r="A234" s="232">
        <f t="shared" si="15"/>
        <v>232</v>
      </c>
      <c r="B234" s="233">
        <v>45432</v>
      </c>
      <c r="C234" s="234">
        <v>86.411618000000004</v>
      </c>
      <c r="D234" s="235">
        <v>166.6203257805451</v>
      </c>
      <c r="E234" s="234">
        <f t="shared" si="12"/>
        <v>86.411618000000004</v>
      </c>
      <c r="F234" s="239"/>
      <c r="G234" s="188" t="str">
        <f t="shared" si="13"/>
        <v/>
      </c>
      <c r="H234" s="236" t="str">
        <f t="shared" si="14"/>
        <v/>
      </c>
      <c r="I234" s="237"/>
    </row>
    <row r="235" spans="1:9">
      <c r="A235" s="232">
        <f t="shared" si="15"/>
        <v>233</v>
      </c>
      <c r="B235" s="233">
        <v>45433</v>
      </c>
      <c r="C235" s="234">
        <v>107.22406099999999</v>
      </c>
      <c r="D235" s="235">
        <v>166.6203257805451</v>
      </c>
      <c r="E235" s="234">
        <f t="shared" si="12"/>
        <v>107.22406099999999</v>
      </c>
      <c r="F235" s="239"/>
      <c r="G235" s="188" t="str">
        <f t="shared" si="13"/>
        <v/>
      </c>
      <c r="H235" s="236" t="str">
        <f t="shared" si="14"/>
        <v/>
      </c>
      <c r="I235" s="237"/>
    </row>
    <row r="236" spans="1:9">
      <c r="A236" s="232">
        <f t="shared" si="15"/>
        <v>234</v>
      </c>
      <c r="B236" s="233">
        <v>45434</v>
      </c>
      <c r="C236" s="234">
        <v>106.34951099999999</v>
      </c>
      <c r="D236" s="235">
        <v>166.6203257805451</v>
      </c>
      <c r="E236" s="234">
        <f t="shared" si="12"/>
        <v>106.34951099999999</v>
      </c>
      <c r="F236" s="239"/>
      <c r="G236" s="188" t="str">
        <f t="shared" si="13"/>
        <v/>
      </c>
      <c r="H236" s="236" t="str">
        <f t="shared" si="14"/>
        <v/>
      </c>
      <c r="I236" s="237"/>
    </row>
    <row r="237" spans="1:9">
      <c r="A237" s="232">
        <f t="shared" si="15"/>
        <v>235</v>
      </c>
      <c r="B237" s="233">
        <v>45435</v>
      </c>
      <c r="C237" s="234">
        <v>103.80237099999999</v>
      </c>
      <c r="D237" s="235">
        <v>166.6203257805451</v>
      </c>
      <c r="E237" s="234">
        <f t="shared" si="12"/>
        <v>103.80237099999999</v>
      </c>
      <c r="F237" s="239"/>
      <c r="G237" s="188" t="str">
        <f t="shared" si="13"/>
        <v/>
      </c>
      <c r="H237" s="236" t="str">
        <f t="shared" si="14"/>
        <v/>
      </c>
      <c r="I237" s="237"/>
    </row>
    <row r="238" spans="1:9">
      <c r="A238" s="232">
        <f t="shared" si="15"/>
        <v>236</v>
      </c>
      <c r="B238" s="233">
        <v>45436</v>
      </c>
      <c r="C238" s="234">
        <v>87.500405999999998</v>
      </c>
      <c r="D238" s="235">
        <v>166.6203257805451</v>
      </c>
      <c r="E238" s="234">
        <f t="shared" si="12"/>
        <v>87.500405999999998</v>
      </c>
      <c r="F238" s="239"/>
      <c r="G238" s="188" t="str">
        <f t="shared" si="13"/>
        <v/>
      </c>
      <c r="H238" s="236" t="str">
        <f t="shared" si="14"/>
        <v/>
      </c>
      <c r="I238" s="237"/>
    </row>
    <row r="239" spans="1:9">
      <c r="A239" s="232">
        <f t="shared" si="15"/>
        <v>237</v>
      </c>
      <c r="B239" s="233">
        <v>45437</v>
      </c>
      <c r="C239" s="234">
        <v>90.076833999999991</v>
      </c>
      <c r="D239" s="235">
        <v>166.6203257805451</v>
      </c>
      <c r="E239" s="234">
        <f t="shared" si="12"/>
        <v>90.076833999999991</v>
      </c>
      <c r="F239" s="239"/>
      <c r="G239" s="188" t="str">
        <f t="shared" si="13"/>
        <v/>
      </c>
      <c r="H239" s="236" t="str">
        <f t="shared" si="14"/>
        <v/>
      </c>
      <c r="I239" s="237"/>
    </row>
    <row r="240" spans="1:9">
      <c r="A240" s="232">
        <f t="shared" si="15"/>
        <v>238</v>
      </c>
      <c r="B240" s="233">
        <v>45438</v>
      </c>
      <c r="C240" s="234">
        <v>73.916628000000003</v>
      </c>
      <c r="D240" s="235">
        <v>166.6203257805451</v>
      </c>
      <c r="E240" s="234">
        <f t="shared" si="12"/>
        <v>73.916628000000003</v>
      </c>
      <c r="F240" s="239"/>
      <c r="G240" s="188" t="str">
        <f t="shared" si="13"/>
        <v/>
      </c>
      <c r="H240" s="236" t="str">
        <f t="shared" si="14"/>
        <v/>
      </c>
      <c r="I240" s="237"/>
    </row>
    <row r="241" spans="1:9">
      <c r="A241" s="232">
        <f t="shared" si="15"/>
        <v>239</v>
      </c>
      <c r="B241" s="233">
        <v>45439</v>
      </c>
      <c r="C241" s="234">
        <v>128.985792</v>
      </c>
      <c r="D241" s="235">
        <v>166.6203257805451</v>
      </c>
      <c r="E241" s="234">
        <f t="shared" si="12"/>
        <v>128.985792</v>
      </c>
      <c r="F241" s="239"/>
      <c r="G241" s="188" t="str">
        <f t="shared" si="13"/>
        <v/>
      </c>
      <c r="H241" s="236" t="str">
        <f t="shared" si="14"/>
        <v/>
      </c>
      <c r="I241" s="237"/>
    </row>
    <row r="242" spans="1:9">
      <c r="A242" s="232">
        <f t="shared" si="15"/>
        <v>240</v>
      </c>
      <c r="B242" s="233">
        <v>45440</v>
      </c>
      <c r="C242" s="234">
        <v>95.618361000000007</v>
      </c>
      <c r="D242" s="235">
        <v>166.6203257805451</v>
      </c>
      <c r="E242" s="234">
        <f t="shared" si="12"/>
        <v>95.618361000000007</v>
      </c>
      <c r="F242" s="239"/>
      <c r="G242" s="188" t="str">
        <f t="shared" si="13"/>
        <v/>
      </c>
      <c r="H242" s="236" t="str">
        <f t="shared" si="14"/>
        <v/>
      </c>
      <c r="I242" s="237"/>
    </row>
    <row r="243" spans="1:9">
      <c r="A243" s="232">
        <f t="shared" si="15"/>
        <v>241</v>
      </c>
      <c r="B243" s="233">
        <v>45441</v>
      </c>
      <c r="C243" s="234">
        <v>95.682964000000013</v>
      </c>
      <c r="D243" s="235">
        <v>166.6203257805451</v>
      </c>
      <c r="E243" s="234">
        <f t="shared" si="12"/>
        <v>95.682964000000013</v>
      </c>
      <c r="F243" s="239"/>
      <c r="G243" s="188" t="str">
        <f t="shared" si="13"/>
        <v/>
      </c>
      <c r="H243" s="236" t="str">
        <f t="shared" si="14"/>
        <v/>
      </c>
      <c r="I243" s="237"/>
    </row>
    <row r="244" spans="1:9">
      <c r="A244" s="232">
        <f t="shared" si="15"/>
        <v>242</v>
      </c>
      <c r="B244" s="233">
        <v>45442</v>
      </c>
      <c r="C244" s="234">
        <v>180.70064500000001</v>
      </c>
      <c r="D244" s="235">
        <v>166.6203257805451</v>
      </c>
      <c r="E244" s="234">
        <f t="shared" si="12"/>
        <v>166.6203257805451</v>
      </c>
      <c r="F244" s="239"/>
      <c r="G244" s="188" t="str">
        <f t="shared" si="13"/>
        <v/>
      </c>
      <c r="H244" s="236" t="str">
        <f t="shared" si="14"/>
        <v/>
      </c>
      <c r="I244" s="237"/>
    </row>
    <row r="245" spans="1:9">
      <c r="A245" s="232">
        <f t="shared" si="15"/>
        <v>243</v>
      </c>
      <c r="B245" s="233">
        <v>45443</v>
      </c>
      <c r="C245" s="234">
        <v>264.78673800000001</v>
      </c>
      <c r="D245" s="235">
        <v>166.6203257805451</v>
      </c>
      <c r="E245" s="234">
        <f t="shared" si="12"/>
        <v>166.6203257805451</v>
      </c>
      <c r="F245" s="239"/>
      <c r="G245" s="188" t="str">
        <f t="shared" si="13"/>
        <v/>
      </c>
      <c r="H245" s="236" t="str">
        <f t="shared" si="14"/>
        <v/>
      </c>
      <c r="I245" s="237"/>
    </row>
    <row r="246" spans="1:9">
      <c r="A246" s="232">
        <f t="shared" si="15"/>
        <v>244</v>
      </c>
      <c r="B246" s="233">
        <v>45444</v>
      </c>
      <c r="C246" s="234">
        <v>259.83351999999996</v>
      </c>
      <c r="D246" s="235">
        <v>128.84164464824599</v>
      </c>
      <c r="E246" s="234">
        <f t="shared" si="12"/>
        <v>128.84164464824599</v>
      </c>
      <c r="F246" s="239"/>
      <c r="G246" s="188" t="str">
        <f t="shared" si="13"/>
        <v/>
      </c>
      <c r="H246" s="236" t="str">
        <f t="shared" si="14"/>
        <v/>
      </c>
      <c r="I246" s="237"/>
    </row>
    <row r="247" spans="1:9">
      <c r="A247" s="232">
        <f t="shared" si="15"/>
        <v>245</v>
      </c>
      <c r="B247" s="233">
        <v>45445</v>
      </c>
      <c r="C247" s="234">
        <v>224.0539</v>
      </c>
      <c r="D247" s="235">
        <v>128.84164464824599</v>
      </c>
      <c r="E247" s="234">
        <f t="shared" si="12"/>
        <v>128.84164464824599</v>
      </c>
      <c r="F247" s="237"/>
      <c r="G247" s="188" t="str">
        <f t="shared" si="13"/>
        <v/>
      </c>
      <c r="H247" s="236" t="str">
        <f t="shared" si="14"/>
        <v/>
      </c>
      <c r="I247" s="237"/>
    </row>
    <row r="248" spans="1:9">
      <c r="A248" s="232">
        <f t="shared" si="15"/>
        <v>246</v>
      </c>
      <c r="B248" s="233">
        <v>45446</v>
      </c>
      <c r="C248" s="234">
        <v>186.4083</v>
      </c>
      <c r="D248" s="235">
        <v>128.84164464824599</v>
      </c>
      <c r="E248" s="234">
        <f t="shared" si="12"/>
        <v>128.84164464824599</v>
      </c>
      <c r="F248" s="239"/>
      <c r="G248" s="188" t="str">
        <f t="shared" si="13"/>
        <v/>
      </c>
      <c r="H248" s="236" t="str">
        <f t="shared" si="14"/>
        <v/>
      </c>
      <c r="I248" s="237"/>
    </row>
    <row r="249" spans="1:9">
      <c r="A249" s="232">
        <f t="shared" si="15"/>
        <v>247</v>
      </c>
      <c r="B249" s="233">
        <v>45447</v>
      </c>
      <c r="C249" s="234">
        <v>66.230172999999994</v>
      </c>
      <c r="D249" s="235">
        <v>128.84164464824599</v>
      </c>
      <c r="E249" s="234">
        <f t="shared" si="12"/>
        <v>66.230172999999994</v>
      </c>
      <c r="F249" s="239"/>
      <c r="G249" s="188" t="str">
        <f t="shared" si="13"/>
        <v/>
      </c>
      <c r="H249" s="236" t="str">
        <f t="shared" si="14"/>
        <v/>
      </c>
      <c r="I249" s="237"/>
    </row>
    <row r="250" spans="1:9">
      <c r="A250" s="232">
        <f t="shared" si="15"/>
        <v>248</v>
      </c>
      <c r="B250" s="233">
        <v>45448</v>
      </c>
      <c r="C250" s="234">
        <v>69.742851999999999</v>
      </c>
      <c r="D250" s="235">
        <v>128.84164464824599</v>
      </c>
      <c r="E250" s="234">
        <f t="shared" si="12"/>
        <v>69.742851999999999</v>
      </c>
      <c r="F250" s="239"/>
      <c r="G250" s="188" t="str">
        <f t="shared" si="13"/>
        <v/>
      </c>
      <c r="H250" s="236" t="str">
        <f t="shared" si="14"/>
        <v/>
      </c>
      <c r="I250" s="237"/>
    </row>
    <row r="251" spans="1:9">
      <c r="A251" s="232">
        <f t="shared" si="15"/>
        <v>249</v>
      </c>
      <c r="B251" s="233">
        <v>45449</v>
      </c>
      <c r="C251" s="234">
        <v>157.81811300000001</v>
      </c>
      <c r="D251" s="235">
        <v>128.84164464824599</v>
      </c>
      <c r="E251" s="234">
        <f t="shared" si="12"/>
        <v>128.84164464824599</v>
      </c>
      <c r="F251" s="239"/>
      <c r="G251" s="188" t="str">
        <f t="shared" si="13"/>
        <v/>
      </c>
      <c r="H251" s="236" t="str">
        <f t="shared" si="14"/>
        <v/>
      </c>
      <c r="I251" s="237"/>
    </row>
    <row r="252" spans="1:9">
      <c r="A252" s="232">
        <f t="shared" si="15"/>
        <v>250</v>
      </c>
      <c r="B252" s="233">
        <v>45450</v>
      </c>
      <c r="C252" s="234">
        <v>202.68652</v>
      </c>
      <c r="D252" s="235">
        <v>128.84164464824599</v>
      </c>
      <c r="E252" s="234">
        <f t="shared" si="12"/>
        <v>128.84164464824599</v>
      </c>
      <c r="F252" s="239"/>
      <c r="G252" s="188" t="str">
        <f t="shared" si="13"/>
        <v/>
      </c>
      <c r="H252" s="236" t="str">
        <f t="shared" si="14"/>
        <v/>
      </c>
      <c r="I252" s="237"/>
    </row>
    <row r="253" spans="1:9">
      <c r="A253" s="232">
        <f t="shared" si="15"/>
        <v>251</v>
      </c>
      <c r="B253" s="233">
        <v>45451</v>
      </c>
      <c r="C253" s="234">
        <v>166.63429199999999</v>
      </c>
      <c r="D253" s="235">
        <v>128.84164464824599</v>
      </c>
      <c r="E253" s="234">
        <f t="shared" si="12"/>
        <v>128.84164464824599</v>
      </c>
      <c r="F253" s="239"/>
      <c r="G253" s="188" t="str">
        <f t="shared" si="13"/>
        <v/>
      </c>
      <c r="H253" s="236" t="str">
        <f t="shared" si="14"/>
        <v/>
      </c>
      <c r="I253" s="237"/>
    </row>
    <row r="254" spans="1:9">
      <c r="A254" s="232">
        <f t="shared" si="15"/>
        <v>252</v>
      </c>
      <c r="B254" s="233">
        <v>45452</v>
      </c>
      <c r="C254" s="234">
        <v>241.083168</v>
      </c>
      <c r="D254" s="235">
        <v>128.84164464824599</v>
      </c>
      <c r="E254" s="234">
        <f t="shared" si="12"/>
        <v>128.84164464824599</v>
      </c>
      <c r="F254" s="239"/>
      <c r="G254" s="188" t="str">
        <f t="shared" si="13"/>
        <v/>
      </c>
      <c r="H254" s="236" t="str">
        <f t="shared" si="14"/>
        <v/>
      </c>
      <c r="I254" s="237"/>
    </row>
    <row r="255" spans="1:9">
      <c r="A255" s="232">
        <f t="shared" si="15"/>
        <v>253</v>
      </c>
      <c r="B255" s="233">
        <v>45453</v>
      </c>
      <c r="C255" s="234">
        <v>220.85818700000002</v>
      </c>
      <c r="D255" s="235">
        <v>128.84164464824599</v>
      </c>
      <c r="E255" s="234">
        <f t="shared" si="12"/>
        <v>128.84164464824599</v>
      </c>
      <c r="F255" s="239"/>
      <c r="G255" s="188" t="str">
        <f t="shared" si="13"/>
        <v/>
      </c>
      <c r="H255" s="236" t="str">
        <f t="shared" si="14"/>
        <v/>
      </c>
      <c r="I255" s="237"/>
    </row>
    <row r="256" spans="1:9">
      <c r="A256" s="232">
        <f t="shared" si="15"/>
        <v>254</v>
      </c>
      <c r="B256" s="233">
        <v>45454</v>
      </c>
      <c r="C256" s="234">
        <v>177.21823799999999</v>
      </c>
      <c r="D256" s="235">
        <v>128.84164464824599</v>
      </c>
      <c r="E256" s="234">
        <f t="shared" si="12"/>
        <v>128.84164464824599</v>
      </c>
      <c r="F256" s="239"/>
      <c r="G256" s="188" t="str">
        <f t="shared" si="13"/>
        <v/>
      </c>
      <c r="H256" s="236" t="str">
        <f t="shared" si="14"/>
        <v/>
      </c>
      <c r="I256" s="237"/>
    </row>
    <row r="257" spans="1:9">
      <c r="A257" s="232">
        <f t="shared" si="15"/>
        <v>255</v>
      </c>
      <c r="B257" s="233">
        <v>45455</v>
      </c>
      <c r="C257" s="234">
        <v>178.976552</v>
      </c>
      <c r="D257" s="235">
        <v>128.84164464824599</v>
      </c>
      <c r="E257" s="234">
        <f t="shared" si="12"/>
        <v>128.84164464824599</v>
      </c>
      <c r="F257" s="239"/>
      <c r="G257" s="188" t="str">
        <f t="shared" si="13"/>
        <v/>
      </c>
      <c r="H257" s="236" t="str">
        <f t="shared" si="14"/>
        <v/>
      </c>
      <c r="I257" s="237"/>
    </row>
    <row r="258" spans="1:9">
      <c r="A258" s="232">
        <f t="shared" si="15"/>
        <v>256</v>
      </c>
      <c r="B258" s="233">
        <v>45456</v>
      </c>
      <c r="C258" s="234">
        <v>100.22699300000001</v>
      </c>
      <c r="D258" s="235">
        <v>128.84164464824599</v>
      </c>
      <c r="E258" s="234">
        <f t="shared" si="12"/>
        <v>100.22699300000001</v>
      </c>
      <c r="F258" s="239"/>
      <c r="G258" s="188" t="str">
        <f t="shared" si="13"/>
        <v/>
      </c>
      <c r="H258" s="236" t="str">
        <f t="shared" si="14"/>
        <v/>
      </c>
      <c r="I258" s="237"/>
    </row>
    <row r="259" spans="1:9">
      <c r="A259" s="232">
        <f t="shared" si="15"/>
        <v>257</v>
      </c>
      <c r="B259" s="233">
        <v>45457</v>
      </c>
      <c r="C259" s="234">
        <v>152.37786499999999</v>
      </c>
      <c r="D259" s="235">
        <v>128.84164464824599</v>
      </c>
      <c r="E259" s="234">
        <f t="shared" ref="E259:E322" si="16">IF(C259&gt;D259,D259,C259)</f>
        <v>128.84164464824599</v>
      </c>
      <c r="F259" s="239"/>
      <c r="G259" s="188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36" t="str">
        <f t="shared" ref="H259:H322" si="18">IF(DAY($B259)=15,TEXT(D259,"#,0"),"")</f>
        <v/>
      </c>
      <c r="I259" s="237"/>
    </row>
    <row r="260" spans="1:9">
      <c r="A260" s="232">
        <f t="shared" ref="A260:A323" si="19">+A259+1</f>
        <v>258</v>
      </c>
      <c r="B260" s="233">
        <v>45458</v>
      </c>
      <c r="C260" s="234">
        <v>130.59935200000001</v>
      </c>
      <c r="D260" s="235">
        <v>128.84164464824599</v>
      </c>
      <c r="E260" s="234">
        <f t="shared" si="16"/>
        <v>128.84164464824599</v>
      </c>
      <c r="F260" s="239"/>
      <c r="G260" s="188" t="str">
        <f t="shared" si="17"/>
        <v>J</v>
      </c>
      <c r="H260" s="236" t="str">
        <f t="shared" si="18"/>
        <v>128,8</v>
      </c>
      <c r="I260" s="237"/>
    </row>
    <row r="261" spans="1:9">
      <c r="A261" s="232">
        <f t="shared" si="19"/>
        <v>259</v>
      </c>
      <c r="B261" s="233">
        <v>45459</v>
      </c>
      <c r="C261" s="234">
        <v>93.94324499999999</v>
      </c>
      <c r="D261" s="235">
        <v>128.84164464824599</v>
      </c>
      <c r="E261" s="234">
        <f t="shared" si="16"/>
        <v>93.94324499999999</v>
      </c>
      <c r="G261" s="188" t="str">
        <f t="shared" si="17"/>
        <v/>
      </c>
      <c r="H261" s="236" t="str">
        <f t="shared" si="18"/>
        <v/>
      </c>
      <c r="I261" s="237"/>
    </row>
    <row r="262" spans="1:9">
      <c r="A262" s="232">
        <f t="shared" si="19"/>
        <v>260</v>
      </c>
      <c r="B262" s="233">
        <v>45460</v>
      </c>
      <c r="C262" s="234">
        <v>140.66970200000003</v>
      </c>
      <c r="D262" s="235">
        <v>128.84164464824599</v>
      </c>
      <c r="E262" s="234">
        <f t="shared" si="16"/>
        <v>128.84164464824599</v>
      </c>
      <c r="F262" s="239"/>
      <c r="G262" s="188" t="str">
        <f t="shared" si="17"/>
        <v/>
      </c>
      <c r="H262" s="236" t="str">
        <f t="shared" si="18"/>
        <v/>
      </c>
      <c r="I262" s="237"/>
    </row>
    <row r="263" spans="1:9">
      <c r="A263" s="232">
        <f t="shared" si="19"/>
        <v>261</v>
      </c>
      <c r="B263" s="233">
        <v>45461</v>
      </c>
      <c r="C263" s="234">
        <v>132.59820000000002</v>
      </c>
      <c r="D263" s="235">
        <v>128.84164464824599</v>
      </c>
      <c r="E263" s="234">
        <f t="shared" si="16"/>
        <v>128.84164464824599</v>
      </c>
      <c r="F263" s="239"/>
      <c r="G263" s="188" t="str">
        <f t="shared" si="17"/>
        <v/>
      </c>
      <c r="H263" s="236" t="str">
        <f t="shared" si="18"/>
        <v/>
      </c>
      <c r="I263" s="237"/>
    </row>
    <row r="264" spans="1:9">
      <c r="A264" s="232">
        <f t="shared" si="19"/>
        <v>262</v>
      </c>
      <c r="B264" s="233">
        <v>45462</v>
      </c>
      <c r="C264" s="234">
        <v>93.237751999999986</v>
      </c>
      <c r="D264" s="235">
        <v>128.84164464824599</v>
      </c>
      <c r="E264" s="234">
        <f t="shared" si="16"/>
        <v>93.237751999999986</v>
      </c>
      <c r="F264" s="239"/>
      <c r="G264" s="188" t="str">
        <f t="shared" si="17"/>
        <v/>
      </c>
      <c r="H264" s="236" t="str">
        <f t="shared" si="18"/>
        <v/>
      </c>
      <c r="I264" s="237"/>
    </row>
    <row r="265" spans="1:9">
      <c r="A265" s="232">
        <f t="shared" si="19"/>
        <v>263</v>
      </c>
      <c r="B265" s="233">
        <v>45463</v>
      </c>
      <c r="C265" s="234">
        <v>138.92069900000001</v>
      </c>
      <c r="D265" s="235">
        <v>128.84164464824599</v>
      </c>
      <c r="E265" s="234">
        <f t="shared" si="16"/>
        <v>128.84164464824599</v>
      </c>
      <c r="F265" s="239"/>
      <c r="G265" s="188" t="str">
        <f t="shared" si="17"/>
        <v/>
      </c>
      <c r="H265" s="236" t="str">
        <f t="shared" si="18"/>
        <v/>
      </c>
      <c r="I265" s="237"/>
    </row>
    <row r="266" spans="1:9">
      <c r="A266" s="232">
        <f t="shared" si="19"/>
        <v>264</v>
      </c>
      <c r="B266" s="233">
        <v>45464</v>
      </c>
      <c r="C266" s="234">
        <v>73.637070000000008</v>
      </c>
      <c r="D266" s="235">
        <v>128.84164464824599</v>
      </c>
      <c r="E266" s="234">
        <f t="shared" si="16"/>
        <v>73.637070000000008</v>
      </c>
      <c r="F266" s="239"/>
      <c r="G266" s="188" t="str">
        <f t="shared" si="17"/>
        <v/>
      </c>
      <c r="H266" s="236" t="str">
        <f t="shared" si="18"/>
        <v/>
      </c>
      <c r="I266" s="237"/>
    </row>
    <row r="267" spans="1:9">
      <c r="A267" s="232">
        <f t="shared" si="19"/>
        <v>265</v>
      </c>
      <c r="B267" s="233">
        <v>45465</v>
      </c>
      <c r="C267" s="234">
        <v>103.73947600000001</v>
      </c>
      <c r="D267" s="235">
        <v>128.84164464824599</v>
      </c>
      <c r="E267" s="234">
        <f t="shared" si="16"/>
        <v>103.73947600000001</v>
      </c>
      <c r="F267" s="239"/>
      <c r="G267" s="188" t="str">
        <f t="shared" si="17"/>
        <v/>
      </c>
      <c r="H267" s="236" t="str">
        <f t="shared" si="18"/>
        <v/>
      </c>
      <c r="I267" s="237"/>
    </row>
    <row r="268" spans="1:9">
      <c r="A268" s="232">
        <f t="shared" si="19"/>
        <v>266</v>
      </c>
      <c r="B268" s="233">
        <v>45466</v>
      </c>
      <c r="C268" s="234">
        <v>148.17534900000001</v>
      </c>
      <c r="D268" s="235">
        <v>128.84164464824599</v>
      </c>
      <c r="E268" s="234">
        <f t="shared" si="16"/>
        <v>128.84164464824599</v>
      </c>
      <c r="F268" s="239"/>
      <c r="G268" s="188" t="str">
        <f t="shared" si="17"/>
        <v/>
      </c>
      <c r="H268" s="236" t="str">
        <f t="shared" si="18"/>
        <v/>
      </c>
      <c r="I268" s="237"/>
    </row>
    <row r="269" spans="1:9">
      <c r="A269" s="232">
        <f t="shared" si="19"/>
        <v>267</v>
      </c>
      <c r="B269" s="233">
        <v>45467</v>
      </c>
      <c r="C269" s="234">
        <v>124.193652</v>
      </c>
      <c r="D269" s="235">
        <v>128.84164464824599</v>
      </c>
      <c r="E269" s="234">
        <f t="shared" si="16"/>
        <v>124.193652</v>
      </c>
      <c r="F269" s="239"/>
      <c r="G269" s="188" t="str">
        <f t="shared" si="17"/>
        <v/>
      </c>
      <c r="H269" s="236" t="str">
        <f t="shared" si="18"/>
        <v/>
      </c>
      <c r="I269" s="237"/>
    </row>
    <row r="270" spans="1:9">
      <c r="A270" s="232">
        <f t="shared" si="19"/>
        <v>268</v>
      </c>
      <c r="B270" s="233">
        <v>45468</v>
      </c>
      <c r="C270" s="234">
        <v>93.912762000000001</v>
      </c>
      <c r="D270" s="235">
        <v>128.84164464824599</v>
      </c>
      <c r="E270" s="234">
        <f t="shared" si="16"/>
        <v>93.912762000000001</v>
      </c>
      <c r="F270" s="239"/>
      <c r="G270" s="188" t="str">
        <f t="shared" si="17"/>
        <v/>
      </c>
      <c r="H270" s="236" t="str">
        <f t="shared" si="18"/>
        <v/>
      </c>
      <c r="I270" s="237"/>
    </row>
    <row r="271" spans="1:9">
      <c r="A271" s="232">
        <f t="shared" si="19"/>
        <v>269</v>
      </c>
      <c r="B271" s="233">
        <v>45469</v>
      </c>
      <c r="C271" s="234">
        <v>118.845916</v>
      </c>
      <c r="D271" s="235">
        <v>128.84164464824599</v>
      </c>
      <c r="E271" s="234">
        <f t="shared" si="16"/>
        <v>118.845916</v>
      </c>
      <c r="F271" s="239"/>
      <c r="G271" s="188" t="str">
        <f t="shared" si="17"/>
        <v/>
      </c>
      <c r="H271" s="236" t="str">
        <f t="shared" si="18"/>
        <v/>
      </c>
      <c r="I271" s="237"/>
    </row>
    <row r="272" spans="1:9">
      <c r="A272" s="232">
        <f t="shared" si="19"/>
        <v>270</v>
      </c>
      <c r="B272" s="233">
        <v>45470</v>
      </c>
      <c r="C272" s="234">
        <v>130.9426</v>
      </c>
      <c r="D272" s="235">
        <v>128.84164464824599</v>
      </c>
      <c r="E272" s="234">
        <f t="shared" si="16"/>
        <v>128.84164464824599</v>
      </c>
      <c r="F272" s="239"/>
      <c r="G272" s="188" t="str">
        <f t="shared" si="17"/>
        <v/>
      </c>
      <c r="H272" s="236" t="str">
        <f t="shared" si="18"/>
        <v/>
      </c>
      <c r="I272" s="237"/>
    </row>
    <row r="273" spans="1:9">
      <c r="A273" s="232">
        <f t="shared" si="19"/>
        <v>271</v>
      </c>
      <c r="B273" s="233">
        <v>45471</v>
      </c>
      <c r="C273" s="234">
        <v>185.431545</v>
      </c>
      <c r="D273" s="235">
        <v>128.84164464824599</v>
      </c>
      <c r="E273" s="234">
        <f t="shared" si="16"/>
        <v>128.84164464824599</v>
      </c>
      <c r="F273" s="239"/>
      <c r="G273" s="188" t="str">
        <f t="shared" si="17"/>
        <v/>
      </c>
      <c r="H273" s="236" t="str">
        <f t="shared" si="18"/>
        <v/>
      </c>
      <c r="I273" s="237"/>
    </row>
    <row r="274" spans="1:9">
      <c r="A274" s="232">
        <f t="shared" si="19"/>
        <v>272</v>
      </c>
      <c r="B274" s="233">
        <v>45472</v>
      </c>
      <c r="C274" s="234">
        <v>156.818172</v>
      </c>
      <c r="D274" s="235">
        <v>128.84164464824599</v>
      </c>
      <c r="E274" s="234">
        <f t="shared" si="16"/>
        <v>128.84164464824599</v>
      </c>
      <c r="F274" s="239"/>
      <c r="G274" s="188" t="str">
        <f t="shared" si="17"/>
        <v/>
      </c>
      <c r="H274" s="236" t="str">
        <f t="shared" si="18"/>
        <v/>
      </c>
      <c r="I274" s="237"/>
    </row>
    <row r="275" spans="1:9">
      <c r="A275" s="232">
        <f t="shared" si="19"/>
        <v>273</v>
      </c>
      <c r="B275" s="233">
        <v>45473</v>
      </c>
      <c r="C275" s="234">
        <v>56.954242000000008</v>
      </c>
      <c r="D275" s="235">
        <v>128.84164464824599</v>
      </c>
      <c r="E275" s="234">
        <f t="shared" si="16"/>
        <v>56.954242000000008</v>
      </c>
      <c r="F275" s="239"/>
      <c r="G275" s="188" t="str">
        <f t="shared" si="17"/>
        <v/>
      </c>
      <c r="H275" s="236" t="str">
        <f t="shared" si="18"/>
        <v/>
      </c>
      <c r="I275" s="237"/>
    </row>
    <row r="276" spans="1:9">
      <c r="A276" s="232">
        <f t="shared" si="19"/>
        <v>274</v>
      </c>
      <c r="B276" s="233">
        <v>45474</v>
      </c>
      <c r="C276" s="234">
        <v>183.07220500000003</v>
      </c>
      <c r="D276" s="235">
        <v>138.50778519321111</v>
      </c>
      <c r="E276" s="234">
        <f t="shared" si="16"/>
        <v>138.50778519321111</v>
      </c>
      <c r="F276" s="239"/>
      <c r="G276" s="188" t="str">
        <f t="shared" si="17"/>
        <v/>
      </c>
      <c r="H276" s="236" t="str">
        <f t="shared" si="18"/>
        <v/>
      </c>
      <c r="I276" s="237"/>
    </row>
    <row r="277" spans="1:9">
      <c r="A277" s="232">
        <f t="shared" si="19"/>
        <v>275</v>
      </c>
      <c r="B277" s="233">
        <v>45475</v>
      </c>
      <c r="C277" s="234">
        <v>180.22424699999999</v>
      </c>
      <c r="D277" s="235">
        <v>138.50778519321111</v>
      </c>
      <c r="E277" s="234">
        <f t="shared" si="16"/>
        <v>138.50778519321111</v>
      </c>
      <c r="F277" s="237"/>
      <c r="G277" s="188" t="str">
        <f t="shared" si="17"/>
        <v/>
      </c>
      <c r="H277" s="236" t="str">
        <f t="shared" si="18"/>
        <v/>
      </c>
      <c r="I277" s="237"/>
    </row>
    <row r="278" spans="1:9">
      <c r="A278" s="232">
        <f t="shared" si="19"/>
        <v>276</v>
      </c>
      <c r="B278" s="233">
        <v>45476</v>
      </c>
      <c r="C278" s="234">
        <v>139.905495</v>
      </c>
      <c r="D278" s="235">
        <v>138.50778519321111</v>
      </c>
      <c r="E278" s="234">
        <f t="shared" si="16"/>
        <v>138.50778519321111</v>
      </c>
      <c r="F278" s="239"/>
      <c r="G278" s="188" t="str">
        <f t="shared" si="17"/>
        <v/>
      </c>
      <c r="H278" s="236" t="str">
        <f t="shared" si="18"/>
        <v/>
      </c>
      <c r="I278" s="237"/>
    </row>
    <row r="279" spans="1:9">
      <c r="A279" s="232">
        <f t="shared" si="19"/>
        <v>277</v>
      </c>
      <c r="B279" s="233">
        <v>45477</v>
      </c>
      <c r="C279" s="234">
        <v>140.02259599999999</v>
      </c>
      <c r="D279" s="235">
        <v>138.50778519321111</v>
      </c>
      <c r="E279" s="234">
        <f t="shared" si="16"/>
        <v>138.50778519321111</v>
      </c>
      <c r="F279" s="239"/>
      <c r="G279" s="188" t="str">
        <f t="shared" si="17"/>
        <v/>
      </c>
      <c r="H279" s="236" t="str">
        <f t="shared" si="18"/>
        <v/>
      </c>
      <c r="I279" s="237"/>
    </row>
    <row r="280" spans="1:9">
      <c r="A280" s="232">
        <f t="shared" si="19"/>
        <v>278</v>
      </c>
      <c r="B280" s="233">
        <v>45478</v>
      </c>
      <c r="C280" s="234">
        <v>150.14626499999997</v>
      </c>
      <c r="D280" s="235">
        <v>138.50778519321111</v>
      </c>
      <c r="E280" s="234">
        <f t="shared" si="16"/>
        <v>138.50778519321111</v>
      </c>
      <c r="F280" s="239"/>
      <c r="G280" s="188" t="str">
        <f t="shared" si="17"/>
        <v/>
      </c>
      <c r="H280" s="236" t="str">
        <f t="shared" si="18"/>
        <v/>
      </c>
      <c r="I280" s="237"/>
    </row>
    <row r="281" spans="1:9">
      <c r="A281" s="232">
        <f t="shared" si="19"/>
        <v>279</v>
      </c>
      <c r="B281" s="233">
        <v>45479</v>
      </c>
      <c r="C281" s="234">
        <v>153.765837</v>
      </c>
      <c r="D281" s="235">
        <v>138.50778519321111</v>
      </c>
      <c r="E281" s="234">
        <f t="shared" si="16"/>
        <v>138.50778519321111</v>
      </c>
      <c r="F281" s="239"/>
      <c r="G281" s="188" t="str">
        <f t="shared" si="17"/>
        <v/>
      </c>
      <c r="H281" s="236" t="str">
        <f t="shared" si="18"/>
        <v/>
      </c>
      <c r="I281" s="237"/>
    </row>
    <row r="282" spans="1:9">
      <c r="A282" s="232">
        <f t="shared" si="19"/>
        <v>280</v>
      </c>
      <c r="B282" s="233">
        <v>45480</v>
      </c>
      <c r="C282" s="234">
        <v>92.287915999999996</v>
      </c>
      <c r="D282" s="235">
        <v>138.50778519321111</v>
      </c>
      <c r="E282" s="234">
        <f t="shared" si="16"/>
        <v>92.287915999999996</v>
      </c>
      <c r="F282" s="239"/>
      <c r="G282" s="188" t="str">
        <f t="shared" si="17"/>
        <v/>
      </c>
      <c r="H282" s="236" t="str">
        <f t="shared" si="18"/>
        <v/>
      </c>
      <c r="I282" s="237"/>
    </row>
    <row r="283" spans="1:9">
      <c r="A283" s="232">
        <f t="shared" si="19"/>
        <v>281</v>
      </c>
      <c r="B283" s="233">
        <v>45481</v>
      </c>
      <c r="C283" s="234">
        <v>129.90347700000001</v>
      </c>
      <c r="D283" s="235">
        <v>138.50778519321111</v>
      </c>
      <c r="E283" s="234">
        <f t="shared" si="16"/>
        <v>129.90347700000001</v>
      </c>
      <c r="F283" s="239"/>
      <c r="G283" s="188" t="str">
        <f t="shared" si="17"/>
        <v/>
      </c>
      <c r="H283" s="236" t="str">
        <f t="shared" si="18"/>
        <v/>
      </c>
      <c r="I283" s="237"/>
    </row>
    <row r="284" spans="1:9">
      <c r="A284" s="232">
        <f t="shared" si="19"/>
        <v>282</v>
      </c>
      <c r="B284" s="233">
        <v>45482</v>
      </c>
      <c r="C284" s="234">
        <v>135.30928999999998</v>
      </c>
      <c r="D284" s="235">
        <v>138.50778519321111</v>
      </c>
      <c r="E284" s="234">
        <f t="shared" si="16"/>
        <v>135.30928999999998</v>
      </c>
      <c r="F284" s="239"/>
      <c r="G284" s="188" t="str">
        <f t="shared" si="17"/>
        <v/>
      </c>
      <c r="H284" s="236" t="str">
        <f t="shared" si="18"/>
        <v/>
      </c>
      <c r="I284" s="237"/>
    </row>
    <row r="285" spans="1:9">
      <c r="A285" s="232">
        <f t="shared" si="19"/>
        <v>283</v>
      </c>
      <c r="B285" s="233">
        <v>45483</v>
      </c>
      <c r="C285" s="234">
        <v>68.314876999999996</v>
      </c>
      <c r="D285" s="235">
        <v>138.50778519321111</v>
      </c>
      <c r="E285" s="234">
        <f t="shared" si="16"/>
        <v>68.314876999999996</v>
      </c>
      <c r="F285" s="239"/>
      <c r="G285" s="188" t="str">
        <f t="shared" si="17"/>
        <v/>
      </c>
      <c r="H285" s="236" t="str">
        <f t="shared" si="18"/>
        <v/>
      </c>
      <c r="I285" s="237"/>
    </row>
    <row r="286" spans="1:9">
      <c r="A286" s="232">
        <f t="shared" si="19"/>
        <v>284</v>
      </c>
      <c r="B286" s="233">
        <v>45484</v>
      </c>
      <c r="C286" s="234">
        <v>124.845597</v>
      </c>
      <c r="D286" s="235">
        <v>138.50778519321111</v>
      </c>
      <c r="E286" s="234">
        <f t="shared" si="16"/>
        <v>124.845597</v>
      </c>
      <c r="F286" s="239"/>
      <c r="G286" s="188" t="str">
        <f t="shared" si="17"/>
        <v/>
      </c>
      <c r="H286" s="236" t="str">
        <f t="shared" si="18"/>
        <v/>
      </c>
      <c r="I286" s="237"/>
    </row>
    <row r="287" spans="1:9">
      <c r="A287" s="232">
        <f t="shared" si="19"/>
        <v>285</v>
      </c>
      <c r="B287" s="233">
        <v>45485</v>
      </c>
      <c r="C287" s="234">
        <v>190.27972799999998</v>
      </c>
      <c r="D287" s="235">
        <v>138.50778519321111</v>
      </c>
      <c r="E287" s="234">
        <f t="shared" si="16"/>
        <v>138.50778519321111</v>
      </c>
      <c r="F287" s="239"/>
      <c r="G287" s="188" t="str">
        <f t="shared" si="17"/>
        <v/>
      </c>
      <c r="H287" s="236" t="str">
        <f t="shared" si="18"/>
        <v/>
      </c>
      <c r="I287" s="237"/>
    </row>
    <row r="288" spans="1:9">
      <c r="A288" s="232">
        <f t="shared" si="19"/>
        <v>286</v>
      </c>
      <c r="B288" s="233">
        <v>45486</v>
      </c>
      <c r="C288" s="234">
        <v>132.69847000000001</v>
      </c>
      <c r="D288" s="235">
        <v>138.50778519321111</v>
      </c>
      <c r="E288" s="234">
        <f t="shared" si="16"/>
        <v>132.69847000000001</v>
      </c>
      <c r="F288" s="239"/>
      <c r="G288" s="188" t="str">
        <f t="shared" si="17"/>
        <v/>
      </c>
      <c r="H288" s="236" t="str">
        <f t="shared" si="18"/>
        <v/>
      </c>
      <c r="I288" s="237"/>
    </row>
    <row r="289" spans="1:9">
      <c r="A289" s="232">
        <f t="shared" si="19"/>
        <v>287</v>
      </c>
      <c r="B289" s="233">
        <v>45487</v>
      </c>
      <c r="C289" s="234">
        <v>101.11832100000001</v>
      </c>
      <c r="D289" s="235">
        <v>138.50778519321111</v>
      </c>
      <c r="E289" s="234">
        <f t="shared" si="16"/>
        <v>101.11832100000001</v>
      </c>
      <c r="F289" s="239"/>
      <c r="G289" s="188" t="str">
        <f t="shared" si="17"/>
        <v/>
      </c>
      <c r="H289" s="236" t="str">
        <f t="shared" si="18"/>
        <v/>
      </c>
      <c r="I289" s="237"/>
    </row>
    <row r="290" spans="1:9">
      <c r="A290" s="232">
        <f t="shared" si="19"/>
        <v>288</v>
      </c>
      <c r="B290" s="233">
        <v>45488</v>
      </c>
      <c r="C290" s="234">
        <v>190.482573</v>
      </c>
      <c r="D290" s="235">
        <v>138.50778519321111</v>
      </c>
      <c r="E290" s="234">
        <f t="shared" si="16"/>
        <v>138.50778519321111</v>
      </c>
      <c r="F290" s="239"/>
      <c r="G290" s="188" t="str">
        <f t="shared" si="17"/>
        <v>J</v>
      </c>
      <c r="H290" s="236" t="str">
        <f t="shared" si="18"/>
        <v>138,5</v>
      </c>
      <c r="I290" s="237"/>
    </row>
    <row r="291" spans="1:9">
      <c r="A291" s="232">
        <f t="shared" si="19"/>
        <v>289</v>
      </c>
      <c r="B291" s="233">
        <v>45489</v>
      </c>
      <c r="C291" s="234">
        <v>98.862234999999998</v>
      </c>
      <c r="D291" s="235">
        <v>138.50778519321111</v>
      </c>
      <c r="E291" s="234">
        <f t="shared" si="16"/>
        <v>98.862234999999998</v>
      </c>
      <c r="F291" s="237"/>
      <c r="G291" s="188" t="str">
        <f t="shared" si="17"/>
        <v/>
      </c>
      <c r="H291" s="236" t="str">
        <f t="shared" si="18"/>
        <v/>
      </c>
      <c r="I291" s="237"/>
    </row>
    <row r="292" spans="1:9">
      <c r="A292" s="232">
        <f t="shared" si="19"/>
        <v>290</v>
      </c>
      <c r="B292" s="233">
        <v>45490</v>
      </c>
      <c r="C292" s="234">
        <v>104.94921000000001</v>
      </c>
      <c r="D292" s="235">
        <v>138.50778519321111</v>
      </c>
      <c r="E292" s="234">
        <f t="shared" si="16"/>
        <v>104.94921000000001</v>
      </c>
      <c r="F292" s="239"/>
      <c r="G292" s="188" t="str">
        <f t="shared" si="17"/>
        <v/>
      </c>
      <c r="H292" s="236" t="str">
        <f t="shared" si="18"/>
        <v/>
      </c>
      <c r="I292" s="237"/>
    </row>
    <row r="293" spans="1:9">
      <c r="A293" s="232">
        <f t="shared" si="19"/>
        <v>291</v>
      </c>
      <c r="B293" s="233">
        <v>45491</v>
      </c>
      <c r="C293" s="234">
        <v>72.424884999999989</v>
      </c>
      <c r="D293" s="235">
        <v>138.50778519321111</v>
      </c>
      <c r="E293" s="234">
        <f t="shared" si="16"/>
        <v>72.424884999999989</v>
      </c>
      <c r="F293" s="239"/>
      <c r="G293" s="188" t="str">
        <f t="shared" si="17"/>
        <v/>
      </c>
      <c r="H293" s="236" t="str">
        <f t="shared" si="18"/>
        <v/>
      </c>
      <c r="I293" s="237"/>
    </row>
    <row r="294" spans="1:9">
      <c r="A294" s="232">
        <f t="shared" si="19"/>
        <v>292</v>
      </c>
      <c r="B294" s="233">
        <v>45492</v>
      </c>
      <c r="C294" s="234">
        <v>59.236810000000006</v>
      </c>
      <c r="D294" s="235">
        <v>138.50778519321111</v>
      </c>
      <c r="E294" s="234">
        <f t="shared" si="16"/>
        <v>59.236810000000006</v>
      </c>
      <c r="F294" s="239"/>
      <c r="G294" s="188" t="str">
        <f t="shared" si="17"/>
        <v/>
      </c>
      <c r="H294" s="236" t="str">
        <f t="shared" si="18"/>
        <v/>
      </c>
      <c r="I294" s="237"/>
    </row>
    <row r="295" spans="1:9">
      <c r="A295" s="232">
        <f t="shared" si="19"/>
        <v>293</v>
      </c>
      <c r="B295" s="233">
        <v>45493</v>
      </c>
      <c r="C295" s="234">
        <v>154.67245600000001</v>
      </c>
      <c r="D295" s="235">
        <v>138.50778519321111</v>
      </c>
      <c r="E295" s="234">
        <f t="shared" si="16"/>
        <v>138.50778519321111</v>
      </c>
      <c r="F295" s="239"/>
      <c r="G295" s="188" t="str">
        <f t="shared" si="17"/>
        <v/>
      </c>
      <c r="H295" s="236" t="str">
        <f t="shared" si="18"/>
        <v/>
      </c>
      <c r="I295" s="237"/>
    </row>
    <row r="296" spans="1:9">
      <c r="A296" s="232">
        <f t="shared" si="19"/>
        <v>294</v>
      </c>
      <c r="B296" s="233">
        <v>45494</v>
      </c>
      <c r="C296" s="234">
        <v>191.23055400000001</v>
      </c>
      <c r="D296" s="235">
        <v>138.50778519321111</v>
      </c>
      <c r="E296" s="234">
        <f t="shared" si="16"/>
        <v>138.50778519321111</v>
      </c>
      <c r="F296" s="239"/>
      <c r="G296" s="188" t="str">
        <f t="shared" si="17"/>
        <v/>
      </c>
      <c r="H296" s="236" t="str">
        <f t="shared" si="18"/>
        <v/>
      </c>
      <c r="I296" s="237"/>
    </row>
    <row r="297" spans="1:9">
      <c r="A297" s="232">
        <f t="shared" si="19"/>
        <v>295</v>
      </c>
      <c r="B297" s="233">
        <v>45495</v>
      </c>
      <c r="C297" s="234">
        <v>164.59027899999998</v>
      </c>
      <c r="D297" s="235">
        <v>138.50778519321111</v>
      </c>
      <c r="E297" s="234">
        <f t="shared" si="16"/>
        <v>138.50778519321111</v>
      </c>
      <c r="F297" s="239"/>
      <c r="G297" s="188" t="str">
        <f t="shared" si="17"/>
        <v/>
      </c>
      <c r="H297" s="236" t="str">
        <f t="shared" si="18"/>
        <v/>
      </c>
      <c r="I297" s="237"/>
    </row>
    <row r="298" spans="1:9">
      <c r="A298" s="232">
        <f t="shared" si="19"/>
        <v>296</v>
      </c>
      <c r="B298" s="233">
        <v>45496</v>
      </c>
      <c r="C298" s="234">
        <v>127.680735</v>
      </c>
      <c r="D298" s="235">
        <v>138.50778519321111</v>
      </c>
      <c r="E298" s="234">
        <f t="shared" si="16"/>
        <v>127.680735</v>
      </c>
      <c r="F298" s="239"/>
      <c r="G298" s="188" t="str">
        <f t="shared" si="17"/>
        <v/>
      </c>
      <c r="H298" s="236" t="str">
        <f t="shared" si="18"/>
        <v/>
      </c>
      <c r="I298" s="237"/>
    </row>
    <row r="299" spans="1:9">
      <c r="A299" s="232">
        <f t="shared" si="19"/>
        <v>297</v>
      </c>
      <c r="B299" s="233">
        <v>45497</v>
      </c>
      <c r="C299" s="234">
        <v>131.10322099999999</v>
      </c>
      <c r="D299" s="235">
        <v>138.50778519321111</v>
      </c>
      <c r="E299" s="234">
        <f t="shared" si="16"/>
        <v>131.10322099999999</v>
      </c>
      <c r="F299" s="239"/>
      <c r="G299" s="188" t="str">
        <f t="shared" si="17"/>
        <v/>
      </c>
      <c r="H299" s="236" t="str">
        <f t="shared" si="18"/>
        <v/>
      </c>
      <c r="I299" s="237"/>
    </row>
    <row r="300" spans="1:9">
      <c r="A300" s="232">
        <f t="shared" si="19"/>
        <v>298</v>
      </c>
      <c r="B300" s="233">
        <v>45498</v>
      </c>
      <c r="C300" s="234">
        <v>145.74753200000001</v>
      </c>
      <c r="D300" s="235">
        <v>138.50778519321111</v>
      </c>
      <c r="E300" s="234">
        <f t="shared" si="16"/>
        <v>138.50778519321111</v>
      </c>
      <c r="F300" s="239"/>
      <c r="G300" s="188" t="str">
        <f t="shared" si="17"/>
        <v/>
      </c>
      <c r="H300" s="236" t="str">
        <f t="shared" si="18"/>
        <v/>
      </c>
      <c r="I300" s="237"/>
    </row>
    <row r="301" spans="1:9">
      <c r="A301" s="232">
        <f t="shared" si="19"/>
        <v>299</v>
      </c>
      <c r="B301" s="233">
        <v>45499</v>
      </c>
      <c r="C301" s="234">
        <v>104.143731</v>
      </c>
      <c r="D301" s="235">
        <v>138.50778519321111</v>
      </c>
      <c r="E301" s="234">
        <f t="shared" si="16"/>
        <v>104.143731</v>
      </c>
      <c r="F301" s="239"/>
      <c r="G301" s="188" t="str">
        <f t="shared" si="17"/>
        <v/>
      </c>
      <c r="H301" s="236" t="str">
        <f t="shared" si="18"/>
        <v/>
      </c>
      <c r="I301" s="237"/>
    </row>
    <row r="302" spans="1:9">
      <c r="A302" s="232">
        <f t="shared" si="19"/>
        <v>300</v>
      </c>
      <c r="B302" s="233">
        <v>45500</v>
      </c>
      <c r="C302" s="234">
        <v>108.45381</v>
      </c>
      <c r="D302" s="235">
        <v>138.50778519321111</v>
      </c>
      <c r="E302" s="234">
        <f t="shared" si="16"/>
        <v>108.45381</v>
      </c>
      <c r="F302" s="239"/>
      <c r="G302" s="188" t="str">
        <f t="shared" si="17"/>
        <v/>
      </c>
      <c r="H302" s="236" t="str">
        <f t="shared" si="18"/>
        <v/>
      </c>
      <c r="I302" s="237"/>
    </row>
    <row r="303" spans="1:9">
      <c r="A303" s="232">
        <f t="shared" si="19"/>
        <v>301</v>
      </c>
      <c r="B303" s="233">
        <v>45501</v>
      </c>
      <c r="C303" s="234">
        <v>159.02018300000003</v>
      </c>
      <c r="D303" s="235">
        <v>138.50778519321111</v>
      </c>
      <c r="E303" s="234">
        <f t="shared" si="16"/>
        <v>138.50778519321111</v>
      </c>
      <c r="F303" s="239"/>
      <c r="G303" s="188" t="str">
        <f t="shared" si="17"/>
        <v/>
      </c>
      <c r="H303" s="236" t="str">
        <f t="shared" si="18"/>
        <v/>
      </c>
      <c r="I303" s="237"/>
    </row>
    <row r="304" spans="1:9">
      <c r="A304" s="232">
        <f t="shared" si="19"/>
        <v>302</v>
      </c>
      <c r="B304" s="233">
        <v>45502</v>
      </c>
      <c r="C304" s="234">
        <v>127.01384200000001</v>
      </c>
      <c r="D304" s="235">
        <v>138.50778519321111</v>
      </c>
      <c r="E304" s="234">
        <f t="shared" si="16"/>
        <v>127.01384200000001</v>
      </c>
      <c r="F304" s="239"/>
      <c r="G304" s="188" t="str">
        <f t="shared" si="17"/>
        <v/>
      </c>
      <c r="H304" s="236" t="str">
        <f t="shared" si="18"/>
        <v/>
      </c>
      <c r="I304" s="237"/>
    </row>
    <row r="305" spans="1:9">
      <c r="A305" s="232">
        <f t="shared" si="19"/>
        <v>303</v>
      </c>
      <c r="B305" s="233">
        <v>45503</v>
      </c>
      <c r="C305" s="234">
        <v>161.54082399999999</v>
      </c>
      <c r="D305" s="235">
        <v>138.50778519321111</v>
      </c>
      <c r="E305" s="234">
        <f t="shared" si="16"/>
        <v>138.50778519321111</v>
      </c>
      <c r="F305" s="239"/>
      <c r="G305" s="188" t="str">
        <f t="shared" si="17"/>
        <v/>
      </c>
      <c r="H305" s="236" t="str">
        <f t="shared" si="18"/>
        <v/>
      </c>
      <c r="I305" s="237"/>
    </row>
    <row r="306" spans="1:9">
      <c r="A306" s="232">
        <f t="shared" si="19"/>
        <v>304</v>
      </c>
      <c r="B306" s="233">
        <v>45504</v>
      </c>
      <c r="C306" s="234">
        <v>75.948722000000004</v>
      </c>
      <c r="D306" s="235">
        <v>138.50778519321111</v>
      </c>
      <c r="E306" s="234">
        <f t="shared" si="16"/>
        <v>75.948722000000004</v>
      </c>
      <c r="F306" s="239"/>
      <c r="G306" s="188" t="str">
        <f t="shared" si="17"/>
        <v/>
      </c>
      <c r="H306" s="236" t="str">
        <f t="shared" si="18"/>
        <v/>
      </c>
      <c r="I306" s="237"/>
    </row>
    <row r="307" spans="1:9">
      <c r="A307" s="232">
        <f t="shared" si="19"/>
        <v>305</v>
      </c>
      <c r="B307" s="233">
        <v>45505</v>
      </c>
      <c r="C307" s="234">
        <v>110.714079</v>
      </c>
      <c r="D307" s="235">
        <v>132.93077628527917</v>
      </c>
      <c r="E307" s="234">
        <f t="shared" si="16"/>
        <v>110.714079</v>
      </c>
      <c r="F307" s="239"/>
      <c r="G307" s="188" t="str">
        <f t="shared" si="17"/>
        <v/>
      </c>
      <c r="H307" s="236" t="str">
        <f t="shared" si="18"/>
        <v/>
      </c>
      <c r="I307" s="237"/>
    </row>
    <row r="308" spans="1:9">
      <c r="A308" s="232">
        <f t="shared" si="19"/>
        <v>306</v>
      </c>
      <c r="B308" s="233">
        <v>45506</v>
      </c>
      <c r="C308" s="234">
        <v>194.56742799999998</v>
      </c>
      <c r="D308" s="235">
        <v>132.93077628527917</v>
      </c>
      <c r="E308" s="234">
        <f t="shared" si="16"/>
        <v>132.93077628527917</v>
      </c>
      <c r="F308" s="237"/>
      <c r="G308" s="188" t="str">
        <f t="shared" si="17"/>
        <v/>
      </c>
      <c r="H308" s="236" t="str">
        <f t="shared" si="18"/>
        <v/>
      </c>
      <c r="I308" s="237"/>
    </row>
    <row r="309" spans="1:9">
      <c r="A309" s="232">
        <f t="shared" si="19"/>
        <v>307</v>
      </c>
      <c r="B309" s="233">
        <v>45507</v>
      </c>
      <c r="C309" s="234">
        <v>129.686756</v>
      </c>
      <c r="D309" s="235">
        <v>132.93077628527917</v>
      </c>
      <c r="E309" s="234">
        <f t="shared" si="16"/>
        <v>129.686756</v>
      </c>
      <c r="F309" s="239"/>
      <c r="G309" s="188" t="str">
        <f t="shared" si="17"/>
        <v/>
      </c>
      <c r="H309" s="236" t="str">
        <f t="shared" si="18"/>
        <v/>
      </c>
      <c r="I309" s="237"/>
    </row>
    <row r="310" spans="1:9">
      <c r="A310" s="232">
        <f t="shared" si="19"/>
        <v>308</v>
      </c>
      <c r="B310" s="233">
        <v>45508</v>
      </c>
      <c r="C310" s="234">
        <v>87.72823600000001</v>
      </c>
      <c r="D310" s="235">
        <v>132.93077628527917</v>
      </c>
      <c r="E310" s="234">
        <f t="shared" si="16"/>
        <v>87.72823600000001</v>
      </c>
      <c r="F310" s="239"/>
      <c r="G310" s="188" t="str">
        <f t="shared" si="17"/>
        <v/>
      </c>
      <c r="H310" s="236" t="str">
        <f t="shared" si="18"/>
        <v/>
      </c>
      <c r="I310" s="237"/>
    </row>
    <row r="311" spans="1:9">
      <c r="A311" s="232">
        <f t="shared" si="19"/>
        <v>309</v>
      </c>
      <c r="B311" s="233">
        <v>45509</v>
      </c>
      <c r="C311" s="234">
        <v>71.729529999999997</v>
      </c>
      <c r="D311" s="235">
        <v>132.93077628527917</v>
      </c>
      <c r="E311" s="234">
        <f t="shared" si="16"/>
        <v>71.729529999999997</v>
      </c>
      <c r="F311" s="239"/>
      <c r="G311" s="188" t="str">
        <f t="shared" si="17"/>
        <v/>
      </c>
      <c r="H311" s="236" t="str">
        <f t="shared" si="18"/>
        <v/>
      </c>
      <c r="I311" s="237"/>
    </row>
    <row r="312" spans="1:9">
      <c r="A312" s="232">
        <f t="shared" si="19"/>
        <v>310</v>
      </c>
      <c r="B312" s="233">
        <v>45510</v>
      </c>
      <c r="C312" s="234">
        <v>102.846844</v>
      </c>
      <c r="D312" s="235">
        <v>132.93077628527917</v>
      </c>
      <c r="E312" s="234">
        <f t="shared" si="16"/>
        <v>102.846844</v>
      </c>
      <c r="F312" s="239"/>
      <c r="G312" s="188" t="str">
        <f t="shared" si="17"/>
        <v/>
      </c>
      <c r="H312" s="236" t="str">
        <f t="shared" si="18"/>
        <v/>
      </c>
      <c r="I312" s="237"/>
    </row>
    <row r="313" spans="1:9">
      <c r="A313" s="232">
        <f t="shared" si="19"/>
        <v>311</v>
      </c>
      <c r="B313" s="233">
        <v>45511</v>
      </c>
      <c r="C313" s="234">
        <v>146.872434</v>
      </c>
      <c r="D313" s="235">
        <v>132.93077628527917</v>
      </c>
      <c r="E313" s="234">
        <f t="shared" si="16"/>
        <v>132.93077628527917</v>
      </c>
      <c r="F313" s="239"/>
      <c r="G313" s="188" t="str">
        <f t="shared" si="17"/>
        <v/>
      </c>
      <c r="H313" s="236" t="str">
        <f t="shared" si="18"/>
        <v/>
      </c>
      <c r="I313" s="237"/>
    </row>
    <row r="314" spans="1:9">
      <c r="A314" s="232">
        <f t="shared" si="19"/>
        <v>312</v>
      </c>
      <c r="B314" s="233">
        <v>45512</v>
      </c>
      <c r="C314" s="234">
        <v>117.85944200000002</v>
      </c>
      <c r="D314" s="235">
        <v>132.93077628527917</v>
      </c>
      <c r="E314" s="234">
        <f t="shared" si="16"/>
        <v>117.85944200000002</v>
      </c>
      <c r="F314" s="239"/>
      <c r="G314" s="188" t="str">
        <f t="shared" si="17"/>
        <v/>
      </c>
      <c r="H314" s="236" t="str">
        <f t="shared" si="18"/>
        <v/>
      </c>
      <c r="I314" s="237"/>
    </row>
    <row r="315" spans="1:9">
      <c r="A315" s="232">
        <f t="shared" si="19"/>
        <v>313</v>
      </c>
      <c r="B315" s="233">
        <v>45513</v>
      </c>
      <c r="C315" s="234">
        <v>104.752955</v>
      </c>
      <c r="D315" s="235">
        <v>132.93077628527917</v>
      </c>
      <c r="E315" s="234">
        <f t="shared" si="16"/>
        <v>104.752955</v>
      </c>
      <c r="F315" s="239"/>
      <c r="G315" s="188" t="str">
        <f t="shared" si="17"/>
        <v/>
      </c>
      <c r="H315" s="236" t="str">
        <f t="shared" si="18"/>
        <v/>
      </c>
      <c r="I315" s="237"/>
    </row>
    <row r="316" spans="1:9">
      <c r="A316" s="232">
        <f t="shared" si="19"/>
        <v>314</v>
      </c>
      <c r="B316" s="233">
        <v>45514</v>
      </c>
      <c r="C316" s="234">
        <v>131.54880799999998</v>
      </c>
      <c r="D316" s="235">
        <v>132.93077628527917</v>
      </c>
      <c r="E316" s="234">
        <f t="shared" si="16"/>
        <v>131.54880799999998</v>
      </c>
      <c r="F316" s="239"/>
      <c r="G316" s="188" t="str">
        <f t="shared" si="17"/>
        <v/>
      </c>
      <c r="H316" s="236" t="str">
        <f t="shared" si="18"/>
        <v/>
      </c>
      <c r="I316" s="237"/>
    </row>
    <row r="317" spans="1:9">
      <c r="A317" s="232">
        <f t="shared" si="19"/>
        <v>315</v>
      </c>
      <c r="B317" s="233">
        <v>45515</v>
      </c>
      <c r="C317" s="234">
        <v>137.39475300000001</v>
      </c>
      <c r="D317" s="235">
        <v>132.93077628527917</v>
      </c>
      <c r="E317" s="234">
        <f t="shared" si="16"/>
        <v>132.93077628527917</v>
      </c>
      <c r="F317" s="239"/>
      <c r="G317" s="188" t="str">
        <f t="shared" si="17"/>
        <v/>
      </c>
      <c r="H317" s="236" t="str">
        <f t="shared" si="18"/>
        <v/>
      </c>
      <c r="I317" s="237"/>
    </row>
    <row r="318" spans="1:9">
      <c r="A318" s="232">
        <f t="shared" si="19"/>
        <v>316</v>
      </c>
      <c r="B318" s="233">
        <v>45516</v>
      </c>
      <c r="C318" s="234">
        <v>91.825952999999998</v>
      </c>
      <c r="D318" s="235">
        <v>132.93077628527917</v>
      </c>
      <c r="E318" s="234">
        <f t="shared" si="16"/>
        <v>91.825952999999998</v>
      </c>
      <c r="F318" s="239"/>
      <c r="G318" s="188" t="str">
        <f t="shared" si="17"/>
        <v/>
      </c>
      <c r="H318" s="236" t="str">
        <f t="shared" si="18"/>
        <v/>
      </c>
      <c r="I318" s="237"/>
    </row>
    <row r="319" spans="1:9">
      <c r="A319" s="232">
        <f t="shared" si="19"/>
        <v>317</v>
      </c>
      <c r="B319" s="233">
        <v>45517</v>
      </c>
      <c r="C319" s="234">
        <v>103.752116</v>
      </c>
      <c r="D319" s="235">
        <v>132.93077628527917</v>
      </c>
      <c r="E319" s="234">
        <f t="shared" si="16"/>
        <v>103.752116</v>
      </c>
      <c r="F319" s="239"/>
      <c r="G319" s="188" t="str">
        <f t="shared" si="17"/>
        <v/>
      </c>
      <c r="H319" s="236" t="str">
        <f t="shared" si="18"/>
        <v/>
      </c>
      <c r="I319" s="237"/>
    </row>
    <row r="320" spans="1:9">
      <c r="A320" s="232">
        <f t="shared" si="19"/>
        <v>318</v>
      </c>
      <c r="B320" s="233">
        <v>45518</v>
      </c>
      <c r="C320" s="234">
        <v>156.817002</v>
      </c>
      <c r="D320" s="235">
        <v>132.93077628527917</v>
      </c>
      <c r="E320" s="234">
        <f t="shared" si="16"/>
        <v>132.93077628527917</v>
      </c>
      <c r="F320" s="239"/>
      <c r="G320" s="188" t="str">
        <f t="shared" si="17"/>
        <v/>
      </c>
      <c r="H320" s="236" t="str">
        <f t="shared" si="18"/>
        <v/>
      </c>
      <c r="I320" s="237"/>
    </row>
    <row r="321" spans="1:9">
      <c r="A321" s="232">
        <f t="shared" si="19"/>
        <v>319</v>
      </c>
      <c r="B321" s="233">
        <v>45519</v>
      </c>
      <c r="C321" s="234">
        <v>159.07435800000002</v>
      </c>
      <c r="D321" s="235">
        <v>132.93077628527917</v>
      </c>
      <c r="E321" s="234">
        <f t="shared" si="16"/>
        <v>132.93077628527917</v>
      </c>
      <c r="F321" s="239"/>
      <c r="G321" s="188" t="str">
        <f t="shared" si="17"/>
        <v>A</v>
      </c>
      <c r="H321" s="236" t="str">
        <f t="shared" si="18"/>
        <v>132,9</v>
      </c>
      <c r="I321" s="237"/>
    </row>
    <row r="322" spans="1:9">
      <c r="A322" s="232">
        <f t="shared" si="19"/>
        <v>320</v>
      </c>
      <c r="B322" s="233">
        <v>45520</v>
      </c>
      <c r="C322" s="234">
        <v>112.051107</v>
      </c>
      <c r="D322" s="235">
        <v>132.93077628527917</v>
      </c>
      <c r="E322" s="234">
        <f t="shared" si="16"/>
        <v>112.051107</v>
      </c>
      <c r="F322" s="237"/>
      <c r="G322" s="188" t="str">
        <f t="shared" si="17"/>
        <v/>
      </c>
      <c r="H322" s="236" t="str">
        <f t="shared" si="18"/>
        <v/>
      </c>
      <c r="I322" s="237"/>
    </row>
    <row r="323" spans="1:9">
      <c r="A323" s="232">
        <f t="shared" si="19"/>
        <v>321</v>
      </c>
      <c r="B323" s="233">
        <v>45521</v>
      </c>
      <c r="C323" s="234">
        <v>106.82991200000001</v>
      </c>
      <c r="D323" s="235">
        <v>132.93077628527917</v>
      </c>
      <c r="E323" s="234">
        <f t="shared" ref="E323:E381" si="20">IF(C323&gt;D323,D323,C323)</f>
        <v>106.82991200000001</v>
      </c>
      <c r="F323" s="239"/>
      <c r="G323" s="188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36" t="str">
        <f t="shared" ref="H323:H386" si="22">IF(DAY($B323)=15,TEXT(D323,"#,0"),"")</f>
        <v/>
      </c>
      <c r="I323" s="237"/>
    </row>
    <row r="324" spans="1:9">
      <c r="A324" s="232">
        <f t="shared" ref="A324:A387" si="23">+A323+1</f>
        <v>322</v>
      </c>
      <c r="B324" s="233">
        <v>45522</v>
      </c>
      <c r="C324" s="234">
        <v>144.614554</v>
      </c>
      <c r="D324" s="235">
        <v>132.93077628527917</v>
      </c>
      <c r="E324" s="234">
        <f t="shared" si="20"/>
        <v>132.93077628527917</v>
      </c>
      <c r="F324" s="239"/>
      <c r="G324" s="188" t="str">
        <f t="shared" si="21"/>
        <v/>
      </c>
      <c r="H324" s="236" t="str">
        <f t="shared" si="22"/>
        <v/>
      </c>
      <c r="I324" s="237"/>
    </row>
    <row r="325" spans="1:9">
      <c r="A325" s="232">
        <f t="shared" si="23"/>
        <v>323</v>
      </c>
      <c r="B325" s="233">
        <v>45523</v>
      </c>
      <c r="C325" s="234">
        <v>137.98127200000002</v>
      </c>
      <c r="D325" s="235">
        <v>132.93077628527917</v>
      </c>
      <c r="E325" s="234">
        <f t="shared" si="20"/>
        <v>132.93077628527917</v>
      </c>
      <c r="F325" s="239"/>
      <c r="G325" s="188" t="str">
        <f t="shared" si="21"/>
        <v/>
      </c>
      <c r="H325" s="236" t="str">
        <f t="shared" si="22"/>
        <v/>
      </c>
      <c r="I325" s="237"/>
    </row>
    <row r="326" spans="1:9">
      <c r="A326" s="232">
        <f t="shared" si="23"/>
        <v>324</v>
      </c>
      <c r="B326" s="233">
        <v>45524</v>
      </c>
      <c r="C326" s="234">
        <v>124.72519100000001</v>
      </c>
      <c r="D326" s="235">
        <v>132.93077628527917</v>
      </c>
      <c r="E326" s="234">
        <f t="shared" si="20"/>
        <v>124.72519100000001</v>
      </c>
      <c r="F326" s="239"/>
      <c r="G326" s="188" t="str">
        <f t="shared" si="21"/>
        <v/>
      </c>
      <c r="H326" s="236" t="str">
        <f t="shared" si="22"/>
        <v/>
      </c>
      <c r="I326" s="237"/>
    </row>
    <row r="327" spans="1:9">
      <c r="A327" s="232">
        <f t="shared" si="23"/>
        <v>325</v>
      </c>
      <c r="B327" s="233">
        <v>45525</v>
      </c>
      <c r="C327" s="234">
        <v>173.32077200000001</v>
      </c>
      <c r="D327" s="235">
        <v>132.93077628527917</v>
      </c>
      <c r="E327" s="234">
        <f t="shared" si="20"/>
        <v>132.93077628527917</v>
      </c>
      <c r="F327" s="239"/>
      <c r="G327" s="188" t="str">
        <f t="shared" si="21"/>
        <v/>
      </c>
      <c r="H327" s="236" t="str">
        <f t="shared" si="22"/>
        <v/>
      </c>
      <c r="I327" s="237"/>
    </row>
    <row r="328" spans="1:9">
      <c r="A328" s="232">
        <f t="shared" si="23"/>
        <v>326</v>
      </c>
      <c r="B328" s="233">
        <v>45526</v>
      </c>
      <c r="C328" s="234">
        <v>55.629601000000001</v>
      </c>
      <c r="D328" s="235">
        <v>132.93077628527917</v>
      </c>
      <c r="E328" s="234">
        <f t="shared" si="20"/>
        <v>55.629601000000001</v>
      </c>
      <c r="F328" s="239"/>
      <c r="G328" s="188" t="str">
        <f t="shared" si="21"/>
        <v/>
      </c>
      <c r="H328" s="236" t="str">
        <f t="shared" si="22"/>
        <v/>
      </c>
      <c r="I328" s="237"/>
    </row>
    <row r="329" spans="1:9">
      <c r="A329" s="232">
        <f t="shared" si="23"/>
        <v>327</v>
      </c>
      <c r="B329" s="233">
        <v>45527</v>
      </c>
      <c r="C329" s="234">
        <v>76.594407000000004</v>
      </c>
      <c r="D329" s="235">
        <v>132.93077628527917</v>
      </c>
      <c r="E329" s="234">
        <f t="shared" si="20"/>
        <v>76.594407000000004</v>
      </c>
      <c r="F329" s="239"/>
      <c r="G329" s="188" t="str">
        <f t="shared" si="21"/>
        <v/>
      </c>
      <c r="H329" s="236" t="str">
        <f t="shared" si="22"/>
        <v/>
      </c>
      <c r="I329" s="237"/>
    </row>
    <row r="330" spans="1:9">
      <c r="A330" s="232">
        <f t="shared" si="23"/>
        <v>328</v>
      </c>
      <c r="B330" s="233">
        <v>45528</v>
      </c>
      <c r="C330" s="234">
        <v>162.84900199999998</v>
      </c>
      <c r="D330" s="235">
        <v>132.93077628527917</v>
      </c>
      <c r="E330" s="234">
        <f t="shared" si="20"/>
        <v>132.93077628527917</v>
      </c>
      <c r="F330" s="239"/>
      <c r="G330" s="188" t="str">
        <f t="shared" si="21"/>
        <v/>
      </c>
      <c r="H330" s="236" t="str">
        <f t="shared" si="22"/>
        <v/>
      </c>
      <c r="I330" s="237"/>
    </row>
    <row r="331" spans="1:9">
      <c r="A331" s="232">
        <f t="shared" si="23"/>
        <v>329</v>
      </c>
      <c r="B331" s="233">
        <v>45529</v>
      </c>
      <c r="C331" s="234">
        <v>193.33785999999998</v>
      </c>
      <c r="D331" s="235">
        <v>132.93077628527917</v>
      </c>
      <c r="E331" s="234">
        <f t="shared" si="20"/>
        <v>132.93077628527917</v>
      </c>
      <c r="F331" s="239"/>
      <c r="G331" s="188" t="str">
        <f t="shared" si="21"/>
        <v/>
      </c>
      <c r="H331" s="236" t="str">
        <f t="shared" si="22"/>
        <v/>
      </c>
      <c r="I331" s="237"/>
    </row>
    <row r="332" spans="1:9">
      <c r="A332" s="232">
        <f t="shared" si="23"/>
        <v>330</v>
      </c>
      <c r="B332" s="233">
        <v>45530</v>
      </c>
      <c r="C332" s="234">
        <v>124.623966</v>
      </c>
      <c r="D332" s="235">
        <v>132.93077628527917</v>
      </c>
      <c r="E332" s="234">
        <f t="shared" si="20"/>
        <v>124.623966</v>
      </c>
      <c r="F332" s="239"/>
      <c r="G332" s="188" t="str">
        <f t="shared" si="21"/>
        <v/>
      </c>
      <c r="H332" s="236" t="str">
        <f t="shared" si="22"/>
        <v/>
      </c>
      <c r="I332" s="237"/>
    </row>
    <row r="333" spans="1:9">
      <c r="A333" s="232">
        <f t="shared" si="23"/>
        <v>331</v>
      </c>
      <c r="B333" s="233">
        <v>45531</v>
      </c>
      <c r="C333" s="234">
        <v>50.358134</v>
      </c>
      <c r="D333" s="235">
        <v>132.93077628527917</v>
      </c>
      <c r="E333" s="234">
        <f t="shared" si="20"/>
        <v>50.358134</v>
      </c>
      <c r="F333" s="239"/>
      <c r="G333" s="188" t="str">
        <f t="shared" si="21"/>
        <v/>
      </c>
      <c r="H333" s="236" t="str">
        <f t="shared" si="22"/>
        <v/>
      </c>
      <c r="I333" s="237"/>
    </row>
    <row r="334" spans="1:9">
      <c r="A334" s="232">
        <f t="shared" si="23"/>
        <v>332</v>
      </c>
      <c r="B334" s="233">
        <v>45532</v>
      </c>
      <c r="C334" s="234">
        <v>100.16805599999999</v>
      </c>
      <c r="D334" s="235">
        <v>132.93077628527917</v>
      </c>
      <c r="E334" s="234">
        <f t="shared" si="20"/>
        <v>100.16805599999999</v>
      </c>
      <c r="F334" s="239"/>
      <c r="G334" s="188" t="str">
        <f t="shared" si="21"/>
        <v/>
      </c>
      <c r="H334" s="236" t="str">
        <f t="shared" si="22"/>
        <v/>
      </c>
      <c r="I334" s="237"/>
    </row>
    <row r="335" spans="1:9">
      <c r="A335" s="232">
        <f t="shared" si="23"/>
        <v>333</v>
      </c>
      <c r="B335" s="233">
        <v>45533</v>
      </c>
      <c r="C335" s="234">
        <v>143.79440700000001</v>
      </c>
      <c r="D335" s="235">
        <v>132.93077628527917</v>
      </c>
      <c r="E335" s="234">
        <f>IF(C335&gt;D335,D335,C335)</f>
        <v>132.93077628527917</v>
      </c>
      <c r="F335" s="239"/>
      <c r="G335" s="188" t="str">
        <f t="shared" si="21"/>
        <v/>
      </c>
      <c r="H335" s="236" t="str">
        <f t="shared" si="22"/>
        <v/>
      </c>
      <c r="I335" s="237"/>
    </row>
    <row r="336" spans="1:9">
      <c r="A336" s="232">
        <f t="shared" si="23"/>
        <v>334</v>
      </c>
      <c r="B336" s="233">
        <v>45534</v>
      </c>
      <c r="C336" s="234">
        <v>137.00482099999999</v>
      </c>
      <c r="D336" s="235">
        <v>132.93077628527917</v>
      </c>
      <c r="E336" s="234">
        <f t="shared" si="20"/>
        <v>132.93077628527917</v>
      </c>
      <c r="F336" s="237"/>
      <c r="G336" s="188" t="str">
        <f t="shared" si="21"/>
        <v/>
      </c>
      <c r="H336" s="236" t="str">
        <f t="shared" si="22"/>
        <v/>
      </c>
      <c r="I336" s="237"/>
    </row>
    <row r="337" spans="1:9">
      <c r="A337" s="232">
        <f t="shared" si="23"/>
        <v>335</v>
      </c>
      <c r="B337" s="233">
        <v>45535</v>
      </c>
      <c r="C337" s="234">
        <v>117.602396</v>
      </c>
      <c r="D337" s="235">
        <v>132.93077628527917</v>
      </c>
      <c r="E337" s="234">
        <f t="shared" si="20"/>
        <v>117.602396</v>
      </c>
      <c r="F337" s="237"/>
      <c r="G337" s="188" t="str">
        <f t="shared" si="21"/>
        <v/>
      </c>
      <c r="H337" s="236" t="str">
        <f t="shared" si="22"/>
        <v/>
      </c>
      <c r="I337" s="237"/>
    </row>
    <row r="338" spans="1:9">
      <c r="A338" s="232">
        <f t="shared" si="23"/>
        <v>336</v>
      </c>
      <c r="B338" s="233">
        <v>45536</v>
      </c>
      <c r="C338" s="234">
        <v>38.287339000000003</v>
      </c>
      <c r="D338" s="235">
        <v>125.60755433708039</v>
      </c>
      <c r="E338" s="234">
        <f t="shared" si="20"/>
        <v>38.287339000000003</v>
      </c>
      <c r="F338" s="239"/>
      <c r="G338" s="188" t="str">
        <f t="shared" si="21"/>
        <v/>
      </c>
      <c r="H338" s="236" t="str">
        <f t="shared" si="22"/>
        <v/>
      </c>
      <c r="I338" s="237"/>
    </row>
    <row r="339" spans="1:9">
      <c r="A339" s="232">
        <f t="shared" si="23"/>
        <v>337</v>
      </c>
      <c r="B339" s="233">
        <v>45537</v>
      </c>
      <c r="C339" s="234">
        <v>84.727943999999994</v>
      </c>
      <c r="D339" s="235">
        <v>125.60755433708039</v>
      </c>
      <c r="E339" s="234">
        <f t="shared" si="20"/>
        <v>84.727943999999994</v>
      </c>
      <c r="F339" s="239"/>
      <c r="G339" s="188" t="str">
        <f t="shared" si="21"/>
        <v/>
      </c>
      <c r="H339" s="236" t="str">
        <f t="shared" si="22"/>
        <v/>
      </c>
      <c r="I339" s="237"/>
    </row>
    <row r="340" spans="1:9">
      <c r="A340" s="232">
        <f t="shared" si="23"/>
        <v>338</v>
      </c>
      <c r="B340" s="233">
        <v>45538</v>
      </c>
      <c r="C340" s="234">
        <v>145.349459</v>
      </c>
      <c r="D340" s="235">
        <v>125.60755433708039</v>
      </c>
      <c r="E340" s="234">
        <f t="shared" si="20"/>
        <v>125.60755433708039</v>
      </c>
      <c r="F340" s="239"/>
      <c r="G340" s="188" t="str">
        <f t="shared" si="21"/>
        <v/>
      </c>
      <c r="H340" s="236" t="str">
        <f t="shared" si="22"/>
        <v/>
      </c>
      <c r="I340" s="237"/>
    </row>
    <row r="341" spans="1:9">
      <c r="A341" s="232">
        <f t="shared" si="23"/>
        <v>339</v>
      </c>
      <c r="B341" s="233">
        <v>45539</v>
      </c>
      <c r="C341" s="234">
        <v>186.47451100000001</v>
      </c>
      <c r="D341" s="235">
        <v>125.60755433708039</v>
      </c>
      <c r="E341" s="234">
        <f t="shared" si="20"/>
        <v>125.60755433708039</v>
      </c>
      <c r="F341" s="239"/>
      <c r="G341" s="188" t="str">
        <f t="shared" si="21"/>
        <v/>
      </c>
      <c r="H341" s="236" t="str">
        <f t="shared" si="22"/>
        <v/>
      </c>
      <c r="I341" s="237"/>
    </row>
    <row r="342" spans="1:9">
      <c r="A342" s="232">
        <f t="shared" si="23"/>
        <v>340</v>
      </c>
      <c r="B342" s="233">
        <v>45540</v>
      </c>
      <c r="C342" s="234">
        <v>110.478555</v>
      </c>
      <c r="D342" s="235">
        <v>125.60755433708039</v>
      </c>
      <c r="E342" s="234">
        <f t="shared" si="20"/>
        <v>110.478555</v>
      </c>
      <c r="F342" s="239"/>
      <c r="G342" s="188" t="str">
        <f t="shared" si="21"/>
        <v/>
      </c>
      <c r="H342" s="236" t="str">
        <f t="shared" si="22"/>
        <v/>
      </c>
      <c r="I342" s="237"/>
    </row>
    <row r="343" spans="1:9">
      <c r="A343" s="232">
        <f t="shared" si="23"/>
        <v>341</v>
      </c>
      <c r="B343" s="233">
        <v>45541</v>
      </c>
      <c r="C343" s="234">
        <v>140.67824400000001</v>
      </c>
      <c r="D343" s="235">
        <v>125.60755433708039</v>
      </c>
      <c r="E343" s="234">
        <f t="shared" si="20"/>
        <v>125.60755433708039</v>
      </c>
      <c r="F343" s="239"/>
      <c r="G343" s="188" t="str">
        <f t="shared" si="21"/>
        <v/>
      </c>
      <c r="H343" s="236" t="str">
        <f t="shared" si="22"/>
        <v/>
      </c>
      <c r="I343" s="237"/>
    </row>
    <row r="344" spans="1:9">
      <c r="A344" s="232">
        <f t="shared" si="23"/>
        <v>342</v>
      </c>
      <c r="B344" s="233">
        <v>45542</v>
      </c>
      <c r="C344" s="234">
        <v>85.718754999999987</v>
      </c>
      <c r="D344" s="235">
        <v>125.60755433708039</v>
      </c>
      <c r="E344" s="234">
        <f t="shared" si="20"/>
        <v>85.718754999999987</v>
      </c>
      <c r="F344" s="239"/>
      <c r="G344" s="188" t="str">
        <f t="shared" si="21"/>
        <v/>
      </c>
      <c r="H344" s="236" t="str">
        <f t="shared" si="22"/>
        <v/>
      </c>
      <c r="I344" s="237"/>
    </row>
    <row r="345" spans="1:9">
      <c r="A345" s="232">
        <f t="shared" si="23"/>
        <v>343</v>
      </c>
      <c r="B345" s="233">
        <v>45543</v>
      </c>
      <c r="C345" s="234">
        <v>96.344214999999991</v>
      </c>
      <c r="D345" s="235">
        <v>125.60755433708039</v>
      </c>
      <c r="E345" s="234">
        <f t="shared" si="20"/>
        <v>96.344214999999991</v>
      </c>
      <c r="F345" s="239"/>
      <c r="G345" s="188" t="str">
        <f t="shared" si="21"/>
        <v/>
      </c>
      <c r="H345" s="236" t="str">
        <f t="shared" si="22"/>
        <v/>
      </c>
      <c r="I345" s="237"/>
    </row>
    <row r="346" spans="1:9">
      <c r="A346" s="232">
        <f t="shared" si="23"/>
        <v>344</v>
      </c>
      <c r="B346" s="233">
        <v>45544</v>
      </c>
      <c r="C346" s="234">
        <v>138.56027799999998</v>
      </c>
      <c r="D346" s="235">
        <v>125.60755433708039</v>
      </c>
      <c r="E346" s="234">
        <f t="shared" si="20"/>
        <v>125.60755433708039</v>
      </c>
      <c r="F346" s="239"/>
      <c r="G346" s="188" t="str">
        <f t="shared" si="21"/>
        <v/>
      </c>
      <c r="H346" s="236" t="str">
        <f t="shared" si="22"/>
        <v/>
      </c>
      <c r="I346" s="237"/>
    </row>
    <row r="347" spans="1:9">
      <c r="A347" s="232">
        <f t="shared" si="23"/>
        <v>345</v>
      </c>
      <c r="B347" s="233">
        <v>45545</v>
      </c>
      <c r="C347" s="234">
        <v>157.10657199999997</v>
      </c>
      <c r="D347" s="235">
        <v>125.60755433708039</v>
      </c>
      <c r="E347" s="234">
        <f t="shared" si="20"/>
        <v>125.60755433708039</v>
      </c>
      <c r="F347" s="239"/>
      <c r="G347" s="188" t="str">
        <f t="shared" si="21"/>
        <v/>
      </c>
      <c r="H347" s="236" t="str">
        <f t="shared" si="22"/>
        <v/>
      </c>
      <c r="I347" s="237"/>
    </row>
    <row r="348" spans="1:9">
      <c r="A348" s="232">
        <f t="shared" si="23"/>
        <v>346</v>
      </c>
      <c r="B348" s="233">
        <v>45546</v>
      </c>
      <c r="C348" s="234">
        <v>169.09022099999999</v>
      </c>
      <c r="D348" s="235">
        <v>125.60755433708039</v>
      </c>
      <c r="E348" s="234">
        <f t="shared" si="20"/>
        <v>125.60755433708039</v>
      </c>
      <c r="F348" s="239"/>
      <c r="G348" s="188" t="str">
        <f t="shared" si="21"/>
        <v/>
      </c>
      <c r="H348" s="236" t="str">
        <f t="shared" si="22"/>
        <v/>
      </c>
      <c r="I348" s="237"/>
    </row>
    <row r="349" spans="1:9">
      <c r="A349" s="232">
        <f t="shared" si="23"/>
        <v>347</v>
      </c>
      <c r="B349" s="233">
        <v>45547</v>
      </c>
      <c r="C349" s="234">
        <v>184.00566500000002</v>
      </c>
      <c r="D349" s="235">
        <v>125.60755433708039</v>
      </c>
      <c r="E349" s="234">
        <f t="shared" si="20"/>
        <v>125.60755433708039</v>
      </c>
      <c r="F349" s="239"/>
      <c r="G349" s="188" t="str">
        <f t="shared" si="21"/>
        <v/>
      </c>
      <c r="H349" s="236" t="str">
        <f t="shared" si="22"/>
        <v/>
      </c>
      <c r="I349" s="237"/>
    </row>
    <row r="350" spans="1:9">
      <c r="A350" s="232">
        <f t="shared" si="23"/>
        <v>348</v>
      </c>
      <c r="B350" s="233">
        <v>45548</v>
      </c>
      <c r="C350" s="234">
        <v>246.69072200000002</v>
      </c>
      <c r="D350" s="235">
        <v>125.60755433708039</v>
      </c>
      <c r="E350" s="234">
        <f t="shared" si="20"/>
        <v>125.60755433708039</v>
      </c>
      <c r="F350" s="239"/>
      <c r="G350" s="188" t="str">
        <f t="shared" si="21"/>
        <v/>
      </c>
      <c r="H350" s="236" t="str">
        <f t="shared" si="22"/>
        <v/>
      </c>
      <c r="I350" s="237"/>
    </row>
    <row r="351" spans="1:9">
      <c r="A351" s="232">
        <f t="shared" si="23"/>
        <v>349</v>
      </c>
      <c r="B351" s="233">
        <v>45549</v>
      </c>
      <c r="C351" s="234">
        <v>162.56204499999998</v>
      </c>
      <c r="D351" s="235">
        <v>125.60755433708039</v>
      </c>
      <c r="E351" s="234">
        <f t="shared" si="20"/>
        <v>125.60755433708039</v>
      </c>
      <c r="F351" s="237"/>
      <c r="G351" s="188" t="str">
        <f t="shared" si="21"/>
        <v/>
      </c>
      <c r="H351" s="236" t="str">
        <f t="shared" si="22"/>
        <v/>
      </c>
      <c r="I351" s="237"/>
    </row>
    <row r="352" spans="1:9">
      <c r="A352" s="232">
        <f t="shared" si="23"/>
        <v>350</v>
      </c>
      <c r="B352" s="233">
        <v>45550</v>
      </c>
      <c r="C352" s="234">
        <v>180.21814700000002</v>
      </c>
      <c r="D352" s="235">
        <v>125.60755433708039</v>
      </c>
      <c r="E352" s="234">
        <f t="shared" si="20"/>
        <v>125.60755433708039</v>
      </c>
      <c r="F352" s="239"/>
      <c r="G352" s="188" t="str">
        <f t="shared" si="21"/>
        <v>S</v>
      </c>
      <c r="H352" s="236" t="str">
        <f t="shared" si="22"/>
        <v>125,6</v>
      </c>
      <c r="I352" s="237"/>
    </row>
    <row r="353" spans="1:9">
      <c r="A353" s="232">
        <f t="shared" si="23"/>
        <v>351</v>
      </c>
      <c r="B353" s="233">
        <v>45551</v>
      </c>
      <c r="C353" s="234">
        <v>258.33612900000003</v>
      </c>
      <c r="D353" s="235">
        <v>125.60755433708039</v>
      </c>
      <c r="E353" s="234">
        <f t="shared" si="20"/>
        <v>125.60755433708039</v>
      </c>
      <c r="F353" s="239"/>
      <c r="G353" s="188" t="str">
        <f t="shared" si="21"/>
        <v/>
      </c>
      <c r="H353" s="236" t="str">
        <f t="shared" si="22"/>
        <v/>
      </c>
      <c r="I353" s="237"/>
    </row>
    <row r="354" spans="1:9">
      <c r="A354" s="232">
        <f t="shared" si="23"/>
        <v>352</v>
      </c>
      <c r="B354" s="233">
        <v>45552</v>
      </c>
      <c r="C354" s="234">
        <v>267.09059000000002</v>
      </c>
      <c r="D354" s="235">
        <v>125.60755433708039</v>
      </c>
      <c r="E354" s="234">
        <f t="shared" si="20"/>
        <v>125.60755433708039</v>
      </c>
      <c r="F354" s="239"/>
      <c r="G354" s="188" t="str">
        <f t="shared" si="21"/>
        <v/>
      </c>
      <c r="H354" s="236" t="str">
        <f t="shared" si="22"/>
        <v/>
      </c>
      <c r="I354" s="237"/>
    </row>
    <row r="355" spans="1:9">
      <c r="A355" s="232">
        <f t="shared" si="23"/>
        <v>353</v>
      </c>
      <c r="B355" s="233">
        <v>45553</v>
      </c>
      <c r="C355" s="234">
        <v>170.14048499999998</v>
      </c>
      <c r="D355" s="235">
        <v>125.60755433708039</v>
      </c>
      <c r="E355" s="234">
        <f t="shared" si="20"/>
        <v>125.60755433708039</v>
      </c>
      <c r="F355" s="239"/>
      <c r="G355" s="188" t="str">
        <f t="shared" si="21"/>
        <v/>
      </c>
      <c r="H355" s="236" t="str">
        <f t="shared" si="22"/>
        <v/>
      </c>
      <c r="I355" s="237"/>
    </row>
    <row r="356" spans="1:9">
      <c r="A356" s="232">
        <f t="shared" si="23"/>
        <v>354</v>
      </c>
      <c r="B356" s="233">
        <v>45554</v>
      </c>
      <c r="C356" s="234">
        <v>98.345635999999999</v>
      </c>
      <c r="D356" s="235">
        <v>125.60755433708039</v>
      </c>
      <c r="E356" s="234">
        <f t="shared" si="20"/>
        <v>98.345635999999999</v>
      </c>
      <c r="F356" s="239"/>
      <c r="G356" s="188" t="str">
        <f t="shared" si="21"/>
        <v/>
      </c>
      <c r="H356" s="236" t="str">
        <f t="shared" si="22"/>
        <v/>
      </c>
      <c r="I356" s="237"/>
    </row>
    <row r="357" spans="1:9">
      <c r="A357" s="232">
        <f t="shared" si="23"/>
        <v>355</v>
      </c>
      <c r="B357" s="233">
        <v>45555</v>
      </c>
      <c r="C357" s="234">
        <v>83.848354999999998</v>
      </c>
      <c r="D357" s="235">
        <v>125.60755433708039</v>
      </c>
      <c r="E357" s="234">
        <f t="shared" si="20"/>
        <v>83.848354999999998</v>
      </c>
      <c r="F357" s="239"/>
      <c r="G357" s="188" t="str">
        <f t="shared" si="21"/>
        <v/>
      </c>
      <c r="H357" s="236" t="str">
        <f t="shared" si="22"/>
        <v/>
      </c>
      <c r="I357" s="237"/>
    </row>
    <row r="358" spans="1:9">
      <c r="A358" s="232">
        <f t="shared" si="23"/>
        <v>356</v>
      </c>
      <c r="B358" s="233">
        <v>45556</v>
      </c>
      <c r="C358" s="234">
        <v>102.84054699999999</v>
      </c>
      <c r="D358" s="235">
        <v>125.60755433708039</v>
      </c>
      <c r="E358" s="234">
        <f t="shared" si="20"/>
        <v>102.84054699999999</v>
      </c>
      <c r="F358" s="239"/>
      <c r="G358" s="188" t="str">
        <f t="shared" si="21"/>
        <v/>
      </c>
      <c r="H358" s="236" t="str">
        <f t="shared" si="22"/>
        <v/>
      </c>
      <c r="I358" s="237"/>
    </row>
    <row r="359" spans="1:9">
      <c r="A359" s="232">
        <f t="shared" si="23"/>
        <v>357</v>
      </c>
      <c r="B359" s="233">
        <v>45557</v>
      </c>
      <c r="C359" s="234">
        <v>48.319129000000004</v>
      </c>
      <c r="D359" s="235">
        <v>125.60755433708039</v>
      </c>
      <c r="E359" s="234">
        <f t="shared" si="20"/>
        <v>48.319129000000004</v>
      </c>
      <c r="F359" s="239"/>
      <c r="G359" s="188" t="str">
        <f t="shared" si="21"/>
        <v/>
      </c>
      <c r="H359" s="236" t="str">
        <f t="shared" si="22"/>
        <v/>
      </c>
      <c r="I359" s="237"/>
    </row>
    <row r="360" spans="1:9">
      <c r="A360" s="232">
        <f t="shared" si="23"/>
        <v>358</v>
      </c>
      <c r="B360" s="233">
        <v>45558</v>
      </c>
      <c r="C360" s="234">
        <v>82.914781999999988</v>
      </c>
      <c r="D360" s="235">
        <v>125.60755433708039</v>
      </c>
      <c r="E360" s="234">
        <f t="shared" si="20"/>
        <v>82.914781999999988</v>
      </c>
      <c r="F360" s="239"/>
      <c r="G360" s="188" t="str">
        <f t="shared" si="21"/>
        <v/>
      </c>
      <c r="H360" s="236" t="str">
        <f t="shared" si="22"/>
        <v/>
      </c>
      <c r="I360" s="237"/>
    </row>
    <row r="361" spans="1:9">
      <c r="A361" s="232">
        <f t="shared" si="23"/>
        <v>359</v>
      </c>
      <c r="B361" s="233">
        <v>45559</v>
      </c>
      <c r="C361" s="234">
        <v>116.58649399999999</v>
      </c>
      <c r="D361" s="235">
        <v>125.60755433708039</v>
      </c>
      <c r="E361" s="234">
        <f t="shared" si="20"/>
        <v>116.58649399999999</v>
      </c>
      <c r="F361" s="239"/>
      <c r="G361" s="188" t="str">
        <f t="shared" si="21"/>
        <v/>
      </c>
      <c r="H361" s="236" t="str">
        <f t="shared" si="22"/>
        <v/>
      </c>
      <c r="I361" s="237"/>
    </row>
    <row r="362" spans="1:9">
      <c r="A362" s="232">
        <f t="shared" si="23"/>
        <v>360</v>
      </c>
      <c r="B362" s="233">
        <v>45560</v>
      </c>
      <c r="C362" s="234">
        <v>263.25730600000003</v>
      </c>
      <c r="D362" s="235">
        <v>125.60755433708039</v>
      </c>
      <c r="E362" s="234">
        <f t="shared" si="20"/>
        <v>125.60755433708039</v>
      </c>
      <c r="F362" s="239"/>
      <c r="G362" s="188" t="str">
        <f t="shared" si="21"/>
        <v/>
      </c>
      <c r="H362" s="236" t="str">
        <f t="shared" si="22"/>
        <v/>
      </c>
      <c r="I362" s="237"/>
    </row>
    <row r="363" spans="1:9">
      <c r="A363" s="232">
        <f t="shared" si="23"/>
        <v>361</v>
      </c>
      <c r="B363" s="233">
        <v>45561</v>
      </c>
      <c r="C363" s="234">
        <v>350.39831500000003</v>
      </c>
      <c r="D363" s="235">
        <v>125.60755433708039</v>
      </c>
      <c r="E363" s="234">
        <f t="shared" si="20"/>
        <v>125.60755433708039</v>
      </c>
      <c r="F363" s="239"/>
      <c r="G363" s="188" t="str">
        <f t="shared" si="21"/>
        <v/>
      </c>
      <c r="H363" s="236" t="str">
        <f t="shared" si="22"/>
        <v/>
      </c>
      <c r="I363" s="237"/>
    </row>
    <row r="364" spans="1:9">
      <c r="A364" s="232">
        <f t="shared" si="23"/>
        <v>362</v>
      </c>
      <c r="B364" s="233">
        <v>45562</v>
      </c>
      <c r="C364" s="234">
        <v>250.77285800000001</v>
      </c>
      <c r="D364" s="235">
        <v>125.60755433708039</v>
      </c>
      <c r="E364" s="234">
        <f t="shared" si="20"/>
        <v>125.60755433708039</v>
      </c>
      <c r="F364" s="239"/>
      <c r="G364" s="188" t="str">
        <f t="shared" si="21"/>
        <v/>
      </c>
      <c r="H364" s="236" t="str">
        <f t="shared" si="22"/>
        <v/>
      </c>
      <c r="I364" s="237"/>
    </row>
    <row r="365" spans="1:9">
      <c r="A365" s="232">
        <f t="shared" si="23"/>
        <v>363</v>
      </c>
      <c r="B365" s="233">
        <v>45563</v>
      </c>
      <c r="C365" s="234">
        <v>123.24835899999999</v>
      </c>
      <c r="D365" s="235">
        <v>125.60755433708039</v>
      </c>
      <c r="E365" s="234">
        <f t="shared" si="20"/>
        <v>123.24835899999999</v>
      </c>
      <c r="F365" s="239"/>
      <c r="G365" s="188" t="str">
        <f t="shared" si="21"/>
        <v/>
      </c>
      <c r="H365" s="236" t="str">
        <f t="shared" si="22"/>
        <v/>
      </c>
      <c r="I365" s="237"/>
    </row>
    <row r="366" spans="1:9">
      <c r="A366" s="232">
        <f t="shared" si="23"/>
        <v>364</v>
      </c>
      <c r="B366" s="233">
        <v>45564</v>
      </c>
      <c r="C366" s="234">
        <v>133.95177999999999</v>
      </c>
      <c r="D366" s="235">
        <v>125.60755433708039</v>
      </c>
      <c r="E366" s="234">
        <f t="shared" si="20"/>
        <v>125.60755433708039</v>
      </c>
      <c r="F366" s="239"/>
      <c r="G366" s="188" t="str">
        <f t="shared" si="21"/>
        <v/>
      </c>
      <c r="H366" s="236" t="str">
        <f t="shared" si="22"/>
        <v/>
      </c>
      <c r="I366" s="237"/>
    </row>
    <row r="367" spans="1:9">
      <c r="A367" s="232">
        <f t="shared" si="23"/>
        <v>365</v>
      </c>
      <c r="B367" s="233">
        <v>45565</v>
      </c>
      <c r="C367" s="234">
        <v>71.803145000000001</v>
      </c>
      <c r="D367" s="235">
        <v>125.60755433708039</v>
      </c>
      <c r="E367" s="234">
        <f t="shared" si="20"/>
        <v>71.803145000000001</v>
      </c>
      <c r="F367" s="237"/>
      <c r="G367" s="188" t="str">
        <f t="shared" si="21"/>
        <v/>
      </c>
      <c r="H367" s="236" t="str">
        <f t="shared" si="22"/>
        <v/>
      </c>
      <c r="I367" s="237"/>
    </row>
    <row r="368" spans="1:9">
      <c r="A368" s="232">
        <f t="shared" si="23"/>
        <v>366</v>
      </c>
      <c r="B368" s="233">
        <v>45566</v>
      </c>
      <c r="C368" s="234">
        <v>129.50985700000001</v>
      </c>
      <c r="D368" s="235">
        <v>158.58862447451119</v>
      </c>
      <c r="E368" s="234">
        <f t="shared" si="20"/>
        <v>129.50985700000001</v>
      </c>
      <c r="F368" s="237"/>
      <c r="G368" s="188" t="str">
        <f t="shared" si="21"/>
        <v/>
      </c>
      <c r="H368" s="236" t="str">
        <f t="shared" si="22"/>
        <v/>
      </c>
      <c r="I368" s="237"/>
    </row>
    <row r="369" spans="1:9">
      <c r="A369" s="232">
        <f t="shared" si="23"/>
        <v>367</v>
      </c>
      <c r="B369" s="233">
        <v>45567</v>
      </c>
      <c r="C369" s="234">
        <v>227.77397999999999</v>
      </c>
      <c r="D369" s="235">
        <v>158.58862447451119</v>
      </c>
      <c r="E369" s="234">
        <f t="shared" si="20"/>
        <v>158.58862447451119</v>
      </c>
      <c r="F369" s="239"/>
      <c r="G369" s="188" t="str">
        <f t="shared" si="21"/>
        <v/>
      </c>
      <c r="H369" s="236" t="str">
        <f t="shared" si="22"/>
        <v/>
      </c>
      <c r="I369" s="237"/>
    </row>
    <row r="370" spans="1:9">
      <c r="A370" s="232">
        <f t="shared" si="23"/>
        <v>368</v>
      </c>
      <c r="B370" s="233">
        <v>45568</v>
      </c>
      <c r="C370" s="234">
        <v>229.613159</v>
      </c>
      <c r="D370" s="235">
        <v>158.58862447451119</v>
      </c>
      <c r="E370" s="234">
        <f t="shared" si="20"/>
        <v>158.58862447451119</v>
      </c>
      <c r="F370" s="239"/>
      <c r="G370" s="188" t="str">
        <f t="shared" si="21"/>
        <v/>
      </c>
      <c r="H370" s="236" t="str">
        <f t="shared" si="22"/>
        <v/>
      </c>
      <c r="I370" s="237"/>
    </row>
    <row r="371" spans="1:9">
      <c r="A371" s="232">
        <f t="shared" si="23"/>
        <v>369</v>
      </c>
      <c r="B371" s="233">
        <v>45569</v>
      </c>
      <c r="C371" s="234">
        <v>130.88414500000002</v>
      </c>
      <c r="D371" s="235">
        <v>158.58862447451119</v>
      </c>
      <c r="E371" s="234">
        <f t="shared" si="20"/>
        <v>130.88414500000002</v>
      </c>
      <c r="F371" s="239"/>
      <c r="G371" s="188" t="str">
        <f t="shared" si="21"/>
        <v/>
      </c>
      <c r="H371" s="236" t="str">
        <f t="shared" si="22"/>
        <v/>
      </c>
      <c r="I371" s="237"/>
    </row>
    <row r="372" spans="1:9">
      <c r="A372" s="232">
        <f t="shared" si="23"/>
        <v>370</v>
      </c>
      <c r="B372" s="233">
        <v>45570</v>
      </c>
      <c r="C372" s="234">
        <v>146.67079500000003</v>
      </c>
      <c r="D372" s="235">
        <v>158.58862447451119</v>
      </c>
      <c r="E372" s="234">
        <f t="shared" si="20"/>
        <v>146.67079500000003</v>
      </c>
      <c r="F372" s="239"/>
      <c r="G372" s="188" t="str">
        <f t="shared" si="21"/>
        <v/>
      </c>
      <c r="H372" s="236" t="str">
        <f t="shared" si="22"/>
        <v/>
      </c>
      <c r="I372" s="237"/>
    </row>
    <row r="373" spans="1:9">
      <c r="A373" s="232">
        <f t="shared" si="23"/>
        <v>371</v>
      </c>
      <c r="B373" s="233">
        <v>45571</v>
      </c>
      <c r="C373" s="234">
        <v>217.89979</v>
      </c>
      <c r="D373" s="235">
        <v>158.58862447451119</v>
      </c>
      <c r="E373" s="234">
        <f t="shared" si="20"/>
        <v>158.58862447451119</v>
      </c>
      <c r="F373" s="239"/>
      <c r="G373" s="188" t="str">
        <f t="shared" si="21"/>
        <v/>
      </c>
      <c r="H373" s="236" t="str">
        <f t="shared" si="22"/>
        <v/>
      </c>
      <c r="I373" s="237"/>
    </row>
    <row r="374" spans="1:9">
      <c r="A374" s="232">
        <f t="shared" si="23"/>
        <v>372</v>
      </c>
      <c r="B374" s="233">
        <v>45572</v>
      </c>
      <c r="C374" s="234">
        <v>287.25597900000002</v>
      </c>
      <c r="D374" s="235">
        <v>158.58862447451119</v>
      </c>
      <c r="E374" s="234">
        <f t="shared" si="20"/>
        <v>158.58862447451119</v>
      </c>
      <c r="F374" s="239"/>
      <c r="G374" s="188" t="str">
        <f t="shared" si="21"/>
        <v/>
      </c>
      <c r="H374" s="236" t="str">
        <f t="shared" si="22"/>
        <v/>
      </c>
      <c r="I374" s="237"/>
    </row>
    <row r="375" spans="1:9">
      <c r="A375" s="232">
        <f t="shared" si="23"/>
        <v>373</v>
      </c>
      <c r="B375" s="233">
        <v>45573</v>
      </c>
      <c r="C375" s="234">
        <v>330.85287</v>
      </c>
      <c r="D375" s="235">
        <v>158.58862447451119</v>
      </c>
      <c r="E375" s="234">
        <f t="shared" si="20"/>
        <v>158.58862447451119</v>
      </c>
      <c r="F375" s="239"/>
      <c r="G375" s="188" t="str">
        <f t="shared" si="21"/>
        <v/>
      </c>
      <c r="H375" s="236" t="str">
        <f t="shared" si="22"/>
        <v/>
      </c>
      <c r="I375" s="237"/>
    </row>
    <row r="376" spans="1:9">
      <c r="A376" s="232">
        <f t="shared" si="23"/>
        <v>374</v>
      </c>
      <c r="B376" s="233">
        <v>45574</v>
      </c>
      <c r="C376" s="234">
        <v>332.582021</v>
      </c>
      <c r="D376" s="235">
        <v>158.58862447451119</v>
      </c>
      <c r="E376" s="234">
        <f t="shared" si="20"/>
        <v>158.58862447451119</v>
      </c>
      <c r="F376" s="239"/>
      <c r="G376" s="188" t="str">
        <f t="shared" si="21"/>
        <v/>
      </c>
      <c r="H376" s="236" t="str">
        <f t="shared" si="22"/>
        <v/>
      </c>
      <c r="I376" s="237"/>
    </row>
    <row r="377" spans="1:9">
      <c r="A377" s="232">
        <f t="shared" si="23"/>
        <v>375</v>
      </c>
      <c r="B377" s="233">
        <v>45575</v>
      </c>
      <c r="C377" s="234">
        <v>157.51709700000001</v>
      </c>
      <c r="D377" s="235">
        <v>158.58862447451119</v>
      </c>
      <c r="E377" s="234">
        <f t="shared" si="20"/>
        <v>157.51709700000001</v>
      </c>
      <c r="F377" s="239"/>
      <c r="G377" s="188" t="str">
        <f t="shared" si="21"/>
        <v/>
      </c>
      <c r="H377" s="236" t="str">
        <f t="shared" si="22"/>
        <v/>
      </c>
      <c r="I377" s="237"/>
    </row>
    <row r="378" spans="1:9">
      <c r="A378" s="232">
        <f t="shared" si="23"/>
        <v>376</v>
      </c>
      <c r="B378" s="233">
        <v>45576</v>
      </c>
      <c r="C378" s="234">
        <v>128.90489499999998</v>
      </c>
      <c r="D378" s="235">
        <v>158.58862447451119</v>
      </c>
      <c r="E378" s="234">
        <f t="shared" si="20"/>
        <v>128.90489499999998</v>
      </c>
      <c r="F378" s="239"/>
      <c r="G378" s="188" t="str">
        <f t="shared" si="21"/>
        <v/>
      </c>
      <c r="H378" s="236" t="str">
        <f t="shared" si="22"/>
        <v/>
      </c>
      <c r="I378" s="237"/>
    </row>
    <row r="379" spans="1:9">
      <c r="A379" s="232">
        <f t="shared" si="23"/>
        <v>377</v>
      </c>
      <c r="B379" s="233">
        <v>45577</v>
      </c>
      <c r="C379" s="234">
        <v>164.88877499999998</v>
      </c>
      <c r="D379" s="235">
        <v>158.58862447451119</v>
      </c>
      <c r="E379" s="234">
        <f t="shared" si="20"/>
        <v>158.58862447451119</v>
      </c>
      <c r="F379" s="239"/>
      <c r="G379" s="188" t="str">
        <f t="shared" si="21"/>
        <v/>
      </c>
      <c r="H379" s="236" t="str">
        <f t="shared" si="22"/>
        <v/>
      </c>
      <c r="I379" s="237"/>
    </row>
    <row r="380" spans="1:9">
      <c r="A380" s="232">
        <f t="shared" si="23"/>
        <v>378</v>
      </c>
      <c r="B380" s="233">
        <v>45578</v>
      </c>
      <c r="C380" s="234">
        <v>72.970892000000006</v>
      </c>
      <c r="D380" s="235">
        <v>158.58862447451119</v>
      </c>
      <c r="E380" s="234">
        <f t="shared" si="20"/>
        <v>72.970892000000006</v>
      </c>
      <c r="F380" s="239"/>
      <c r="G380" s="188" t="str">
        <f t="shared" si="21"/>
        <v/>
      </c>
      <c r="H380" s="236" t="str">
        <f t="shared" si="22"/>
        <v/>
      </c>
      <c r="I380" s="237"/>
    </row>
    <row r="381" spans="1:9">
      <c r="A381" s="232">
        <f t="shared" si="23"/>
        <v>379</v>
      </c>
      <c r="B381" s="233">
        <v>45579</v>
      </c>
      <c r="C381" s="234">
        <v>81.081192000000001</v>
      </c>
      <c r="D381" s="235">
        <v>158.58862447451119</v>
      </c>
      <c r="E381" s="234">
        <f t="shared" si="20"/>
        <v>81.081192000000001</v>
      </c>
      <c r="F381" s="239"/>
      <c r="G381" s="188" t="str">
        <f t="shared" si="21"/>
        <v/>
      </c>
      <c r="H381" s="236" t="str">
        <f t="shared" si="22"/>
        <v/>
      </c>
      <c r="I381" s="237"/>
    </row>
    <row r="382" spans="1:9">
      <c r="A382" s="232">
        <f t="shared" si="23"/>
        <v>380</v>
      </c>
      <c r="B382" s="233">
        <v>45580</v>
      </c>
      <c r="C382" s="234">
        <v>199.95210699999998</v>
      </c>
      <c r="D382" s="235">
        <v>158.58862447451119</v>
      </c>
      <c r="E382" s="234">
        <f t="shared" ref="E382:E390" si="24">IF(C382&gt;D382,D382,C382)</f>
        <v>158.58862447451119</v>
      </c>
      <c r="F382" s="239"/>
      <c r="G382" s="188" t="str">
        <f t="shared" si="21"/>
        <v>O</v>
      </c>
      <c r="H382" s="236" t="str">
        <f t="shared" si="22"/>
        <v>158,6</v>
      </c>
      <c r="I382" s="237"/>
    </row>
    <row r="383" spans="1:9">
      <c r="A383" s="232">
        <f t="shared" si="23"/>
        <v>381</v>
      </c>
      <c r="B383" s="233">
        <v>45581</v>
      </c>
      <c r="C383" s="234">
        <v>233.343683</v>
      </c>
      <c r="D383" s="235">
        <v>158.58862447451119</v>
      </c>
      <c r="E383" s="234">
        <f t="shared" si="24"/>
        <v>158.58862447451119</v>
      </c>
      <c r="F383" s="239"/>
      <c r="G383" s="188" t="str">
        <f t="shared" si="21"/>
        <v/>
      </c>
      <c r="H383" s="236" t="str">
        <f t="shared" si="22"/>
        <v/>
      </c>
      <c r="I383" s="237"/>
    </row>
    <row r="384" spans="1:9">
      <c r="A384" s="232">
        <f t="shared" si="23"/>
        <v>382</v>
      </c>
      <c r="B384" s="233">
        <v>45582</v>
      </c>
      <c r="C384" s="234">
        <v>244.79140399999997</v>
      </c>
      <c r="D384" s="235">
        <v>158.58862447451119</v>
      </c>
      <c r="E384" s="234">
        <f t="shared" si="24"/>
        <v>158.58862447451119</v>
      </c>
      <c r="F384" s="239"/>
      <c r="G384" s="188" t="str">
        <f t="shared" si="21"/>
        <v/>
      </c>
      <c r="H384" s="236" t="str">
        <f t="shared" si="22"/>
        <v/>
      </c>
      <c r="I384" s="237"/>
    </row>
    <row r="385" spans="1:9">
      <c r="A385" s="232">
        <f t="shared" si="23"/>
        <v>383</v>
      </c>
      <c r="B385" s="233">
        <v>45583</v>
      </c>
      <c r="C385" s="234">
        <v>246.79632100000001</v>
      </c>
      <c r="D385" s="235">
        <v>158.58862447451119</v>
      </c>
      <c r="E385" s="234">
        <f t="shared" si="24"/>
        <v>158.58862447451119</v>
      </c>
      <c r="F385" s="239"/>
      <c r="G385" s="188" t="str">
        <f t="shared" si="21"/>
        <v/>
      </c>
      <c r="H385" s="236" t="str">
        <f t="shared" si="22"/>
        <v/>
      </c>
      <c r="I385" s="237"/>
    </row>
    <row r="386" spans="1:9">
      <c r="A386" s="232">
        <f t="shared" si="23"/>
        <v>384</v>
      </c>
      <c r="B386" s="233">
        <v>45584</v>
      </c>
      <c r="C386" s="234">
        <v>171.44575400000002</v>
      </c>
      <c r="D386" s="235">
        <v>158.58862447451119</v>
      </c>
      <c r="E386" s="234">
        <f t="shared" si="24"/>
        <v>158.58862447451119</v>
      </c>
      <c r="F386" s="239"/>
      <c r="G386" s="188" t="str">
        <f t="shared" si="21"/>
        <v/>
      </c>
      <c r="H386" s="236" t="str">
        <f t="shared" si="22"/>
        <v/>
      </c>
      <c r="I386" s="237"/>
    </row>
    <row r="387" spans="1:9">
      <c r="A387" s="232">
        <f t="shared" si="23"/>
        <v>385</v>
      </c>
      <c r="B387" s="233">
        <v>45585</v>
      </c>
      <c r="C387" s="234">
        <v>117.052217</v>
      </c>
      <c r="D387" s="235">
        <v>158.58862447451119</v>
      </c>
      <c r="E387" s="234">
        <f t="shared" si="24"/>
        <v>117.052217</v>
      </c>
      <c r="F387" s="239"/>
      <c r="G387" s="188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36" t="str">
        <f t="shared" ref="H387:H450" si="26">IF(DAY($B387)=15,TEXT(D387,"#,0"),"")</f>
        <v/>
      </c>
      <c r="I387" s="237"/>
    </row>
    <row r="388" spans="1:9">
      <c r="A388" s="232">
        <f t="shared" ref="A388:A451" si="27">+A387+1</f>
        <v>386</v>
      </c>
      <c r="B388" s="233">
        <v>45586</v>
      </c>
      <c r="C388" s="234">
        <v>83.630014000000017</v>
      </c>
      <c r="D388" s="235">
        <v>158.58862447451119</v>
      </c>
      <c r="E388" s="234">
        <f t="shared" si="24"/>
        <v>83.630014000000017</v>
      </c>
      <c r="F388" s="239"/>
      <c r="G388" s="188" t="str">
        <f t="shared" si="25"/>
        <v/>
      </c>
      <c r="H388" s="236" t="str">
        <f t="shared" si="26"/>
        <v/>
      </c>
      <c r="I388" s="237"/>
    </row>
    <row r="389" spans="1:9">
      <c r="A389" s="232">
        <f t="shared" si="27"/>
        <v>387</v>
      </c>
      <c r="B389" s="233">
        <v>45587</v>
      </c>
      <c r="C389" s="234">
        <v>162.92548300000001</v>
      </c>
      <c r="D389" s="235">
        <v>158.58862447451119</v>
      </c>
      <c r="E389" s="234">
        <f t="shared" si="24"/>
        <v>158.58862447451119</v>
      </c>
      <c r="F389" s="239"/>
      <c r="G389" s="188" t="str">
        <f t="shared" si="25"/>
        <v/>
      </c>
      <c r="H389" s="236" t="str">
        <f t="shared" si="26"/>
        <v/>
      </c>
      <c r="I389" s="237"/>
    </row>
    <row r="390" spans="1:9">
      <c r="A390" s="232">
        <f t="shared" si="27"/>
        <v>388</v>
      </c>
      <c r="B390" s="233">
        <v>45588</v>
      </c>
      <c r="C390" s="234">
        <v>120.51246</v>
      </c>
      <c r="D390" s="235">
        <v>158.58862447451119</v>
      </c>
      <c r="E390" s="234">
        <f t="shared" si="24"/>
        <v>120.51246</v>
      </c>
      <c r="F390" s="239"/>
      <c r="G390" s="188" t="str">
        <f t="shared" si="25"/>
        <v/>
      </c>
      <c r="H390" s="236" t="str">
        <f t="shared" si="26"/>
        <v/>
      </c>
      <c r="I390" s="237"/>
    </row>
    <row r="391" spans="1:9">
      <c r="A391" s="232">
        <f t="shared" si="27"/>
        <v>389</v>
      </c>
      <c r="B391" s="233">
        <v>45589</v>
      </c>
      <c r="C391" s="234">
        <v>175.53221400000001</v>
      </c>
      <c r="D391" s="235">
        <v>158.58862447451119</v>
      </c>
      <c r="E391" s="234">
        <f t="shared" ref="E391:E454" si="28">IF(C391&gt;D391,D391,C391)</f>
        <v>158.58862447451119</v>
      </c>
      <c r="F391" s="239"/>
      <c r="G391" s="188" t="str">
        <f t="shared" si="25"/>
        <v/>
      </c>
      <c r="H391" s="236" t="str">
        <f t="shared" si="26"/>
        <v/>
      </c>
      <c r="I391" s="237"/>
    </row>
    <row r="392" spans="1:9">
      <c r="A392" s="232">
        <f t="shared" si="27"/>
        <v>390</v>
      </c>
      <c r="B392" s="233">
        <v>45590</v>
      </c>
      <c r="C392" s="234">
        <v>151.48751899999999</v>
      </c>
      <c r="D392" s="235">
        <v>158.58862447451119</v>
      </c>
      <c r="E392" s="234">
        <f t="shared" si="28"/>
        <v>151.48751899999999</v>
      </c>
      <c r="F392" s="239"/>
      <c r="G392" s="188" t="str">
        <f t="shared" si="25"/>
        <v/>
      </c>
      <c r="H392" s="236" t="str">
        <f t="shared" si="26"/>
        <v/>
      </c>
      <c r="I392" s="237"/>
    </row>
    <row r="393" spans="1:9">
      <c r="A393" s="232">
        <f t="shared" si="27"/>
        <v>391</v>
      </c>
      <c r="B393" s="233">
        <v>45591</v>
      </c>
      <c r="C393" s="234">
        <v>141.75994200000002</v>
      </c>
      <c r="D393" s="235">
        <v>158.58862447451119</v>
      </c>
      <c r="E393" s="234">
        <f t="shared" si="28"/>
        <v>141.75994200000002</v>
      </c>
      <c r="F393" s="239"/>
      <c r="G393" s="188" t="str">
        <f t="shared" si="25"/>
        <v/>
      </c>
      <c r="H393" s="236" t="str">
        <f t="shared" si="26"/>
        <v/>
      </c>
      <c r="I393" s="237"/>
    </row>
    <row r="394" spans="1:9">
      <c r="A394" s="232">
        <f t="shared" si="27"/>
        <v>392</v>
      </c>
      <c r="B394" s="233">
        <v>45592</v>
      </c>
      <c r="C394" s="234">
        <v>95.336416</v>
      </c>
      <c r="D394" s="235">
        <v>158.58862447451119</v>
      </c>
      <c r="E394" s="234">
        <f t="shared" si="28"/>
        <v>95.336416</v>
      </c>
      <c r="F394" s="239"/>
      <c r="G394" s="188" t="str">
        <f t="shared" si="25"/>
        <v/>
      </c>
      <c r="H394" s="236" t="str">
        <f t="shared" si="26"/>
        <v/>
      </c>
      <c r="I394" s="237"/>
    </row>
    <row r="395" spans="1:9">
      <c r="A395" s="232">
        <f t="shared" si="27"/>
        <v>393</v>
      </c>
      <c r="B395" s="233">
        <v>45593</v>
      </c>
      <c r="C395" s="234">
        <v>199.78502499999999</v>
      </c>
      <c r="D395" s="235">
        <v>158.58862447451119</v>
      </c>
      <c r="E395" s="234">
        <f t="shared" si="28"/>
        <v>158.58862447451119</v>
      </c>
      <c r="F395" s="239"/>
      <c r="G395" s="188" t="str">
        <f t="shared" si="25"/>
        <v/>
      </c>
      <c r="H395" s="236" t="str">
        <f t="shared" si="26"/>
        <v/>
      </c>
      <c r="I395" s="237"/>
    </row>
    <row r="396" spans="1:9">
      <c r="A396" s="232">
        <f t="shared" si="27"/>
        <v>394</v>
      </c>
      <c r="B396" s="233">
        <v>45594</v>
      </c>
      <c r="C396" s="234">
        <v>263.66565200000002</v>
      </c>
      <c r="D396" s="235">
        <v>158.58862447451119</v>
      </c>
      <c r="E396" s="234">
        <f t="shared" si="28"/>
        <v>158.58862447451119</v>
      </c>
      <c r="F396" s="239"/>
      <c r="G396" s="188" t="str">
        <f t="shared" si="25"/>
        <v/>
      </c>
      <c r="H396" s="236" t="str">
        <f t="shared" si="26"/>
        <v/>
      </c>
      <c r="I396" s="237"/>
    </row>
    <row r="397" spans="1:9">
      <c r="A397" s="232">
        <f t="shared" si="27"/>
        <v>395</v>
      </c>
      <c r="B397" s="233">
        <v>45595</v>
      </c>
      <c r="C397" s="234">
        <v>245.58669800000001</v>
      </c>
      <c r="D397" s="235">
        <v>158.58862447451119</v>
      </c>
      <c r="E397" s="234">
        <f t="shared" si="28"/>
        <v>158.58862447451119</v>
      </c>
      <c r="F397" s="239"/>
      <c r="G397" s="188" t="str">
        <f t="shared" si="25"/>
        <v/>
      </c>
      <c r="H397" s="236" t="str">
        <f t="shared" si="26"/>
        <v/>
      </c>
      <c r="I397" s="237"/>
    </row>
    <row r="398" spans="1:9">
      <c r="A398" s="232">
        <f t="shared" si="27"/>
        <v>396</v>
      </c>
      <c r="B398" s="233">
        <v>45596</v>
      </c>
      <c r="C398" s="234">
        <v>126.31444</v>
      </c>
      <c r="D398" s="235">
        <v>158.58862447451119</v>
      </c>
      <c r="E398" s="234">
        <f t="shared" si="28"/>
        <v>126.31444</v>
      </c>
      <c r="F398" s="237"/>
      <c r="G398" s="188" t="str">
        <f t="shared" si="25"/>
        <v/>
      </c>
      <c r="H398" s="236" t="str">
        <f t="shared" si="26"/>
        <v/>
      </c>
      <c r="I398" s="237"/>
    </row>
    <row r="399" spans="1:9">
      <c r="A399" s="232">
        <f t="shared" si="27"/>
        <v>397</v>
      </c>
      <c r="B399" s="233">
        <v>45597</v>
      </c>
      <c r="C399" s="234">
        <v>76.931747000000001</v>
      </c>
      <c r="D399" s="235">
        <v>206.58836225654034</v>
      </c>
      <c r="E399" s="234">
        <f t="shared" si="28"/>
        <v>76.931747000000001</v>
      </c>
      <c r="F399" s="239"/>
      <c r="G399" s="188" t="str">
        <f t="shared" si="25"/>
        <v/>
      </c>
      <c r="H399" s="236" t="str">
        <f t="shared" si="26"/>
        <v/>
      </c>
      <c r="I399" s="237"/>
    </row>
    <row r="400" spans="1:9">
      <c r="A400" s="232">
        <f t="shared" si="27"/>
        <v>398</v>
      </c>
      <c r="B400" s="233">
        <v>45598</v>
      </c>
      <c r="C400" s="234">
        <v>55.120820000000002</v>
      </c>
      <c r="D400" s="235">
        <v>206.58836225654034</v>
      </c>
      <c r="E400" s="234">
        <f t="shared" si="28"/>
        <v>55.120820000000002</v>
      </c>
      <c r="F400" s="239"/>
      <c r="G400" s="188" t="str">
        <f t="shared" si="25"/>
        <v/>
      </c>
      <c r="H400" s="236" t="str">
        <f t="shared" si="26"/>
        <v/>
      </c>
      <c r="I400" s="237"/>
    </row>
    <row r="401" spans="1:9">
      <c r="A401" s="232">
        <f t="shared" si="27"/>
        <v>399</v>
      </c>
      <c r="B401" s="233">
        <v>45599</v>
      </c>
      <c r="C401" s="234">
        <v>125.204784</v>
      </c>
      <c r="D401" s="235">
        <v>206.58836225654034</v>
      </c>
      <c r="E401" s="234">
        <f t="shared" si="28"/>
        <v>125.204784</v>
      </c>
      <c r="F401" s="239"/>
      <c r="G401" s="188" t="str">
        <f t="shared" si="25"/>
        <v/>
      </c>
      <c r="H401" s="236" t="str">
        <f t="shared" si="26"/>
        <v/>
      </c>
      <c r="I401" s="237"/>
    </row>
    <row r="402" spans="1:9">
      <c r="A402" s="232">
        <f t="shared" si="27"/>
        <v>400</v>
      </c>
      <c r="B402" s="233">
        <v>45600</v>
      </c>
      <c r="C402" s="234">
        <v>112.71133400000001</v>
      </c>
      <c r="D402" s="235">
        <v>206.58836225654034</v>
      </c>
      <c r="E402" s="234">
        <f t="shared" si="28"/>
        <v>112.71133400000001</v>
      </c>
      <c r="F402" s="239"/>
      <c r="G402" s="188" t="str">
        <f t="shared" si="25"/>
        <v/>
      </c>
      <c r="H402" s="236" t="str">
        <f t="shared" si="26"/>
        <v/>
      </c>
      <c r="I402" s="237"/>
    </row>
    <row r="403" spans="1:9">
      <c r="A403" s="232">
        <f t="shared" si="27"/>
        <v>401</v>
      </c>
      <c r="B403" s="233">
        <v>45601</v>
      </c>
      <c r="C403" s="234">
        <v>36.601855</v>
      </c>
      <c r="D403" s="235">
        <v>206.58836225654034</v>
      </c>
      <c r="E403" s="234">
        <f t="shared" si="28"/>
        <v>36.601855</v>
      </c>
      <c r="F403" s="239"/>
      <c r="G403" s="188" t="str">
        <f t="shared" si="25"/>
        <v/>
      </c>
      <c r="H403" s="236" t="str">
        <f t="shared" si="26"/>
        <v/>
      </c>
      <c r="I403" s="237"/>
    </row>
    <row r="404" spans="1:9">
      <c r="A404" s="232">
        <f t="shared" si="27"/>
        <v>402</v>
      </c>
      <c r="B404" s="233">
        <v>45602</v>
      </c>
      <c r="C404" s="234">
        <v>51.481109000000004</v>
      </c>
      <c r="D404" s="235">
        <v>206.58836225654034</v>
      </c>
      <c r="E404" s="234">
        <f t="shared" si="28"/>
        <v>51.481109000000004</v>
      </c>
      <c r="F404" s="239"/>
      <c r="G404" s="188" t="str">
        <f t="shared" si="25"/>
        <v/>
      </c>
      <c r="H404" s="236" t="str">
        <f t="shared" si="26"/>
        <v/>
      </c>
      <c r="I404" s="237"/>
    </row>
    <row r="405" spans="1:9">
      <c r="A405" s="232">
        <f t="shared" si="27"/>
        <v>403</v>
      </c>
      <c r="B405" s="233">
        <v>45603</v>
      </c>
      <c r="C405" s="234">
        <v>81.333202</v>
      </c>
      <c r="D405" s="235">
        <v>206.58836225654034</v>
      </c>
      <c r="E405" s="234">
        <f t="shared" si="28"/>
        <v>81.333202</v>
      </c>
      <c r="F405" s="239"/>
      <c r="G405" s="188" t="str">
        <f t="shared" si="25"/>
        <v/>
      </c>
      <c r="H405" s="236" t="str">
        <f t="shared" si="26"/>
        <v/>
      </c>
      <c r="I405" s="237"/>
    </row>
    <row r="406" spans="1:9">
      <c r="A406" s="232">
        <f t="shared" si="27"/>
        <v>404</v>
      </c>
      <c r="B406" s="233">
        <v>45604</v>
      </c>
      <c r="C406" s="234">
        <v>89.719461999999993</v>
      </c>
      <c r="D406" s="235">
        <v>206.58836225654034</v>
      </c>
      <c r="E406" s="234">
        <f t="shared" si="28"/>
        <v>89.719461999999993</v>
      </c>
      <c r="F406" s="239"/>
      <c r="G406" s="188" t="str">
        <f t="shared" si="25"/>
        <v/>
      </c>
      <c r="H406" s="236" t="str">
        <f t="shared" si="26"/>
        <v/>
      </c>
      <c r="I406" s="237"/>
    </row>
    <row r="407" spans="1:9">
      <c r="A407" s="232">
        <f t="shared" si="27"/>
        <v>405</v>
      </c>
      <c r="B407" s="233">
        <v>45605</v>
      </c>
      <c r="C407" s="234">
        <v>133.74336899999997</v>
      </c>
      <c r="D407" s="235">
        <v>206.58836225654034</v>
      </c>
      <c r="E407" s="234">
        <f t="shared" si="28"/>
        <v>133.74336899999997</v>
      </c>
      <c r="F407" s="239"/>
      <c r="G407" s="188" t="str">
        <f t="shared" si="25"/>
        <v/>
      </c>
      <c r="H407" s="236" t="str">
        <f t="shared" si="26"/>
        <v/>
      </c>
      <c r="I407" s="237"/>
    </row>
    <row r="408" spans="1:9">
      <c r="A408" s="232">
        <f t="shared" si="27"/>
        <v>406</v>
      </c>
      <c r="B408" s="233">
        <v>45606</v>
      </c>
      <c r="C408" s="234">
        <v>164.31446700000001</v>
      </c>
      <c r="D408" s="235">
        <v>206.58836225654034</v>
      </c>
      <c r="E408" s="234">
        <f t="shared" si="28"/>
        <v>164.31446700000001</v>
      </c>
      <c r="F408" s="239"/>
      <c r="G408" s="188" t="str">
        <f t="shared" si="25"/>
        <v/>
      </c>
      <c r="H408" s="236" t="str">
        <f t="shared" si="26"/>
        <v/>
      </c>
      <c r="I408" s="237"/>
    </row>
    <row r="409" spans="1:9">
      <c r="A409" s="232">
        <f t="shared" si="27"/>
        <v>407</v>
      </c>
      <c r="B409" s="233">
        <v>45607</v>
      </c>
      <c r="C409" s="234">
        <v>245.01193399999997</v>
      </c>
      <c r="D409" s="235">
        <v>206.58836225654034</v>
      </c>
      <c r="E409" s="234">
        <f t="shared" si="28"/>
        <v>206.58836225654034</v>
      </c>
      <c r="F409" s="239"/>
      <c r="G409" s="188" t="str">
        <f t="shared" si="25"/>
        <v/>
      </c>
      <c r="H409" s="236" t="str">
        <f t="shared" si="26"/>
        <v/>
      </c>
      <c r="I409" s="237"/>
    </row>
    <row r="410" spans="1:9">
      <c r="A410" s="232">
        <f t="shared" si="27"/>
        <v>408</v>
      </c>
      <c r="B410" s="233">
        <v>45608</v>
      </c>
      <c r="C410" s="234">
        <v>298.69580899999994</v>
      </c>
      <c r="D410" s="235">
        <v>206.58836225654034</v>
      </c>
      <c r="E410" s="234">
        <f t="shared" si="28"/>
        <v>206.58836225654034</v>
      </c>
      <c r="F410" s="239"/>
      <c r="G410" s="188" t="str">
        <f t="shared" si="25"/>
        <v/>
      </c>
      <c r="H410" s="236" t="str">
        <f t="shared" si="26"/>
        <v/>
      </c>
      <c r="I410" s="237"/>
    </row>
    <row r="411" spans="1:9">
      <c r="A411" s="232">
        <f t="shared" si="27"/>
        <v>409</v>
      </c>
      <c r="B411" s="233">
        <v>45609</v>
      </c>
      <c r="C411" s="234">
        <v>251.43123199999999</v>
      </c>
      <c r="D411" s="235">
        <v>206.58836225654034</v>
      </c>
      <c r="E411" s="234">
        <f t="shared" si="28"/>
        <v>206.58836225654034</v>
      </c>
      <c r="F411" s="239"/>
      <c r="G411" s="188" t="str">
        <f t="shared" si="25"/>
        <v/>
      </c>
      <c r="H411" s="236" t="str">
        <f t="shared" si="26"/>
        <v/>
      </c>
      <c r="I411" s="237"/>
    </row>
    <row r="412" spans="1:9">
      <c r="A412" s="232">
        <f t="shared" si="27"/>
        <v>410</v>
      </c>
      <c r="B412" s="233">
        <v>45610</v>
      </c>
      <c r="C412" s="234">
        <v>187.32002799999998</v>
      </c>
      <c r="D412" s="235">
        <v>206.58836225654034</v>
      </c>
      <c r="E412" s="234">
        <f t="shared" si="28"/>
        <v>187.32002799999998</v>
      </c>
      <c r="F412" s="239"/>
      <c r="G412" s="188" t="str">
        <f t="shared" si="25"/>
        <v/>
      </c>
      <c r="H412" s="236" t="str">
        <f t="shared" si="26"/>
        <v/>
      </c>
      <c r="I412" s="237"/>
    </row>
    <row r="413" spans="1:9">
      <c r="A413" s="232">
        <f t="shared" si="27"/>
        <v>411</v>
      </c>
      <c r="B413" s="233">
        <v>45611</v>
      </c>
      <c r="C413" s="234">
        <v>139.87811899999997</v>
      </c>
      <c r="D413" s="235">
        <v>206.58836225654034</v>
      </c>
      <c r="E413" s="234">
        <f t="shared" si="28"/>
        <v>139.87811899999997</v>
      </c>
      <c r="F413" s="239"/>
      <c r="G413" s="188" t="str">
        <f t="shared" si="25"/>
        <v>N</v>
      </c>
      <c r="H413" s="236" t="str">
        <f t="shared" si="26"/>
        <v>206,6</v>
      </c>
      <c r="I413" s="237"/>
    </row>
    <row r="414" spans="1:9">
      <c r="A414" s="232">
        <f t="shared" si="27"/>
        <v>412</v>
      </c>
      <c r="B414" s="233">
        <v>45612</v>
      </c>
      <c r="C414" s="234">
        <v>109.89834399999999</v>
      </c>
      <c r="D414" s="235">
        <v>206.58836225654034</v>
      </c>
      <c r="E414" s="234">
        <f t="shared" si="28"/>
        <v>109.89834399999999</v>
      </c>
      <c r="F414" s="239"/>
      <c r="G414" s="188" t="str">
        <f t="shared" si="25"/>
        <v/>
      </c>
      <c r="H414" s="236" t="str">
        <f t="shared" si="26"/>
        <v/>
      </c>
      <c r="I414" s="237"/>
    </row>
    <row r="415" spans="1:9">
      <c r="A415" s="232">
        <f t="shared" si="27"/>
        <v>413</v>
      </c>
      <c r="B415" s="233">
        <v>45613</v>
      </c>
      <c r="C415" s="234">
        <v>56.989307999999994</v>
      </c>
      <c r="D415" s="235">
        <v>206.58836225654034</v>
      </c>
      <c r="E415" s="234">
        <f t="shared" si="28"/>
        <v>56.989307999999994</v>
      </c>
      <c r="F415" s="239"/>
      <c r="G415" s="188" t="str">
        <f t="shared" si="25"/>
        <v/>
      </c>
      <c r="H415" s="236" t="str">
        <f t="shared" si="26"/>
        <v/>
      </c>
      <c r="I415" s="237"/>
    </row>
    <row r="416" spans="1:9">
      <c r="A416" s="232">
        <f t="shared" si="27"/>
        <v>414</v>
      </c>
      <c r="B416" s="233">
        <v>45614</v>
      </c>
      <c r="C416" s="234">
        <v>39.763338000000005</v>
      </c>
      <c r="D416" s="235">
        <v>206.58836225654034</v>
      </c>
      <c r="E416" s="234">
        <f t="shared" si="28"/>
        <v>39.763338000000005</v>
      </c>
      <c r="F416" s="239"/>
      <c r="G416" s="188" t="str">
        <f t="shared" si="25"/>
        <v/>
      </c>
      <c r="H416" s="236" t="str">
        <f t="shared" si="26"/>
        <v/>
      </c>
      <c r="I416" s="237"/>
    </row>
    <row r="417" spans="1:9">
      <c r="A417" s="232">
        <f t="shared" si="27"/>
        <v>415</v>
      </c>
      <c r="B417" s="233">
        <v>45615</v>
      </c>
      <c r="C417" s="234">
        <v>144.488213</v>
      </c>
      <c r="D417" s="235">
        <v>206.58836225654034</v>
      </c>
      <c r="E417" s="234">
        <f t="shared" si="28"/>
        <v>144.488213</v>
      </c>
      <c r="F417" s="239"/>
      <c r="G417" s="188" t="str">
        <f t="shared" si="25"/>
        <v/>
      </c>
      <c r="H417" s="236" t="str">
        <f t="shared" si="26"/>
        <v/>
      </c>
      <c r="I417" s="237"/>
    </row>
    <row r="418" spans="1:9">
      <c r="A418" s="232">
        <f t="shared" si="27"/>
        <v>416</v>
      </c>
      <c r="B418" s="233">
        <v>45616</v>
      </c>
      <c r="C418" s="234">
        <v>338.74631499999998</v>
      </c>
      <c r="D418" s="235">
        <v>206.58836225654034</v>
      </c>
      <c r="E418" s="234">
        <f t="shared" si="28"/>
        <v>206.58836225654034</v>
      </c>
      <c r="F418" s="239"/>
      <c r="G418" s="188" t="str">
        <f t="shared" si="25"/>
        <v/>
      </c>
      <c r="H418" s="236" t="str">
        <f t="shared" si="26"/>
        <v/>
      </c>
      <c r="I418" s="237"/>
    </row>
    <row r="419" spans="1:9">
      <c r="A419" s="232">
        <f t="shared" si="27"/>
        <v>417</v>
      </c>
      <c r="B419" s="233">
        <v>45617</v>
      </c>
      <c r="C419" s="234">
        <v>441.09243100000003</v>
      </c>
      <c r="D419" s="235">
        <v>206.58836225654034</v>
      </c>
      <c r="E419" s="234">
        <f t="shared" si="28"/>
        <v>206.58836225654034</v>
      </c>
      <c r="F419" s="239"/>
      <c r="G419" s="188" t="str">
        <f t="shared" si="25"/>
        <v/>
      </c>
      <c r="H419" s="236" t="str">
        <f t="shared" si="26"/>
        <v/>
      </c>
      <c r="I419" s="237"/>
    </row>
    <row r="420" spans="1:9">
      <c r="A420" s="232">
        <f t="shared" si="27"/>
        <v>418</v>
      </c>
      <c r="B420" s="233">
        <v>45618</v>
      </c>
      <c r="C420" s="234">
        <v>259.83363499999996</v>
      </c>
      <c r="D420" s="235">
        <v>206.58836225654034</v>
      </c>
      <c r="E420" s="234">
        <f t="shared" si="28"/>
        <v>206.58836225654034</v>
      </c>
      <c r="F420" s="239"/>
      <c r="G420" s="188" t="str">
        <f t="shared" si="25"/>
        <v/>
      </c>
      <c r="H420" s="236" t="str">
        <f t="shared" si="26"/>
        <v/>
      </c>
      <c r="I420" s="237"/>
    </row>
    <row r="421" spans="1:9">
      <c r="A421" s="232">
        <f t="shared" si="27"/>
        <v>419</v>
      </c>
      <c r="B421" s="233">
        <v>45619</v>
      </c>
      <c r="C421" s="234">
        <v>239.93852200000001</v>
      </c>
      <c r="D421" s="235">
        <v>206.58836225654034</v>
      </c>
      <c r="E421" s="234">
        <f t="shared" si="28"/>
        <v>206.58836225654034</v>
      </c>
      <c r="F421" s="239"/>
      <c r="G421" s="188" t="str">
        <f t="shared" si="25"/>
        <v/>
      </c>
      <c r="H421" s="236" t="str">
        <f t="shared" si="26"/>
        <v/>
      </c>
      <c r="I421" s="237"/>
    </row>
    <row r="422" spans="1:9">
      <c r="A422" s="232">
        <f t="shared" si="27"/>
        <v>420</v>
      </c>
      <c r="B422" s="233">
        <v>45620</v>
      </c>
      <c r="C422" s="234">
        <v>327.40975099999997</v>
      </c>
      <c r="D422" s="235">
        <v>206.58836225654034</v>
      </c>
      <c r="E422" s="234">
        <f t="shared" si="28"/>
        <v>206.58836225654034</v>
      </c>
      <c r="F422" s="239"/>
      <c r="G422" s="188" t="str">
        <f t="shared" si="25"/>
        <v/>
      </c>
      <c r="H422" s="236" t="str">
        <f t="shared" si="26"/>
        <v/>
      </c>
      <c r="I422" s="237"/>
    </row>
    <row r="423" spans="1:9">
      <c r="A423" s="232">
        <f t="shared" si="27"/>
        <v>421</v>
      </c>
      <c r="B423" s="233">
        <v>45621</v>
      </c>
      <c r="C423" s="234">
        <v>295.82170000000002</v>
      </c>
      <c r="D423" s="235">
        <v>206.58836225654034</v>
      </c>
      <c r="E423" s="234">
        <f t="shared" si="28"/>
        <v>206.58836225654034</v>
      </c>
      <c r="F423" s="239"/>
      <c r="G423" s="188" t="str">
        <f t="shared" si="25"/>
        <v/>
      </c>
      <c r="H423" s="236" t="str">
        <f t="shared" si="26"/>
        <v/>
      </c>
      <c r="I423" s="237"/>
    </row>
    <row r="424" spans="1:9">
      <c r="A424" s="232">
        <f t="shared" si="27"/>
        <v>422</v>
      </c>
      <c r="B424" s="233">
        <v>45622</v>
      </c>
      <c r="C424" s="234">
        <v>99.086891000000008</v>
      </c>
      <c r="D424" s="235">
        <v>206.58836225654034</v>
      </c>
      <c r="E424" s="234">
        <f t="shared" si="28"/>
        <v>99.086891000000008</v>
      </c>
      <c r="F424" s="239"/>
      <c r="G424" s="188" t="str">
        <f t="shared" si="25"/>
        <v/>
      </c>
      <c r="H424" s="236" t="str">
        <f t="shared" si="26"/>
        <v/>
      </c>
      <c r="I424" s="237"/>
    </row>
    <row r="425" spans="1:9">
      <c r="A425" s="232">
        <f t="shared" si="27"/>
        <v>423</v>
      </c>
      <c r="B425" s="233">
        <v>45623</v>
      </c>
      <c r="C425" s="234">
        <v>77.781571</v>
      </c>
      <c r="D425" s="235">
        <v>206.58836225654034</v>
      </c>
      <c r="E425" s="234">
        <f t="shared" si="28"/>
        <v>77.781571</v>
      </c>
      <c r="F425" s="239"/>
      <c r="G425" s="188" t="str">
        <f t="shared" si="25"/>
        <v/>
      </c>
      <c r="H425" s="236" t="str">
        <f t="shared" si="26"/>
        <v/>
      </c>
      <c r="I425" s="237"/>
    </row>
    <row r="426" spans="1:9">
      <c r="A426" s="232">
        <f t="shared" si="27"/>
        <v>424</v>
      </c>
      <c r="B426" s="233">
        <v>45624</v>
      </c>
      <c r="C426" s="234">
        <v>91.143726999999998</v>
      </c>
      <c r="D426" s="235">
        <v>206.58836225654034</v>
      </c>
      <c r="E426" s="234">
        <f t="shared" si="28"/>
        <v>91.143726999999998</v>
      </c>
      <c r="F426" s="239"/>
      <c r="G426" s="188" t="str">
        <f t="shared" si="25"/>
        <v/>
      </c>
      <c r="H426" s="236" t="str">
        <f t="shared" si="26"/>
        <v/>
      </c>
      <c r="I426" s="237"/>
    </row>
    <row r="427" spans="1:9">
      <c r="A427" s="232">
        <f t="shared" si="27"/>
        <v>425</v>
      </c>
      <c r="B427" s="233">
        <v>45625</v>
      </c>
      <c r="C427" s="234">
        <v>145.74843299999998</v>
      </c>
      <c r="D427" s="235">
        <v>206.58836225654034</v>
      </c>
      <c r="E427" s="234">
        <f t="shared" si="28"/>
        <v>145.74843299999998</v>
      </c>
      <c r="F427" s="239"/>
      <c r="G427" s="188" t="str">
        <f t="shared" si="25"/>
        <v/>
      </c>
      <c r="H427" s="236" t="str">
        <f t="shared" si="26"/>
        <v/>
      </c>
      <c r="I427" s="237"/>
    </row>
    <row r="428" spans="1:9">
      <c r="A428" s="232">
        <f t="shared" si="27"/>
        <v>426</v>
      </c>
      <c r="B428" s="233">
        <v>45626</v>
      </c>
      <c r="C428" s="234">
        <v>103.236913</v>
      </c>
      <c r="D428" s="235">
        <v>206.58836225654034</v>
      </c>
      <c r="E428" s="234">
        <f t="shared" si="28"/>
        <v>103.236913</v>
      </c>
      <c r="F428" s="237"/>
      <c r="G428" s="188" t="str">
        <f t="shared" si="25"/>
        <v/>
      </c>
      <c r="H428" s="236" t="str">
        <f t="shared" si="26"/>
        <v/>
      </c>
      <c r="I428" s="237"/>
    </row>
    <row r="429" spans="1:9">
      <c r="A429" s="232">
        <f t="shared" si="27"/>
        <v>427</v>
      </c>
      <c r="B429" s="233">
        <v>45627</v>
      </c>
      <c r="C429" s="234">
        <v>85.14557099999999</v>
      </c>
      <c r="D429" s="235">
        <v>197.24299123529053</v>
      </c>
      <c r="E429" s="234">
        <f t="shared" si="28"/>
        <v>85.14557099999999</v>
      </c>
      <c r="F429" s="239"/>
      <c r="G429" s="188" t="str">
        <f t="shared" si="25"/>
        <v/>
      </c>
      <c r="H429" s="236" t="str">
        <f t="shared" si="26"/>
        <v/>
      </c>
      <c r="I429" s="237"/>
    </row>
    <row r="430" spans="1:9">
      <c r="A430" s="232">
        <f t="shared" si="27"/>
        <v>428</v>
      </c>
      <c r="B430" s="233">
        <v>45628</v>
      </c>
      <c r="C430" s="234">
        <v>70.599469999999997</v>
      </c>
      <c r="D430" s="235">
        <v>197.24299123529053</v>
      </c>
      <c r="E430" s="234">
        <f t="shared" si="28"/>
        <v>70.599469999999997</v>
      </c>
      <c r="F430" s="239"/>
      <c r="G430" s="188" t="str">
        <f t="shared" si="25"/>
        <v/>
      </c>
      <c r="H430" s="236" t="str">
        <f t="shared" si="26"/>
        <v/>
      </c>
      <c r="I430" s="237"/>
    </row>
    <row r="431" spans="1:9">
      <c r="A431" s="232">
        <f t="shared" si="27"/>
        <v>429</v>
      </c>
      <c r="B431" s="233">
        <v>45629</v>
      </c>
      <c r="C431" s="234">
        <v>129.40656200000001</v>
      </c>
      <c r="D431" s="235">
        <v>197.24299123529053</v>
      </c>
      <c r="E431" s="234">
        <f t="shared" si="28"/>
        <v>129.40656200000001</v>
      </c>
      <c r="F431" s="239"/>
      <c r="G431" s="188" t="str">
        <f t="shared" si="25"/>
        <v/>
      </c>
      <c r="H431" s="236" t="str">
        <f t="shared" si="26"/>
        <v/>
      </c>
      <c r="I431" s="237"/>
    </row>
    <row r="432" spans="1:9">
      <c r="A432" s="232">
        <f t="shared" si="27"/>
        <v>430</v>
      </c>
      <c r="B432" s="233">
        <v>45630</v>
      </c>
      <c r="C432" s="234">
        <v>240.59485999999998</v>
      </c>
      <c r="D432" s="235">
        <v>197.24299123529053</v>
      </c>
      <c r="E432" s="234">
        <f t="shared" si="28"/>
        <v>197.24299123529053</v>
      </c>
      <c r="F432" s="239"/>
      <c r="G432" s="188" t="str">
        <f t="shared" si="25"/>
        <v/>
      </c>
      <c r="H432" s="236" t="str">
        <f t="shared" si="26"/>
        <v/>
      </c>
      <c r="I432" s="237"/>
    </row>
    <row r="433" spans="1:9">
      <c r="A433" s="232">
        <f t="shared" si="27"/>
        <v>431</v>
      </c>
      <c r="B433" s="233">
        <v>45631</v>
      </c>
      <c r="C433" s="234">
        <v>192.42606899999998</v>
      </c>
      <c r="D433" s="235">
        <v>197.24299123529053</v>
      </c>
      <c r="E433" s="234">
        <f t="shared" si="28"/>
        <v>192.42606899999998</v>
      </c>
      <c r="F433" s="239"/>
      <c r="G433" s="188" t="str">
        <f t="shared" si="25"/>
        <v/>
      </c>
      <c r="H433" s="236" t="str">
        <f t="shared" si="26"/>
        <v/>
      </c>
      <c r="I433" s="237"/>
    </row>
    <row r="434" spans="1:9">
      <c r="A434" s="232">
        <f t="shared" si="27"/>
        <v>432</v>
      </c>
      <c r="B434" s="233">
        <v>45632</v>
      </c>
      <c r="C434" s="234">
        <v>237.226057</v>
      </c>
      <c r="D434" s="235">
        <v>197.24299123529053</v>
      </c>
      <c r="E434" s="234">
        <f t="shared" si="28"/>
        <v>197.24299123529053</v>
      </c>
      <c r="F434" s="239"/>
      <c r="G434" s="188" t="str">
        <f t="shared" si="25"/>
        <v/>
      </c>
      <c r="H434" s="236" t="str">
        <f t="shared" si="26"/>
        <v/>
      </c>
      <c r="I434" s="237"/>
    </row>
    <row r="435" spans="1:9">
      <c r="A435" s="232">
        <f t="shared" si="27"/>
        <v>433</v>
      </c>
      <c r="B435" s="233">
        <v>45633</v>
      </c>
      <c r="C435" s="234">
        <v>330.15532200000001</v>
      </c>
      <c r="D435" s="235">
        <v>197.24299123529053</v>
      </c>
      <c r="E435" s="234">
        <f t="shared" si="28"/>
        <v>197.24299123529053</v>
      </c>
      <c r="F435" s="239"/>
      <c r="G435" s="188" t="str">
        <f t="shared" si="25"/>
        <v/>
      </c>
      <c r="H435" s="236" t="str">
        <f t="shared" si="26"/>
        <v/>
      </c>
      <c r="I435" s="237"/>
    </row>
    <row r="436" spans="1:9">
      <c r="A436" s="232">
        <f t="shared" si="27"/>
        <v>434</v>
      </c>
      <c r="B436" s="233">
        <v>45634</v>
      </c>
      <c r="C436" s="234">
        <v>359.24616800000001</v>
      </c>
      <c r="D436" s="235">
        <v>197.24299123529053</v>
      </c>
      <c r="E436" s="234">
        <f t="shared" si="28"/>
        <v>197.24299123529053</v>
      </c>
      <c r="F436" s="239"/>
      <c r="G436" s="188" t="str">
        <f t="shared" si="25"/>
        <v/>
      </c>
      <c r="H436" s="236" t="str">
        <f t="shared" si="26"/>
        <v/>
      </c>
      <c r="I436" s="237"/>
    </row>
    <row r="437" spans="1:9">
      <c r="A437" s="232">
        <f t="shared" si="27"/>
        <v>435</v>
      </c>
      <c r="B437" s="233">
        <v>45635</v>
      </c>
      <c r="C437" s="234">
        <v>355.82025699999997</v>
      </c>
      <c r="D437" s="235">
        <v>197.24299123529053</v>
      </c>
      <c r="E437" s="234">
        <f t="shared" si="28"/>
        <v>197.24299123529053</v>
      </c>
      <c r="F437" s="239"/>
      <c r="G437" s="188" t="str">
        <f t="shared" si="25"/>
        <v/>
      </c>
      <c r="H437" s="236" t="str">
        <f t="shared" si="26"/>
        <v/>
      </c>
      <c r="I437" s="237"/>
    </row>
    <row r="438" spans="1:9">
      <c r="A438" s="232">
        <f t="shared" si="27"/>
        <v>436</v>
      </c>
      <c r="B438" s="233">
        <v>45636</v>
      </c>
      <c r="C438" s="234">
        <v>169.756168</v>
      </c>
      <c r="D438" s="235">
        <v>197.24299123529053</v>
      </c>
      <c r="E438" s="234">
        <f t="shared" si="28"/>
        <v>169.756168</v>
      </c>
      <c r="F438" s="239"/>
      <c r="G438" s="188" t="str">
        <f t="shared" si="25"/>
        <v/>
      </c>
      <c r="H438" s="236" t="str">
        <f t="shared" si="26"/>
        <v/>
      </c>
      <c r="I438" s="237"/>
    </row>
    <row r="439" spans="1:9">
      <c r="A439" s="232">
        <f t="shared" si="27"/>
        <v>437</v>
      </c>
      <c r="B439" s="233">
        <v>45637</v>
      </c>
      <c r="C439" s="234">
        <v>44.381824000000002</v>
      </c>
      <c r="D439" s="235">
        <v>197.24299123529053</v>
      </c>
      <c r="E439" s="234">
        <f t="shared" si="28"/>
        <v>44.381824000000002</v>
      </c>
      <c r="F439" s="239"/>
      <c r="G439" s="188" t="str">
        <f t="shared" si="25"/>
        <v/>
      </c>
      <c r="H439" s="236" t="str">
        <f t="shared" si="26"/>
        <v/>
      </c>
      <c r="I439" s="237"/>
    </row>
    <row r="440" spans="1:9">
      <c r="A440" s="232">
        <f t="shared" si="27"/>
        <v>438</v>
      </c>
      <c r="B440" s="233">
        <v>45638</v>
      </c>
      <c r="C440" s="234">
        <v>63.364561000000002</v>
      </c>
      <c r="D440" s="235">
        <v>197.24299123529053</v>
      </c>
      <c r="E440" s="234">
        <f t="shared" si="28"/>
        <v>63.364561000000002</v>
      </c>
      <c r="F440" s="239"/>
      <c r="G440" s="188" t="str">
        <f t="shared" si="25"/>
        <v/>
      </c>
      <c r="H440" s="236" t="str">
        <f t="shared" si="26"/>
        <v/>
      </c>
      <c r="I440" s="237"/>
    </row>
    <row r="441" spans="1:9">
      <c r="A441" s="232">
        <f t="shared" si="27"/>
        <v>439</v>
      </c>
      <c r="B441" s="233">
        <v>45639</v>
      </c>
      <c r="C441" s="234">
        <v>29.612646000000002</v>
      </c>
      <c r="D441" s="235">
        <v>197.24299123529053</v>
      </c>
      <c r="E441" s="234">
        <f t="shared" si="28"/>
        <v>29.612646000000002</v>
      </c>
      <c r="F441" s="239"/>
      <c r="G441" s="188" t="str">
        <f t="shared" si="25"/>
        <v/>
      </c>
      <c r="H441" s="236" t="str">
        <f t="shared" si="26"/>
        <v/>
      </c>
      <c r="I441" s="237"/>
    </row>
    <row r="442" spans="1:9">
      <c r="A442" s="232">
        <f t="shared" si="27"/>
        <v>440</v>
      </c>
      <c r="B442" s="233">
        <v>45640</v>
      </c>
      <c r="C442" s="234">
        <v>109.12266000000001</v>
      </c>
      <c r="D442" s="235">
        <v>197.24299123529053</v>
      </c>
      <c r="E442" s="234">
        <f t="shared" si="28"/>
        <v>109.12266000000001</v>
      </c>
      <c r="F442" s="239"/>
      <c r="G442" s="188" t="str">
        <f t="shared" si="25"/>
        <v/>
      </c>
      <c r="H442" s="236" t="str">
        <f t="shared" si="26"/>
        <v/>
      </c>
      <c r="I442" s="237"/>
    </row>
    <row r="443" spans="1:9">
      <c r="A443" s="232">
        <f t="shared" si="27"/>
        <v>441</v>
      </c>
      <c r="B443" s="233">
        <v>45641</v>
      </c>
      <c r="C443" s="234">
        <v>220.339617</v>
      </c>
      <c r="D443" s="235">
        <v>197.24299123529053</v>
      </c>
      <c r="E443" s="234">
        <f t="shared" si="28"/>
        <v>197.24299123529053</v>
      </c>
      <c r="F443" s="239"/>
      <c r="G443" s="188" t="str">
        <f t="shared" si="25"/>
        <v>D</v>
      </c>
      <c r="H443" s="236" t="str">
        <f t="shared" si="26"/>
        <v>197,2</v>
      </c>
      <c r="I443" s="237"/>
    </row>
    <row r="444" spans="1:9">
      <c r="A444" s="232">
        <f t="shared" si="27"/>
        <v>442</v>
      </c>
      <c r="B444" s="233">
        <v>45642</v>
      </c>
      <c r="C444" s="234">
        <v>150.424226</v>
      </c>
      <c r="D444" s="235">
        <v>197.24299123529053</v>
      </c>
      <c r="E444" s="234">
        <f t="shared" si="28"/>
        <v>150.424226</v>
      </c>
      <c r="F444" s="239"/>
      <c r="G444" s="188" t="str">
        <f t="shared" si="25"/>
        <v/>
      </c>
      <c r="H444" s="236" t="str">
        <f t="shared" si="26"/>
        <v/>
      </c>
      <c r="I444" s="237"/>
    </row>
    <row r="445" spans="1:9">
      <c r="A445" s="232">
        <f t="shared" si="27"/>
        <v>443</v>
      </c>
      <c r="B445" s="233">
        <v>45643</v>
      </c>
      <c r="C445" s="234">
        <v>159.424904</v>
      </c>
      <c r="D445" s="235">
        <v>197.24299123529053</v>
      </c>
      <c r="E445" s="234">
        <f t="shared" si="28"/>
        <v>159.424904</v>
      </c>
      <c r="F445" s="239"/>
      <c r="G445" s="188" t="str">
        <f t="shared" si="25"/>
        <v/>
      </c>
      <c r="H445" s="236" t="str">
        <f t="shared" si="26"/>
        <v/>
      </c>
      <c r="I445" s="237"/>
    </row>
    <row r="446" spans="1:9">
      <c r="A446" s="232">
        <f t="shared" si="27"/>
        <v>444</v>
      </c>
      <c r="B446" s="233">
        <v>45644</v>
      </c>
      <c r="C446" s="234">
        <v>211.78661700000001</v>
      </c>
      <c r="D446" s="235">
        <v>197.24299123529053</v>
      </c>
      <c r="E446" s="234">
        <f t="shared" si="28"/>
        <v>197.24299123529053</v>
      </c>
      <c r="F446" s="239"/>
      <c r="G446" s="188" t="str">
        <f t="shared" si="25"/>
        <v/>
      </c>
      <c r="H446" s="236" t="str">
        <f t="shared" si="26"/>
        <v/>
      </c>
      <c r="I446" s="237"/>
    </row>
    <row r="447" spans="1:9">
      <c r="A447" s="232">
        <f t="shared" si="27"/>
        <v>445</v>
      </c>
      <c r="B447" s="233">
        <v>45645</v>
      </c>
      <c r="C447" s="234">
        <v>360.69541199999998</v>
      </c>
      <c r="D447" s="235">
        <v>197.24299123529053</v>
      </c>
      <c r="E447" s="234">
        <f t="shared" si="28"/>
        <v>197.24299123529053</v>
      </c>
      <c r="F447" s="239"/>
      <c r="G447" s="188" t="str">
        <f t="shared" si="25"/>
        <v/>
      </c>
      <c r="H447" s="236" t="str">
        <f t="shared" si="26"/>
        <v/>
      </c>
      <c r="I447" s="237"/>
    </row>
    <row r="448" spans="1:9">
      <c r="A448" s="232">
        <f t="shared" si="27"/>
        <v>446</v>
      </c>
      <c r="B448" s="233">
        <v>45646</v>
      </c>
      <c r="C448" s="234">
        <v>238.76478500000002</v>
      </c>
      <c r="D448" s="235">
        <v>197.24299123529053</v>
      </c>
      <c r="E448" s="234">
        <f t="shared" si="28"/>
        <v>197.24299123529053</v>
      </c>
      <c r="F448" s="239"/>
      <c r="G448" s="188" t="str">
        <f t="shared" si="25"/>
        <v/>
      </c>
      <c r="H448" s="236" t="str">
        <f t="shared" si="26"/>
        <v/>
      </c>
      <c r="I448" s="237"/>
    </row>
    <row r="449" spans="1:9">
      <c r="A449" s="232">
        <f t="shared" si="27"/>
        <v>447</v>
      </c>
      <c r="B449" s="233">
        <v>45647</v>
      </c>
      <c r="C449" s="234">
        <v>172.575818</v>
      </c>
      <c r="D449" s="235">
        <v>197.24299123529053</v>
      </c>
      <c r="E449" s="234">
        <f t="shared" si="28"/>
        <v>172.575818</v>
      </c>
      <c r="F449" s="239"/>
      <c r="G449" s="188" t="str">
        <f t="shared" si="25"/>
        <v/>
      </c>
      <c r="H449" s="236" t="str">
        <f t="shared" si="26"/>
        <v/>
      </c>
      <c r="I449" s="237"/>
    </row>
    <row r="450" spans="1:9">
      <c r="A450" s="232">
        <f t="shared" si="27"/>
        <v>448</v>
      </c>
      <c r="B450" s="233">
        <v>45648</v>
      </c>
      <c r="C450" s="234">
        <v>266.56708399999997</v>
      </c>
      <c r="D450" s="235">
        <v>197.24299123529053</v>
      </c>
      <c r="E450" s="234">
        <f t="shared" si="28"/>
        <v>197.24299123529053</v>
      </c>
      <c r="F450" s="239"/>
      <c r="G450" s="188" t="str">
        <f t="shared" si="25"/>
        <v/>
      </c>
      <c r="H450" s="236" t="str">
        <f t="shared" si="26"/>
        <v/>
      </c>
      <c r="I450" s="237"/>
    </row>
    <row r="451" spans="1:9">
      <c r="A451" s="232">
        <f t="shared" si="27"/>
        <v>449</v>
      </c>
      <c r="B451" s="233">
        <v>45649</v>
      </c>
      <c r="C451" s="234">
        <v>346.45263599999998</v>
      </c>
      <c r="D451" s="235">
        <v>197.24299123529053</v>
      </c>
      <c r="E451" s="234">
        <f t="shared" si="28"/>
        <v>197.24299123529053</v>
      </c>
      <c r="F451" s="239"/>
      <c r="G451" s="188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36" t="str">
        <f t="shared" ref="H451:H514" si="30">IF(DAY($B451)=15,TEXT(D451,"#,0"),"")</f>
        <v/>
      </c>
      <c r="I451" s="237"/>
    </row>
    <row r="452" spans="1:9">
      <c r="A452" s="232">
        <f t="shared" ref="A452:A515" si="31">+A451+1</f>
        <v>450</v>
      </c>
      <c r="B452" s="233">
        <v>45650</v>
      </c>
      <c r="C452" s="234">
        <v>281.35492199999999</v>
      </c>
      <c r="D452" s="235">
        <v>197.24299123529053</v>
      </c>
      <c r="E452" s="234">
        <f t="shared" si="28"/>
        <v>197.24299123529053</v>
      </c>
      <c r="F452" s="239"/>
      <c r="G452" s="188" t="str">
        <f t="shared" si="29"/>
        <v/>
      </c>
      <c r="H452" s="236" t="str">
        <f t="shared" si="30"/>
        <v/>
      </c>
      <c r="I452" s="237"/>
    </row>
    <row r="453" spans="1:9">
      <c r="A453" s="232">
        <f t="shared" si="31"/>
        <v>451</v>
      </c>
      <c r="B453" s="233">
        <v>45651</v>
      </c>
      <c r="C453" s="234">
        <v>109.379043</v>
      </c>
      <c r="D453" s="235">
        <v>197.24299123529053</v>
      </c>
      <c r="E453" s="234">
        <f t="shared" si="28"/>
        <v>109.379043</v>
      </c>
      <c r="F453" s="239"/>
      <c r="G453" s="188" t="str">
        <f t="shared" si="29"/>
        <v/>
      </c>
      <c r="H453" s="236" t="str">
        <f t="shared" si="30"/>
        <v/>
      </c>
      <c r="I453" s="237"/>
    </row>
    <row r="454" spans="1:9">
      <c r="A454" s="232">
        <f t="shared" si="31"/>
        <v>452</v>
      </c>
      <c r="B454" s="233">
        <v>45652</v>
      </c>
      <c r="C454" s="234">
        <v>57.152721</v>
      </c>
      <c r="D454" s="235">
        <v>197.24299123529053</v>
      </c>
      <c r="E454" s="234">
        <f t="shared" si="28"/>
        <v>57.152721</v>
      </c>
      <c r="F454" s="239"/>
      <c r="G454" s="188" t="str">
        <f t="shared" si="29"/>
        <v/>
      </c>
      <c r="H454" s="236" t="str">
        <f t="shared" si="30"/>
        <v/>
      </c>
      <c r="I454" s="237"/>
    </row>
    <row r="455" spans="1:9">
      <c r="A455" s="232">
        <f t="shared" si="31"/>
        <v>453</v>
      </c>
      <c r="B455" s="233">
        <v>45653</v>
      </c>
      <c r="C455" s="234">
        <v>94.683819</v>
      </c>
      <c r="D455" s="235">
        <v>197.24299123529053</v>
      </c>
      <c r="E455" s="234">
        <f t="shared" ref="E455:E518" si="32">IF(C455&gt;D455,D455,C455)</f>
        <v>94.683819</v>
      </c>
      <c r="F455" s="239"/>
      <c r="G455" s="188" t="str">
        <f t="shared" si="29"/>
        <v/>
      </c>
      <c r="H455" s="236" t="str">
        <f t="shared" si="30"/>
        <v/>
      </c>
      <c r="I455" s="237"/>
    </row>
    <row r="456" spans="1:9">
      <c r="A456" s="232">
        <f t="shared" si="31"/>
        <v>454</v>
      </c>
      <c r="B456" s="233">
        <v>45654</v>
      </c>
      <c r="C456" s="234">
        <v>52.418404000000002</v>
      </c>
      <c r="D456" s="235">
        <v>197.24299123529053</v>
      </c>
      <c r="E456" s="234">
        <f t="shared" si="32"/>
        <v>52.418404000000002</v>
      </c>
      <c r="F456" s="239"/>
      <c r="G456" s="188" t="str">
        <f t="shared" si="29"/>
        <v/>
      </c>
      <c r="H456" s="236" t="str">
        <f t="shared" si="30"/>
        <v/>
      </c>
      <c r="I456" s="237"/>
    </row>
    <row r="457" spans="1:9">
      <c r="A457" s="232">
        <f t="shared" si="31"/>
        <v>455</v>
      </c>
      <c r="B457" s="233">
        <v>45655</v>
      </c>
      <c r="C457" s="234">
        <v>29.813920999999997</v>
      </c>
      <c r="D457" s="235">
        <v>197.24299123529053</v>
      </c>
      <c r="E457" s="234">
        <f t="shared" si="32"/>
        <v>29.813920999999997</v>
      </c>
      <c r="F457" s="239"/>
      <c r="G457" s="188" t="str">
        <f t="shared" si="29"/>
        <v/>
      </c>
      <c r="H457" s="236" t="str">
        <f t="shared" si="30"/>
        <v/>
      </c>
      <c r="I457" s="237"/>
    </row>
    <row r="458" spans="1:9">
      <c r="A458" s="232">
        <f t="shared" si="31"/>
        <v>456</v>
      </c>
      <c r="B458" s="233">
        <v>45656</v>
      </c>
      <c r="C458" s="234">
        <v>32.461750000000002</v>
      </c>
      <c r="D458" s="235">
        <v>197.24299123529053</v>
      </c>
      <c r="E458" s="234">
        <f t="shared" si="32"/>
        <v>32.461750000000002</v>
      </c>
      <c r="F458" s="239"/>
      <c r="G458" s="188" t="str">
        <f t="shared" si="29"/>
        <v/>
      </c>
      <c r="H458" s="236" t="str">
        <f t="shared" si="30"/>
        <v/>
      </c>
      <c r="I458" s="237"/>
    </row>
    <row r="459" spans="1:9">
      <c r="A459" s="232">
        <f t="shared" si="31"/>
        <v>457</v>
      </c>
      <c r="B459" s="233">
        <v>45657</v>
      </c>
      <c r="C459" s="234">
        <v>28.700936000000002</v>
      </c>
      <c r="D459" s="235">
        <v>197.24299123529053</v>
      </c>
      <c r="E459" s="234">
        <f t="shared" si="32"/>
        <v>28.700936000000002</v>
      </c>
      <c r="F459" s="237"/>
      <c r="G459" s="188" t="str">
        <f t="shared" si="29"/>
        <v/>
      </c>
      <c r="H459" s="236" t="str">
        <f t="shared" si="30"/>
        <v/>
      </c>
      <c r="I459" s="237"/>
    </row>
    <row r="460" spans="1:9">
      <c r="A460" s="232">
        <f t="shared" si="31"/>
        <v>458</v>
      </c>
      <c r="B460" s="233">
        <v>45658</v>
      </c>
      <c r="C460" s="234">
        <v>96.052729000000014</v>
      </c>
      <c r="D460" s="235">
        <v>226.08003354035151</v>
      </c>
      <c r="E460" s="234">
        <f t="shared" si="32"/>
        <v>96.052729000000014</v>
      </c>
      <c r="F460" s="237">
        <f>YEAR(B460)</f>
        <v>2025</v>
      </c>
      <c r="G460" s="188" t="str">
        <f t="shared" si="29"/>
        <v/>
      </c>
      <c r="H460" s="236" t="str">
        <f t="shared" si="30"/>
        <v/>
      </c>
      <c r="I460" s="237"/>
    </row>
    <row r="461" spans="1:9">
      <c r="A461" s="232">
        <f t="shared" si="31"/>
        <v>459</v>
      </c>
      <c r="B461" s="233">
        <v>45659</v>
      </c>
      <c r="C461" s="234">
        <v>163.711106</v>
      </c>
      <c r="D461" s="235">
        <v>226.08003354035151</v>
      </c>
      <c r="E461" s="234">
        <f t="shared" si="32"/>
        <v>163.711106</v>
      </c>
      <c r="F461" s="239"/>
      <c r="G461" s="188" t="str">
        <f t="shared" si="29"/>
        <v/>
      </c>
      <c r="H461" s="236" t="str">
        <f t="shared" si="30"/>
        <v/>
      </c>
      <c r="I461" s="237"/>
    </row>
    <row r="462" spans="1:9">
      <c r="A462" s="232">
        <f t="shared" si="31"/>
        <v>460</v>
      </c>
      <c r="B462" s="233">
        <v>45660</v>
      </c>
      <c r="C462" s="234">
        <v>298.12851599999999</v>
      </c>
      <c r="D462" s="235">
        <v>226.08003354035151</v>
      </c>
      <c r="E462" s="234">
        <f t="shared" si="32"/>
        <v>226.08003354035151</v>
      </c>
      <c r="F462" s="239"/>
      <c r="G462" s="188" t="str">
        <f t="shared" si="29"/>
        <v/>
      </c>
      <c r="H462" s="236" t="str">
        <f t="shared" si="30"/>
        <v/>
      </c>
      <c r="I462" s="237"/>
    </row>
    <row r="463" spans="1:9">
      <c r="A463" s="232">
        <f t="shared" si="31"/>
        <v>461</v>
      </c>
      <c r="B463" s="233">
        <v>45661</v>
      </c>
      <c r="C463" s="234">
        <v>247.46587300000002</v>
      </c>
      <c r="D463" s="235">
        <v>226.08003354035151</v>
      </c>
      <c r="E463" s="234">
        <f t="shared" si="32"/>
        <v>226.08003354035151</v>
      </c>
      <c r="F463" s="239"/>
      <c r="G463" s="188" t="str">
        <f t="shared" si="29"/>
        <v/>
      </c>
      <c r="H463" s="236" t="str">
        <f t="shared" si="30"/>
        <v/>
      </c>
      <c r="I463" s="237"/>
    </row>
    <row r="464" spans="1:9">
      <c r="A464" s="232">
        <f t="shared" si="31"/>
        <v>462</v>
      </c>
      <c r="B464" s="233">
        <v>45662</v>
      </c>
      <c r="C464" s="234">
        <v>326.950039</v>
      </c>
      <c r="D464" s="235">
        <v>226.08003354035151</v>
      </c>
      <c r="E464" s="234">
        <f t="shared" si="32"/>
        <v>226.08003354035151</v>
      </c>
      <c r="F464" s="239"/>
      <c r="G464" s="188" t="str">
        <f t="shared" si="29"/>
        <v/>
      </c>
      <c r="H464" s="236" t="str">
        <f t="shared" si="30"/>
        <v/>
      </c>
      <c r="I464" s="237"/>
    </row>
    <row r="465" spans="1:9">
      <c r="A465" s="232">
        <f t="shared" si="31"/>
        <v>463</v>
      </c>
      <c r="B465" s="233">
        <v>45663</v>
      </c>
      <c r="C465" s="234">
        <v>292.72099200000002</v>
      </c>
      <c r="D465" s="235">
        <v>226.08003354035151</v>
      </c>
      <c r="E465" s="234">
        <f t="shared" si="32"/>
        <v>226.08003354035151</v>
      </c>
      <c r="F465" s="239"/>
      <c r="G465" s="188" t="str">
        <f t="shared" si="29"/>
        <v/>
      </c>
      <c r="H465" s="236" t="str">
        <f t="shared" si="30"/>
        <v/>
      </c>
      <c r="I465" s="237"/>
    </row>
    <row r="466" spans="1:9">
      <c r="A466" s="232">
        <f t="shared" si="31"/>
        <v>464</v>
      </c>
      <c r="B466" s="233">
        <v>45664</v>
      </c>
      <c r="C466" s="234">
        <v>325.78869200000003</v>
      </c>
      <c r="D466" s="235">
        <v>226.08003354035151</v>
      </c>
      <c r="E466" s="234">
        <f t="shared" si="32"/>
        <v>226.08003354035151</v>
      </c>
      <c r="F466" s="239"/>
      <c r="G466" s="188" t="str">
        <f t="shared" si="29"/>
        <v/>
      </c>
      <c r="H466" s="236" t="str">
        <f t="shared" si="30"/>
        <v/>
      </c>
      <c r="I466" s="237"/>
    </row>
    <row r="467" spans="1:9">
      <c r="A467" s="232">
        <f t="shared" si="31"/>
        <v>465</v>
      </c>
      <c r="B467" s="233">
        <v>45665</v>
      </c>
      <c r="C467" s="234">
        <v>348.31037099999998</v>
      </c>
      <c r="D467" s="235">
        <v>226.08003354035151</v>
      </c>
      <c r="E467" s="234">
        <f t="shared" si="32"/>
        <v>226.08003354035151</v>
      </c>
      <c r="F467" s="239"/>
      <c r="G467" s="188" t="str">
        <f t="shared" si="29"/>
        <v/>
      </c>
      <c r="H467" s="236" t="str">
        <f t="shared" si="30"/>
        <v/>
      </c>
      <c r="I467" s="237"/>
    </row>
    <row r="468" spans="1:9">
      <c r="A468" s="232">
        <f t="shared" si="31"/>
        <v>466</v>
      </c>
      <c r="B468" s="233">
        <v>45666</v>
      </c>
      <c r="C468" s="234">
        <v>367.51350300000001</v>
      </c>
      <c r="D468" s="235">
        <v>226.08003354035151</v>
      </c>
      <c r="E468" s="234">
        <f t="shared" si="32"/>
        <v>226.08003354035151</v>
      </c>
      <c r="F468" s="239"/>
      <c r="G468" s="188" t="str">
        <f t="shared" si="29"/>
        <v/>
      </c>
      <c r="H468" s="236" t="str">
        <f t="shared" si="30"/>
        <v/>
      </c>
      <c r="I468" s="237"/>
    </row>
    <row r="469" spans="1:9">
      <c r="A469" s="232">
        <f t="shared" si="31"/>
        <v>467</v>
      </c>
      <c r="B469" s="233">
        <v>45667</v>
      </c>
      <c r="C469" s="234">
        <v>304.74519300000003</v>
      </c>
      <c r="D469" s="235">
        <v>226.08003354035151</v>
      </c>
      <c r="E469" s="234">
        <f t="shared" si="32"/>
        <v>226.08003354035151</v>
      </c>
      <c r="F469" s="239"/>
      <c r="G469" s="188" t="str">
        <f t="shared" si="29"/>
        <v/>
      </c>
      <c r="H469" s="236" t="str">
        <f t="shared" si="30"/>
        <v/>
      </c>
      <c r="I469" s="237"/>
    </row>
    <row r="470" spans="1:9">
      <c r="A470" s="232">
        <f t="shared" si="31"/>
        <v>468</v>
      </c>
      <c r="B470" s="233">
        <v>45668</v>
      </c>
      <c r="C470" s="234">
        <v>326.88237300000003</v>
      </c>
      <c r="D470" s="235">
        <v>226.08003354035151</v>
      </c>
      <c r="E470" s="234">
        <f t="shared" si="32"/>
        <v>226.08003354035151</v>
      </c>
      <c r="F470" s="239"/>
      <c r="G470" s="188" t="str">
        <f t="shared" si="29"/>
        <v/>
      </c>
      <c r="H470" s="236" t="str">
        <f t="shared" si="30"/>
        <v/>
      </c>
      <c r="I470" s="237"/>
    </row>
    <row r="471" spans="1:9">
      <c r="A471" s="232">
        <f t="shared" si="31"/>
        <v>469</v>
      </c>
      <c r="B471" s="233">
        <v>45669</v>
      </c>
      <c r="C471" s="234">
        <v>284.63760100000002</v>
      </c>
      <c r="D471" s="235">
        <v>226.08003354035151</v>
      </c>
      <c r="E471" s="234">
        <f t="shared" si="32"/>
        <v>226.08003354035151</v>
      </c>
      <c r="F471" s="239"/>
      <c r="G471" s="188" t="str">
        <f t="shared" si="29"/>
        <v/>
      </c>
      <c r="H471" s="236" t="str">
        <f t="shared" si="30"/>
        <v/>
      </c>
      <c r="I471" s="237"/>
    </row>
    <row r="472" spans="1:9">
      <c r="A472" s="232">
        <f t="shared" si="31"/>
        <v>470</v>
      </c>
      <c r="B472" s="233">
        <v>45670</v>
      </c>
      <c r="C472" s="234">
        <v>220.757533</v>
      </c>
      <c r="D472" s="235">
        <v>226.08003354035151</v>
      </c>
      <c r="E472" s="234">
        <f t="shared" si="32"/>
        <v>220.757533</v>
      </c>
      <c r="F472" s="239"/>
      <c r="G472" s="188" t="str">
        <f t="shared" si="29"/>
        <v/>
      </c>
      <c r="H472" s="236" t="str">
        <f t="shared" si="30"/>
        <v/>
      </c>
      <c r="I472" s="237"/>
    </row>
    <row r="473" spans="1:9">
      <c r="A473" s="232">
        <f t="shared" si="31"/>
        <v>471</v>
      </c>
      <c r="B473" s="233">
        <v>45671</v>
      </c>
      <c r="C473" s="234">
        <v>113.3263</v>
      </c>
      <c r="D473" s="235">
        <v>226.08003354035151</v>
      </c>
      <c r="E473" s="234">
        <f t="shared" si="32"/>
        <v>113.3263</v>
      </c>
      <c r="F473" s="239"/>
      <c r="G473" s="188" t="str">
        <f t="shared" si="29"/>
        <v/>
      </c>
      <c r="H473" s="236" t="str">
        <f t="shared" si="30"/>
        <v/>
      </c>
      <c r="I473" s="237"/>
    </row>
    <row r="474" spans="1:9">
      <c r="A474" s="232">
        <f t="shared" si="31"/>
        <v>472</v>
      </c>
      <c r="B474" s="233">
        <v>45672</v>
      </c>
      <c r="C474" s="234">
        <v>165.77932100000001</v>
      </c>
      <c r="D474" s="235">
        <v>226.08003354035151</v>
      </c>
      <c r="E474" s="234">
        <f t="shared" si="32"/>
        <v>165.77932100000001</v>
      </c>
      <c r="F474" s="239"/>
      <c r="G474" s="188" t="str">
        <f t="shared" si="29"/>
        <v>E</v>
      </c>
      <c r="H474" s="236" t="str">
        <f t="shared" si="30"/>
        <v>226,1</v>
      </c>
      <c r="I474" s="237"/>
    </row>
    <row r="475" spans="1:9">
      <c r="A475" s="232">
        <f t="shared" si="31"/>
        <v>473</v>
      </c>
      <c r="B475" s="233">
        <v>45673</v>
      </c>
      <c r="C475" s="234">
        <v>196.324063</v>
      </c>
      <c r="D475" s="235">
        <v>226.08003354035151</v>
      </c>
      <c r="E475" s="234">
        <f t="shared" si="32"/>
        <v>196.324063</v>
      </c>
      <c r="F475" s="239"/>
      <c r="G475" s="188" t="str">
        <f t="shared" si="29"/>
        <v/>
      </c>
      <c r="H475" s="236" t="str">
        <f t="shared" si="30"/>
        <v/>
      </c>
      <c r="I475" s="237"/>
    </row>
    <row r="476" spans="1:9">
      <c r="A476" s="232">
        <f t="shared" si="31"/>
        <v>474</v>
      </c>
      <c r="B476" s="233">
        <v>45674</v>
      </c>
      <c r="C476" s="234">
        <v>111.412497</v>
      </c>
      <c r="D476" s="235">
        <v>226.08003354035151</v>
      </c>
      <c r="E476" s="234">
        <f t="shared" si="32"/>
        <v>111.412497</v>
      </c>
      <c r="F476" s="239"/>
      <c r="G476" s="188" t="str">
        <f t="shared" si="29"/>
        <v/>
      </c>
      <c r="H476" s="236" t="str">
        <f t="shared" si="30"/>
        <v/>
      </c>
      <c r="I476" s="237"/>
    </row>
    <row r="477" spans="1:9">
      <c r="A477" s="232">
        <f t="shared" si="31"/>
        <v>475</v>
      </c>
      <c r="B477" s="233">
        <v>45675</v>
      </c>
      <c r="C477" s="234">
        <v>47.349745000000006</v>
      </c>
      <c r="D477" s="235">
        <v>226.08003354035151</v>
      </c>
      <c r="E477" s="234">
        <f t="shared" si="32"/>
        <v>47.349745000000006</v>
      </c>
      <c r="F477" s="239"/>
      <c r="G477" s="188" t="str">
        <f t="shared" si="29"/>
        <v/>
      </c>
      <c r="H477" s="236" t="str">
        <f t="shared" si="30"/>
        <v/>
      </c>
      <c r="I477" s="237"/>
    </row>
    <row r="478" spans="1:9">
      <c r="A478" s="232">
        <f t="shared" si="31"/>
        <v>476</v>
      </c>
      <c r="B478" s="233">
        <v>45676</v>
      </c>
      <c r="C478" s="234">
        <v>97.682328999999996</v>
      </c>
      <c r="D478" s="235">
        <v>226.08003354035151</v>
      </c>
      <c r="E478" s="234">
        <f t="shared" si="32"/>
        <v>97.682328999999996</v>
      </c>
      <c r="F478" s="239"/>
      <c r="G478" s="188" t="str">
        <f t="shared" si="29"/>
        <v/>
      </c>
      <c r="H478" s="236" t="str">
        <f t="shared" si="30"/>
        <v/>
      </c>
      <c r="I478" s="237"/>
    </row>
    <row r="479" spans="1:9">
      <c r="A479" s="232">
        <f t="shared" si="31"/>
        <v>477</v>
      </c>
      <c r="B479" s="233">
        <v>45677</v>
      </c>
      <c r="C479" s="234">
        <v>112.44127400000001</v>
      </c>
      <c r="D479" s="235">
        <v>226.08003354035151</v>
      </c>
      <c r="E479" s="234">
        <f t="shared" si="32"/>
        <v>112.44127400000001</v>
      </c>
      <c r="F479" s="239"/>
      <c r="G479" s="188" t="str">
        <f t="shared" si="29"/>
        <v/>
      </c>
      <c r="H479" s="236" t="str">
        <f t="shared" si="30"/>
        <v/>
      </c>
      <c r="I479" s="237"/>
    </row>
    <row r="480" spans="1:9">
      <c r="A480" s="232">
        <f t="shared" si="31"/>
        <v>478</v>
      </c>
      <c r="B480" s="233">
        <v>45678</v>
      </c>
      <c r="C480" s="234">
        <v>199.057221</v>
      </c>
      <c r="D480" s="235">
        <v>226.08003354035151</v>
      </c>
      <c r="E480" s="234">
        <f t="shared" si="32"/>
        <v>199.057221</v>
      </c>
      <c r="F480" s="239"/>
      <c r="G480" s="188" t="str">
        <f t="shared" si="29"/>
        <v/>
      </c>
      <c r="H480" s="236" t="str">
        <f t="shared" si="30"/>
        <v/>
      </c>
      <c r="I480" s="237"/>
    </row>
    <row r="481" spans="1:9">
      <c r="A481" s="232">
        <f t="shared" si="31"/>
        <v>479</v>
      </c>
      <c r="B481" s="233">
        <v>45679</v>
      </c>
      <c r="C481" s="234">
        <v>262.80624699999998</v>
      </c>
      <c r="D481" s="235">
        <v>226.08003354035151</v>
      </c>
      <c r="E481" s="234">
        <f t="shared" si="32"/>
        <v>226.08003354035151</v>
      </c>
      <c r="F481" s="239"/>
      <c r="G481" s="188" t="str">
        <f t="shared" si="29"/>
        <v/>
      </c>
      <c r="H481" s="236" t="str">
        <f t="shared" si="30"/>
        <v/>
      </c>
      <c r="I481" s="237"/>
    </row>
    <row r="482" spans="1:9">
      <c r="A482" s="232">
        <f t="shared" si="31"/>
        <v>480</v>
      </c>
      <c r="B482" s="233">
        <v>45680</v>
      </c>
      <c r="C482" s="234">
        <v>152.31426099999999</v>
      </c>
      <c r="D482" s="235">
        <v>226.08003354035151</v>
      </c>
      <c r="E482" s="234">
        <f t="shared" si="32"/>
        <v>152.31426099999999</v>
      </c>
      <c r="F482" s="239"/>
      <c r="G482" s="188" t="str">
        <f t="shared" si="29"/>
        <v/>
      </c>
      <c r="H482" s="236" t="str">
        <f t="shared" si="30"/>
        <v/>
      </c>
      <c r="I482" s="237"/>
    </row>
    <row r="483" spans="1:9">
      <c r="A483" s="232">
        <f t="shared" si="31"/>
        <v>481</v>
      </c>
      <c r="B483" s="233">
        <v>45681</v>
      </c>
      <c r="C483" s="234">
        <v>231.89339999999999</v>
      </c>
      <c r="D483" s="235">
        <v>226.08003354035151</v>
      </c>
      <c r="E483" s="234">
        <f t="shared" si="32"/>
        <v>226.08003354035151</v>
      </c>
      <c r="F483" s="239"/>
      <c r="G483" s="188" t="str">
        <f t="shared" si="29"/>
        <v/>
      </c>
      <c r="H483" s="236" t="str">
        <f t="shared" si="30"/>
        <v/>
      </c>
      <c r="I483" s="237"/>
    </row>
    <row r="484" spans="1:9">
      <c r="A484" s="232">
        <f t="shared" si="31"/>
        <v>482</v>
      </c>
      <c r="B484" s="233">
        <v>45682</v>
      </c>
      <c r="C484" s="234">
        <v>298.60549800000001</v>
      </c>
      <c r="D484" s="235">
        <v>226.08003354035151</v>
      </c>
      <c r="E484" s="234">
        <f t="shared" si="32"/>
        <v>226.08003354035151</v>
      </c>
      <c r="F484" s="239"/>
      <c r="G484" s="188" t="str">
        <f t="shared" si="29"/>
        <v/>
      </c>
      <c r="H484" s="236" t="str">
        <f t="shared" si="30"/>
        <v/>
      </c>
      <c r="I484" s="237"/>
    </row>
    <row r="485" spans="1:9">
      <c r="A485" s="232">
        <f t="shared" si="31"/>
        <v>483</v>
      </c>
      <c r="B485" s="233">
        <v>45683</v>
      </c>
      <c r="C485" s="234">
        <v>307.86237599999998</v>
      </c>
      <c r="D485" s="235">
        <v>226.08003354035151</v>
      </c>
      <c r="E485" s="234">
        <f t="shared" si="32"/>
        <v>226.08003354035151</v>
      </c>
      <c r="F485" s="239"/>
      <c r="G485" s="188" t="str">
        <f t="shared" si="29"/>
        <v/>
      </c>
      <c r="H485" s="236" t="str">
        <f t="shared" si="30"/>
        <v/>
      </c>
      <c r="I485" s="237"/>
    </row>
    <row r="486" spans="1:9">
      <c r="A486" s="232">
        <f t="shared" si="31"/>
        <v>484</v>
      </c>
      <c r="B486" s="233">
        <v>45684</v>
      </c>
      <c r="C486" s="234">
        <v>394.80470199999996</v>
      </c>
      <c r="D486" s="235">
        <v>226.08003354035151</v>
      </c>
      <c r="E486" s="234">
        <f t="shared" si="32"/>
        <v>226.08003354035151</v>
      </c>
      <c r="F486" s="239"/>
      <c r="G486" s="188" t="str">
        <f t="shared" si="29"/>
        <v/>
      </c>
      <c r="H486" s="236" t="str">
        <f t="shared" si="30"/>
        <v/>
      </c>
      <c r="I486" s="237"/>
    </row>
    <row r="487" spans="1:9">
      <c r="A487" s="232">
        <f t="shared" si="31"/>
        <v>485</v>
      </c>
      <c r="B487" s="233">
        <v>45685</v>
      </c>
      <c r="C487" s="234">
        <v>365.59122000000002</v>
      </c>
      <c r="D487" s="235">
        <v>226.08003354035151</v>
      </c>
      <c r="E487" s="234">
        <f t="shared" si="32"/>
        <v>226.08003354035151</v>
      </c>
      <c r="F487" s="239"/>
      <c r="G487" s="188" t="str">
        <f t="shared" si="29"/>
        <v/>
      </c>
      <c r="H487" s="236" t="str">
        <f t="shared" si="30"/>
        <v/>
      </c>
      <c r="I487" s="237"/>
    </row>
    <row r="488" spans="1:9">
      <c r="A488" s="232">
        <f t="shared" si="31"/>
        <v>486</v>
      </c>
      <c r="B488" s="233">
        <v>45686</v>
      </c>
      <c r="C488" s="234">
        <v>335.67250899999993</v>
      </c>
      <c r="D488" s="235">
        <v>226.08003354035151</v>
      </c>
      <c r="E488" s="234">
        <f t="shared" si="32"/>
        <v>226.08003354035151</v>
      </c>
      <c r="F488" s="239"/>
      <c r="G488" s="188" t="str">
        <f t="shared" si="29"/>
        <v/>
      </c>
      <c r="H488" s="236" t="str">
        <f t="shared" si="30"/>
        <v/>
      </c>
      <c r="I488" s="237"/>
    </row>
    <row r="489" spans="1:9">
      <c r="A489" s="232">
        <f t="shared" si="31"/>
        <v>487</v>
      </c>
      <c r="B489" s="233">
        <v>45687</v>
      </c>
      <c r="C489" s="234">
        <v>311.81872499999997</v>
      </c>
      <c r="D489" s="235">
        <v>226.08003354035151</v>
      </c>
      <c r="E489" s="234">
        <f t="shared" si="32"/>
        <v>226.08003354035151</v>
      </c>
      <c r="F489" s="237"/>
      <c r="G489" s="188" t="str">
        <f t="shared" si="29"/>
        <v/>
      </c>
      <c r="H489" s="236" t="str">
        <f t="shared" si="30"/>
        <v/>
      </c>
      <c r="I489" s="237"/>
    </row>
    <row r="490" spans="1:9">
      <c r="A490" s="232">
        <f t="shared" si="31"/>
        <v>488</v>
      </c>
      <c r="B490" s="233">
        <v>45688</v>
      </c>
      <c r="C490" s="234">
        <v>202.58639499999998</v>
      </c>
      <c r="D490" s="235">
        <v>226.08003354035151</v>
      </c>
      <c r="E490" s="234">
        <f t="shared" si="32"/>
        <v>202.58639499999998</v>
      </c>
      <c r="F490" s="237"/>
      <c r="G490" s="188" t="str">
        <f t="shared" si="29"/>
        <v/>
      </c>
      <c r="H490" s="236" t="str">
        <f t="shared" si="30"/>
        <v/>
      </c>
      <c r="I490" s="237"/>
    </row>
    <row r="491" spans="1:9">
      <c r="A491" s="232">
        <f t="shared" si="31"/>
        <v>489</v>
      </c>
      <c r="B491" s="233">
        <v>45689</v>
      </c>
      <c r="C491" s="234">
        <v>163.62578200000002</v>
      </c>
      <c r="D491" s="235">
        <v>229.76238345951293</v>
      </c>
      <c r="E491" s="234">
        <f t="shared" si="32"/>
        <v>163.62578200000002</v>
      </c>
      <c r="F491" s="239"/>
      <c r="G491" s="188" t="str">
        <f t="shared" si="29"/>
        <v/>
      </c>
      <c r="H491" s="236" t="str">
        <f t="shared" si="30"/>
        <v/>
      </c>
      <c r="I491" s="237"/>
    </row>
    <row r="492" spans="1:9">
      <c r="A492" s="232">
        <f t="shared" si="31"/>
        <v>490</v>
      </c>
      <c r="B492" s="233">
        <v>45690</v>
      </c>
      <c r="C492" s="234">
        <v>103.745982</v>
      </c>
      <c r="D492" s="235">
        <v>229.76238345951293</v>
      </c>
      <c r="E492" s="234">
        <f t="shared" si="32"/>
        <v>103.745982</v>
      </c>
      <c r="F492" s="239"/>
      <c r="G492" s="188" t="str">
        <f t="shared" si="29"/>
        <v/>
      </c>
      <c r="H492" s="236" t="str">
        <f t="shared" si="30"/>
        <v/>
      </c>
      <c r="I492" s="237"/>
    </row>
    <row r="493" spans="1:9">
      <c r="A493" s="232">
        <f t="shared" si="31"/>
        <v>491</v>
      </c>
      <c r="B493" s="233">
        <v>45691</v>
      </c>
      <c r="C493" s="234">
        <v>99.068889999999996</v>
      </c>
      <c r="D493" s="235">
        <v>229.76238345951293</v>
      </c>
      <c r="E493" s="234">
        <f t="shared" si="32"/>
        <v>99.068889999999996</v>
      </c>
      <c r="F493" s="239"/>
      <c r="G493" s="188" t="str">
        <f t="shared" si="29"/>
        <v/>
      </c>
      <c r="H493" s="236" t="str">
        <f t="shared" si="30"/>
        <v/>
      </c>
      <c r="I493" s="237"/>
    </row>
    <row r="494" spans="1:9">
      <c r="A494" s="232">
        <f t="shared" si="31"/>
        <v>492</v>
      </c>
      <c r="B494" s="233">
        <v>45692</v>
      </c>
      <c r="C494" s="234">
        <v>54.212391000000004</v>
      </c>
      <c r="D494" s="235">
        <v>229.76238345951293</v>
      </c>
      <c r="E494" s="234">
        <f t="shared" si="32"/>
        <v>54.212391000000004</v>
      </c>
      <c r="F494" s="239"/>
      <c r="G494" s="188" t="str">
        <f t="shared" si="29"/>
        <v/>
      </c>
      <c r="H494" s="236" t="str">
        <f t="shared" si="30"/>
        <v/>
      </c>
      <c r="I494" s="237"/>
    </row>
    <row r="495" spans="1:9">
      <c r="A495" s="232">
        <f t="shared" si="31"/>
        <v>493</v>
      </c>
      <c r="B495" s="233">
        <v>45693</v>
      </c>
      <c r="C495" s="234">
        <v>118.51092600000001</v>
      </c>
      <c r="D495" s="235">
        <v>229.76238345951293</v>
      </c>
      <c r="E495" s="234">
        <f t="shared" si="32"/>
        <v>118.51092600000001</v>
      </c>
      <c r="F495" s="239"/>
      <c r="G495" s="188" t="str">
        <f t="shared" si="29"/>
        <v/>
      </c>
      <c r="H495" s="236" t="str">
        <f t="shared" si="30"/>
        <v/>
      </c>
      <c r="I495" s="237"/>
    </row>
    <row r="496" spans="1:9">
      <c r="A496" s="232">
        <f t="shared" si="31"/>
        <v>494</v>
      </c>
      <c r="B496" s="233">
        <v>45694</v>
      </c>
      <c r="C496" s="234">
        <v>46.501018999999999</v>
      </c>
      <c r="D496" s="235">
        <v>229.76238345951293</v>
      </c>
      <c r="E496" s="234">
        <f t="shared" si="32"/>
        <v>46.501018999999999</v>
      </c>
      <c r="F496" s="239"/>
      <c r="G496" s="188" t="str">
        <f t="shared" si="29"/>
        <v/>
      </c>
      <c r="H496" s="236" t="str">
        <f t="shared" si="30"/>
        <v/>
      </c>
      <c r="I496" s="237"/>
    </row>
    <row r="497" spans="1:9">
      <c r="A497" s="232">
        <f t="shared" si="31"/>
        <v>495</v>
      </c>
      <c r="B497" s="233">
        <v>45695</v>
      </c>
      <c r="C497" s="234">
        <v>200.859071</v>
      </c>
      <c r="D497" s="235">
        <v>229.76238345951293</v>
      </c>
      <c r="E497" s="234">
        <f t="shared" si="32"/>
        <v>200.859071</v>
      </c>
      <c r="F497" s="239"/>
      <c r="G497" s="188" t="str">
        <f t="shared" si="29"/>
        <v/>
      </c>
      <c r="H497" s="236" t="str">
        <f t="shared" si="30"/>
        <v/>
      </c>
      <c r="I497" s="237"/>
    </row>
    <row r="498" spans="1:9">
      <c r="A498" s="232">
        <f t="shared" si="31"/>
        <v>496</v>
      </c>
      <c r="B498" s="233">
        <v>45696</v>
      </c>
      <c r="C498" s="234">
        <v>164.77992999999998</v>
      </c>
      <c r="D498" s="235">
        <v>229.76238345951293</v>
      </c>
      <c r="E498" s="234">
        <f t="shared" si="32"/>
        <v>164.77992999999998</v>
      </c>
      <c r="F498" s="239"/>
      <c r="G498" s="188" t="str">
        <f t="shared" si="29"/>
        <v/>
      </c>
      <c r="H498" s="236" t="str">
        <f t="shared" si="30"/>
        <v/>
      </c>
      <c r="I498" s="237"/>
    </row>
    <row r="499" spans="1:9">
      <c r="A499" s="232">
        <f t="shared" si="31"/>
        <v>497</v>
      </c>
      <c r="B499" s="233">
        <v>45697</v>
      </c>
      <c r="C499" s="234">
        <v>105.03203599999999</v>
      </c>
      <c r="D499" s="235">
        <v>229.76238345951293</v>
      </c>
      <c r="E499" s="234">
        <f t="shared" si="32"/>
        <v>105.03203599999999</v>
      </c>
      <c r="F499" s="239"/>
      <c r="G499" s="188" t="str">
        <f t="shared" si="29"/>
        <v/>
      </c>
      <c r="H499" s="236" t="str">
        <f t="shared" si="30"/>
        <v/>
      </c>
      <c r="I499" s="237"/>
    </row>
    <row r="500" spans="1:9">
      <c r="A500" s="232">
        <f t="shared" si="31"/>
        <v>498</v>
      </c>
      <c r="B500" s="233">
        <v>45698</v>
      </c>
      <c r="C500" s="234">
        <v>91.195220000000006</v>
      </c>
      <c r="D500" s="235">
        <v>229.76238345951293</v>
      </c>
      <c r="E500" s="234">
        <f t="shared" si="32"/>
        <v>91.195220000000006</v>
      </c>
      <c r="F500" s="239"/>
      <c r="G500" s="188" t="str">
        <f t="shared" si="29"/>
        <v/>
      </c>
      <c r="H500" s="236" t="str">
        <f t="shared" si="30"/>
        <v/>
      </c>
      <c r="I500" s="237"/>
    </row>
    <row r="501" spans="1:9">
      <c r="A501" s="232">
        <f t="shared" si="31"/>
        <v>499</v>
      </c>
      <c r="B501" s="233">
        <v>45699</v>
      </c>
      <c r="C501" s="234">
        <v>153.81701800000002</v>
      </c>
      <c r="D501" s="235">
        <v>229.76238345951293</v>
      </c>
      <c r="E501" s="234">
        <f t="shared" si="32"/>
        <v>153.81701800000002</v>
      </c>
      <c r="F501" s="239"/>
      <c r="G501" s="188" t="str">
        <f t="shared" si="29"/>
        <v/>
      </c>
      <c r="H501" s="236" t="str">
        <f t="shared" si="30"/>
        <v/>
      </c>
      <c r="I501" s="237"/>
    </row>
    <row r="502" spans="1:9">
      <c r="A502" s="232">
        <f t="shared" si="31"/>
        <v>500</v>
      </c>
      <c r="B502" s="233">
        <v>45700</v>
      </c>
      <c r="C502" s="234">
        <v>196.067801</v>
      </c>
      <c r="D502" s="235">
        <v>229.76238345951293</v>
      </c>
      <c r="E502" s="234">
        <f t="shared" si="32"/>
        <v>196.067801</v>
      </c>
      <c r="F502" s="239"/>
      <c r="G502" s="188" t="str">
        <f t="shared" si="29"/>
        <v/>
      </c>
      <c r="H502" s="236" t="str">
        <f t="shared" si="30"/>
        <v/>
      </c>
      <c r="I502" s="237"/>
    </row>
    <row r="503" spans="1:9">
      <c r="A503" s="232">
        <f t="shared" si="31"/>
        <v>501</v>
      </c>
      <c r="B503" s="233">
        <v>45701</v>
      </c>
      <c r="C503" s="234">
        <v>153.36795699999999</v>
      </c>
      <c r="D503" s="235">
        <v>229.76238345951293</v>
      </c>
      <c r="E503" s="234">
        <f t="shared" si="32"/>
        <v>153.36795699999999</v>
      </c>
      <c r="F503" s="239"/>
      <c r="G503" s="188" t="str">
        <f t="shared" si="29"/>
        <v/>
      </c>
      <c r="H503" s="236" t="str">
        <f t="shared" si="30"/>
        <v/>
      </c>
      <c r="I503" s="237"/>
    </row>
    <row r="504" spans="1:9">
      <c r="A504" s="232">
        <f t="shared" si="31"/>
        <v>502</v>
      </c>
      <c r="B504" s="233">
        <v>45702</v>
      </c>
      <c r="C504" s="234">
        <v>105.50163099999999</v>
      </c>
      <c r="D504" s="235">
        <v>229.76238345951293</v>
      </c>
      <c r="E504" s="234">
        <f t="shared" si="32"/>
        <v>105.50163099999999</v>
      </c>
      <c r="F504" s="239"/>
      <c r="G504" s="188" t="str">
        <f t="shared" si="29"/>
        <v/>
      </c>
      <c r="H504" s="236" t="str">
        <f t="shared" si="30"/>
        <v/>
      </c>
      <c r="I504" s="237"/>
    </row>
    <row r="505" spans="1:9">
      <c r="A505" s="232">
        <f t="shared" si="31"/>
        <v>503</v>
      </c>
      <c r="B505" s="233">
        <v>45703</v>
      </c>
      <c r="C505" s="234">
        <v>112.99675999999999</v>
      </c>
      <c r="D505" s="235">
        <v>229.76238345951293</v>
      </c>
      <c r="E505" s="234">
        <f t="shared" si="32"/>
        <v>112.99675999999999</v>
      </c>
      <c r="F505" s="239"/>
      <c r="G505" s="188" t="str">
        <f t="shared" si="29"/>
        <v>F</v>
      </c>
      <c r="H505" s="236" t="str">
        <f t="shared" si="30"/>
        <v>229,8</v>
      </c>
      <c r="I505" s="237"/>
    </row>
    <row r="506" spans="1:9">
      <c r="A506" s="232">
        <f t="shared" si="31"/>
        <v>504</v>
      </c>
      <c r="B506" s="233">
        <v>45704</v>
      </c>
      <c r="C506" s="234">
        <v>58.919339999999998</v>
      </c>
      <c r="D506" s="235">
        <v>229.76238345951293</v>
      </c>
      <c r="E506" s="234">
        <f t="shared" si="32"/>
        <v>58.919339999999998</v>
      </c>
      <c r="F506" s="239"/>
      <c r="G506" s="188" t="str">
        <f t="shared" si="29"/>
        <v/>
      </c>
      <c r="H506" s="236" t="str">
        <f t="shared" si="30"/>
        <v/>
      </c>
      <c r="I506" s="237"/>
    </row>
    <row r="507" spans="1:9">
      <c r="A507" s="232">
        <f t="shared" si="31"/>
        <v>505</v>
      </c>
      <c r="B507" s="233">
        <v>45705</v>
      </c>
      <c r="C507" s="234">
        <v>54.980036999999996</v>
      </c>
      <c r="D507" s="235">
        <v>229.76238345951293</v>
      </c>
      <c r="E507" s="234">
        <f t="shared" si="32"/>
        <v>54.980036999999996</v>
      </c>
      <c r="F507" s="239"/>
      <c r="G507" s="188" t="str">
        <f t="shared" si="29"/>
        <v/>
      </c>
      <c r="H507" s="236" t="str">
        <f t="shared" si="30"/>
        <v/>
      </c>
      <c r="I507" s="237"/>
    </row>
    <row r="508" spans="1:9">
      <c r="A508" s="232">
        <f t="shared" si="31"/>
        <v>506</v>
      </c>
      <c r="B508" s="233">
        <v>45706</v>
      </c>
      <c r="C508" s="234">
        <v>178.13030699999999</v>
      </c>
      <c r="D508" s="235">
        <v>229.76238345951293</v>
      </c>
      <c r="E508" s="234">
        <f t="shared" si="32"/>
        <v>178.13030699999999</v>
      </c>
      <c r="F508" s="239"/>
      <c r="G508" s="188" t="str">
        <f t="shared" si="29"/>
        <v/>
      </c>
      <c r="H508" s="236" t="str">
        <f t="shared" si="30"/>
        <v/>
      </c>
      <c r="I508" s="237"/>
    </row>
    <row r="509" spans="1:9">
      <c r="A509" s="232">
        <f t="shared" si="31"/>
        <v>507</v>
      </c>
      <c r="B509" s="233">
        <v>45707</v>
      </c>
      <c r="C509" s="234">
        <v>67.213655000000003</v>
      </c>
      <c r="D509" s="235">
        <v>229.76238345951293</v>
      </c>
      <c r="E509" s="234">
        <f t="shared" si="32"/>
        <v>67.213655000000003</v>
      </c>
      <c r="F509" s="239"/>
      <c r="G509" s="188" t="str">
        <f t="shared" si="29"/>
        <v/>
      </c>
      <c r="H509" s="236" t="str">
        <f t="shared" si="30"/>
        <v/>
      </c>
      <c r="I509" s="237"/>
    </row>
    <row r="510" spans="1:9">
      <c r="A510" s="232">
        <f t="shared" si="31"/>
        <v>508</v>
      </c>
      <c r="B510" s="233">
        <v>45708</v>
      </c>
      <c r="C510" s="234">
        <v>109.60838800000001</v>
      </c>
      <c r="D510" s="235">
        <v>229.76238345951293</v>
      </c>
      <c r="E510" s="234">
        <f t="shared" si="32"/>
        <v>109.60838800000001</v>
      </c>
      <c r="F510" s="239"/>
      <c r="G510" s="188" t="str">
        <f t="shared" si="29"/>
        <v/>
      </c>
      <c r="H510" s="236" t="str">
        <f t="shared" si="30"/>
        <v/>
      </c>
      <c r="I510" s="237"/>
    </row>
    <row r="511" spans="1:9">
      <c r="A511" s="232">
        <f t="shared" si="31"/>
        <v>509</v>
      </c>
      <c r="B511" s="233">
        <v>45709</v>
      </c>
      <c r="C511" s="234">
        <v>290.54686400000003</v>
      </c>
      <c r="D511" s="235">
        <v>229.76238345951293</v>
      </c>
      <c r="E511" s="234">
        <f t="shared" si="32"/>
        <v>229.76238345951293</v>
      </c>
      <c r="F511" s="239"/>
      <c r="G511" s="188" t="str">
        <f t="shared" si="29"/>
        <v/>
      </c>
      <c r="H511" s="236" t="str">
        <f t="shared" si="30"/>
        <v/>
      </c>
      <c r="I511" s="237"/>
    </row>
    <row r="512" spans="1:9">
      <c r="A512" s="232">
        <f t="shared" si="31"/>
        <v>510</v>
      </c>
      <c r="B512" s="233">
        <v>45710</v>
      </c>
      <c r="C512" s="234">
        <v>130.81705299999999</v>
      </c>
      <c r="D512" s="235">
        <v>229.76238345951293</v>
      </c>
      <c r="E512" s="234">
        <f t="shared" si="32"/>
        <v>130.81705299999999</v>
      </c>
      <c r="F512" s="239"/>
      <c r="G512" s="188" t="str">
        <f t="shared" si="29"/>
        <v/>
      </c>
      <c r="H512" s="236" t="str">
        <f t="shared" si="30"/>
        <v/>
      </c>
      <c r="I512" s="237"/>
    </row>
    <row r="513" spans="1:9">
      <c r="A513" s="232">
        <f t="shared" si="31"/>
        <v>511</v>
      </c>
      <c r="B513" s="233">
        <v>45711</v>
      </c>
      <c r="C513" s="234">
        <v>110.004572</v>
      </c>
      <c r="D513" s="235">
        <v>229.76238345951293</v>
      </c>
      <c r="E513" s="234">
        <f t="shared" si="32"/>
        <v>110.004572</v>
      </c>
      <c r="F513" s="239"/>
      <c r="G513" s="188" t="str">
        <f t="shared" si="29"/>
        <v/>
      </c>
      <c r="H513" s="236" t="str">
        <f t="shared" si="30"/>
        <v/>
      </c>
      <c r="I513" s="237"/>
    </row>
    <row r="514" spans="1:9">
      <c r="A514" s="232">
        <f t="shared" si="31"/>
        <v>512</v>
      </c>
      <c r="B514" s="233">
        <v>45712</v>
      </c>
      <c r="C514" s="234">
        <v>189.55883599999999</v>
      </c>
      <c r="D514" s="235">
        <v>229.76238345951293</v>
      </c>
      <c r="E514" s="234">
        <f t="shared" si="32"/>
        <v>189.55883599999999</v>
      </c>
      <c r="F514" s="239"/>
      <c r="G514" s="188" t="str">
        <f t="shared" si="29"/>
        <v/>
      </c>
      <c r="H514" s="236" t="str">
        <f t="shared" si="30"/>
        <v/>
      </c>
      <c r="I514" s="237"/>
    </row>
    <row r="515" spans="1:9">
      <c r="A515" s="232">
        <f t="shared" si="31"/>
        <v>513</v>
      </c>
      <c r="B515" s="233">
        <v>45713</v>
      </c>
      <c r="C515" s="234">
        <v>271.50344100000001</v>
      </c>
      <c r="D515" s="235">
        <v>229.76238345951293</v>
      </c>
      <c r="E515" s="234">
        <f t="shared" si="32"/>
        <v>229.76238345951293</v>
      </c>
      <c r="F515" s="239"/>
      <c r="G515" s="188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36" t="str">
        <f t="shared" ref="H515:H578" si="34">IF(DAY($B515)=15,TEXT(D515,"#,0"),"")</f>
        <v/>
      </c>
      <c r="I515" s="237"/>
    </row>
    <row r="516" spans="1:9">
      <c r="A516" s="232">
        <f t="shared" ref="A516:A534" si="35">+A515+1</f>
        <v>514</v>
      </c>
      <c r="B516" s="233">
        <v>45714</v>
      </c>
      <c r="C516" s="234">
        <v>114.38403300000002</v>
      </c>
      <c r="D516" s="235">
        <v>229.76238345951293</v>
      </c>
      <c r="E516" s="234">
        <f t="shared" si="32"/>
        <v>114.38403300000002</v>
      </c>
      <c r="F516" s="239"/>
      <c r="G516" s="188" t="str">
        <f t="shared" si="33"/>
        <v/>
      </c>
      <c r="H516" s="236" t="str">
        <f t="shared" si="34"/>
        <v/>
      </c>
      <c r="I516" s="237"/>
    </row>
    <row r="517" spans="1:9">
      <c r="A517" s="232">
        <f t="shared" si="35"/>
        <v>515</v>
      </c>
      <c r="B517" s="233">
        <v>45715</v>
      </c>
      <c r="C517" s="234">
        <v>32.274008000000002</v>
      </c>
      <c r="D517" s="235">
        <v>229.76238345951293</v>
      </c>
      <c r="E517" s="234">
        <f t="shared" si="32"/>
        <v>32.274008000000002</v>
      </c>
      <c r="F517" s="239"/>
      <c r="G517" s="188" t="str">
        <f t="shared" si="33"/>
        <v/>
      </c>
      <c r="H517" s="236" t="str">
        <f t="shared" si="34"/>
        <v/>
      </c>
      <c r="I517" s="237"/>
    </row>
    <row r="518" spans="1:9">
      <c r="A518" s="232">
        <f t="shared" si="35"/>
        <v>516</v>
      </c>
      <c r="B518" s="233">
        <v>45716</v>
      </c>
      <c r="C518" s="234">
        <v>167.02587899999997</v>
      </c>
      <c r="D518" s="235">
        <v>229.76238345951293</v>
      </c>
      <c r="E518" s="234">
        <f t="shared" si="32"/>
        <v>167.02587899999997</v>
      </c>
      <c r="F518" s="239"/>
      <c r="G518" s="188" t="str">
        <f t="shared" si="33"/>
        <v/>
      </c>
      <c r="H518" s="236" t="str">
        <f t="shared" si="34"/>
        <v/>
      </c>
      <c r="I518" s="237"/>
    </row>
    <row r="519" spans="1:9">
      <c r="A519" s="232">
        <f t="shared" si="35"/>
        <v>517</v>
      </c>
      <c r="B519" s="233">
        <v>45717</v>
      </c>
      <c r="C519" s="234">
        <v>313.113654</v>
      </c>
      <c r="D519" s="235">
        <v>229.90491048357865</v>
      </c>
      <c r="E519" s="234">
        <f t="shared" ref="E519:E534" si="36">IF(C519&gt;D519,D519,C519)</f>
        <v>229.90491048357865</v>
      </c>
      <c r="F519" s="239"/>
      <c r="G519" s="188" t="str">
        <f t="shared" si="33"/>
        <v/>
      </c>
      <c r="H519" s="236" t="str">
        <f t="shared" si="34"/>
        <v/>
      </c>
      <c r="I519" s="237"/>
    </row>
    <row r="520" spans="1:9">
      <c r="A520" s="232">
        <f t="shared" si="35"/>
        <v>518</v>
      </c>
      <c r="B520" s="233">
        <v>45718</v>
      </c>
      <c r="C520" s="234">
        <v>277.32445200000001</v>
      </c>
      <c r="D520" s="235">
        <v>229.90491048357865</v>
      </c>
      <c r="E520" s="234">
        <f t="shared" si="36"/>
        <v>229.90491048357865</v>
      </c>
      <c r="F520" s="237"/>
      <c r="G520" s="188" t="str">
        <f t="shared" si="33"/>
        <v/>
      </c>
      <c r="H520" s="236" t="str">
        <f t="shared" si="34"/>
        <v/>
      </c>
      <c r="I520" s="237"/>
    </row>
    <row r="521" spans="1:9">
      <c r="A521" s="232">
        <f t="shared" si="35"/>
        <v>519</v>
      </c>
      <c r="B521" s="233">
        <v>45719</v>
      </c>
      <c r="C521" s="234">
        <v>244.36342800000003</v>
      </c>
      <c r="D521" s="235">
        <v>229.90491048357865</v>
      </c>
      <c r="E521" s="234">
        <f t="shared" si="36"/>
        <v>229.90491048357865</v>
      </c>
      <c r="F521" s="237"/>
      <c r="G521" s="188" t="str">
        <f t="shared" si="33"/>
        <v/>
      </c>
      <c r="H521" s="236" t="str">
        <f t="shared" si="34"/>
        <v/>
      </c>
      <c r="I521" s="237"/>
    </row>
    <row r="522" spans="1:9">
      <c r="A522" s="232">
        <f t="shared" si="35"/>
        <v>520</v>
      </c>
      <c r="B522" s="233">
        <v>45720</v>
      </c>
      <c r="C522" s="234">
        <v>243.70677499999999</v>
      </c>
      <c r="D522" s="235">
        <v>229.90491048357865</v>
      </c>
      <c r="E522" s="234">
        <f t="shared" si="36"/>
        <v>229.90491048357865</v>
      </c>
      <c r="F522" s="239"/>
      <c r="G522" s="188" t="str">
        <f t="shared" si="33"/>
        <v/>
      </c>
      <c r="H522" s="236" t="str">
        <f t="shared" si="34"/>
        <v/>
      </c>
      <c r="I522" s="237"/>
    </row>
    <row r="523" spans="1:9">
      <c r="A523" s="232">
        <f t="shared" si="35"/>
        <v>521</v>
      </c>
      <c r="B523" s="233">
        <v>45721</v>
      </c>
      <c r="C523" s="234">
        <v>258.88388200000003</v>
      </c>
      <c r="D523" s="235">
        <v>229.90491048357865</v>
      </c>
      <c r="E523" s="234">
        <f t="shared" si="36"/>
        <v>229.90491048357865</v>
      </c>
      <c r="F523" s="239"/>
      <c r="G523" s="188" t="str">
        <f t="shared" si="33"/>
        <v/>
      </c>
      <c r="H523" s="236" t="str">
        <f t="shared" si="34"/>
        <v/>
      </c>
      <c r="I523" s="237"/>
    </row>
    <row r="524" spans="1:9">
      <c r="A524" s="232">
        <f t="shared" si="35"/>
        <v>522</v>
      </c>
      <c r="B524" s="233">
        <v>45722</v>
      </c>
      <c r="C524" s="234">
        <v>246.04940400000001</v>
      </c>
      <c r="D524" s="235">
        <v>229.90491048357865</v>
      </c>
      <c r="E524" s="234">
        <f t="shared" si="36"/>
        <v>229.90491048357865</v>
      </c>
      <c r="F524" s="239"/>
      <c r="G524" s="188" t="str">
        <f t="shared" si="33"/>
        <v/>
      </c>
      <c r="H524" s="236" t="str">
        <f t="shared" si="34"/>
        <v/>
      </c>
      <c r="I524" s="237"/>
    </row>
    <row r="525" spans="1:9">
      <c r="A525" s="232">
        <f t="shared" si="35"/>
        <v>523</v>
      </c>
      <c r="B525" s="233">
        <v>45723</v>
      </c>
      <c r="C525" s="234">
        <v>287.27360700000003</v>
      </c>
      <c r="D525" s="235">
        <v>229.90491048357865</v>
      </c>
      <c r="E525" s="234">
        <f t="shared" si="36"/>
        <v>229.90491048357865</v>
      </c>
      <c r="F525" s="239"/>
      <c r="G525" s="188" t="str">
        <f t="shared" si="33"/>
        <v/>
      </c>
      <c r="H525" s="236" t="str">
        <f t="shared" si="34"/>
        <v/>
      </c>
      <c r="I525" s="237"/>
    </row>
    <row r="526" spans="1:9">
      <c r="A526" s="232">
        <f t="shared" si="35"/>
        <v>524</v>
      </c>
      <c r="B526" s="233">
        <v>45724</v>
      </c>
      <c r="C526" s="234">
        <v>346.97692999999998</v>
      </c>
      <c r="D526" s="235">
        <v>229.90491048357865</v>
      </c>
      <c r="E526" s="234">
        <f t="shared" si="36"/>
        <v>229.90491048357865</v>
      </c>
      <c r="F526" s="239"/>
      <c r="G526" s="188" t="str">
        <f t="shared" si="33"/>
        <v/>
      </c>
      <c r="H526" s="236" t="str">
        <f t="shared" si="34"/>
        <v/>
      </c>
      <c r="I526" s="237"/>
    </row>
    <row r="527" spans="1:9">
      <c r="A527" s="232">
        <f t="shared" si="35"/>
        <v>525</v>
      </c>
      <c r="B527" s="233">
        <v>45725</v>
      </c>
      <c r="C527" s="234">
        <v>173.339676</v>
      </c>
      <c r="D527" s="235">
        <v>229.90491048357865</v>
      </c>
      <c r="E527" s="234">
        <f t="shared" si="36"/>
        <v>173.339676</v>
      </c>
      <c r="F527" s="239"/>
      <c r="G527" s="188" t="str">
        <f t="shared" si="33"/>
        <v/>
      </c>
      <c r="H527" s="236" t="str">
        <f t="shared" si="34"/>
        <v/>
      </c>
      <c r="I527" s="237"/>
    </row>
    <row r="528" spans="1:9">
      <c r="A528" s="232">
        <f t="shared" si="35"/>
        <v>526</v>
      </c>
      <c r="B528" s="233">
        <v>45726</v>
      </c>
      <c r="C528" s="234">
        <v>136.982891</v>
      </c>
      <c r="D528" s="235">
        <v>229.90491048357865</v>
      </c>
      <c r="E528" s="234">
        <f t="shared" si="36"/>
        <v>136.982891</v>
      </c>
      <c r="F528" s="239"/>
      <c r="G528" s="188" t="str">
        <f t="shared" si="33"/>
        <v/>
      </c>
      <c r="H528" s="236" t="str">
        <f t="shared" si="34"/>
        <v/>
      </c>
      <c r="I528" s="237"/>
    </row>
    <row r="529" spans="1:9">
      <c r="A529" s="232">
        <f t="shared" si="35"/>
        <v>527</v>
      </c>
      <c r="B529" s="233">
        <v>45727</v>
      </c>
      <c r="C529" s="234">
        <v>181.49984499999999</v>
      </c>
      <c r="D529" s="235">
        <v>229.90491048357865</v>
      </c>
      <c r="E529" s="234">
        <f t="shared" si="36"/>
        <v>181.49984499999999</v>
      </c>
      <c r="F529" s="239"/>
      <c r="G529" s="188" t="str">
        <f t="shared" si="33"/>
        <v/>
      </c>
      <c r="H529" s="236" t="str">
        <f t="shared" si="34"/>
        <v/>
      </c>
      <c r="I529" s="237"/>
    </row>
    <row r="530" spans="1:9">
      <c r="A530" s="232">
        <f t="shared" si="35"/>
        <v>528</v>
      </c>
      <c r="B530" s="233">
        <v>45728</v>
      </c>
      <c r="C530" s="234">
        <v>198.76046500000001</v>
      </c>
      <c r="D530" s="235">
        <v>229.90491048357865</v>
      </c>
      <c r="E530" s="234">
        <f t="shared" si="36"/>
        <v>198.76046500000001</v>
      </c>
      <c r="F530" s="239"/>
      <c r="G530" s="188" t="str">
        <f t="shared" si="33"/>
        <v/>
      </c>
      <c r="H530" s="236" t="str">
        <f t="shared" si="34"/>
        <v/>
      </c>
      <c r="I530" s="237"/>
    </row>
    <row r="531" spans="1:9">
      <c r="A531" s="232">
        <f t="shared" si="35"/>
        <v>529</v>
      </c>
      <c r="B531" s="233">
        <v>45729</v>
      </c>
      <c r="C531" s="234">
        <v>181.16058100000001</v>
      </c>
      <c r="D531" s="235">
        <v>229.90491048357865</v>
      </c>
      <c r="E531" s="234">
        <f t="shared" si="36"/>
        <v>181.16058100000001</v>
      </c>
      <c r="F531" s="239"/>
      <c r="G531" s="188" t="str">
        <f t="shared" si="33"/>
        <v/>
      </c>
      <c r="H531" s="236" t="str">
        <f t="shared" si="34"/>
        <v/>
      </c>
      <c r="I531" s="237"/>
    </row>
    <row r="532" spans="1:9">
      <c r="A532" s="232">
        <f t="shared" si="35"/>
        <v>530</v>
      </c>
      <c r="B532" s="233">
        <v>45730</v>
      </c>
      <c r="C532" s="234">
        <v>213.685439</v>
      </c>
      <c r="D532" s="235">
        <v>229.90491048357865</v>
      </c>
      <c r="E532" s="234">
        <f t="shared" si="36"/>
        <v>213.685439</v>
      </c>
      <c r="F532" s="239"/>
      <c r="G532" s="188" t="str">
        <f t="shared" si="33"/>
        <v/>
      </c>
      <c r="H532" s="236" t="str">
        <f t="shared" si="34"/>
        <v/>
      </c>
      <c r="I532" s="237"/>
    </row>
    <row r="533" spans="1:9">
      <c r="A533" s="232">
        <f t="shared" si="35"/>
        <v>531</v>
      </c>
      <c r="B533" s="233">
        <v>45731</v>
      </c>
      <c r="C533" s="234">
        <v>142.95814899999999</v>
      </c>
      <c r="D533" s="235">
        <v>229.90491048357865</v>
      </c>
      <c r="E533" s="234">
        <f t="shared" si="36"/>
        <v>142.95814899999999</v>
      </c>
      <c r="F533" s="239"/>
      <c r="G533" s="188" t="str">
        <f t="shared" si="33"/>
        <v>M</v>
      </c>
      <c r="H533" s="236" t="str">
        <f t="shared" si="34"/>
        <v>229,9</v>
      </c>
      <c r="I533" s="237"/>
    </row>
    <row r="534" spans="1:9">
      <c r="A534" s="232">
        <f t="shared" si="35"/>
        <v>532</v>
      </c>
      <c r="B534" s="233">
        <v>45732</v>
      </c>
      <c r="C534" s="234">
        <v>96.001475999999997</v>
      </c>
      <c r="D534" s="235">
        <v>229.90491048357865</v>
      </c>
      <c r="E534" s="234">
        <f t="shared" si="36"/>
        <v>96.001475999999997</v>
      </c>
      <c r="F534" s="239"/>
      <c r="G534" s="188" t="str">
        <f t="shared" si="33"/>
        <v/>
      </c>
      <c r="H534" s="236" t="str">
        <f t="shared" si="34"/>
        <v/>
      </c>
      <c r="I534" s="237"/>
    </row>
    <row r="535" spans="1:9">
      <c r="A535" s="232">
        <f t="shared" ref="A535:A598" si="37">+A534+1</f>
        <v>533</v>
      </c>
      <c r="B535" s="233">
        <v>45733</v>
      </c>
      <c r="C535" s="234">
        <v>141.406701</v>
      </c>
      <c r="D535" s="235">
        <v>229.90491048357865</v>
      </c>
      <c r="E535" s="234">
        <f t="shared" ref="E535:E598" si="38">IF(C535&gt;D535,D535,C535)</f>
        <v>141.406701</v>
      </c>
      <c r="F535" s="239"/>
      <c r="G535" s="188" t="str">
        <f t="shared" si="33"/>
        <v/>
      </c>
      <c r="H535" s="236" t="str">
        <f t="shared" si="34"/>
        <v/>
      </c>
      <c r="I535" s="237"/>
    </row>
    <row r="536" spans="1:9">
      <c r="A536" s="232">
        <f t="shared" si="37"/>
        <v>534</v>
      </c>
      <c r="B536" s="233">
        <v>45734</v>
      </c>
      <c r="C536" s="234">
        <v>236.30331199999998</v>
      </c>
      <c r="D536" s="235">
        <v>229.90491048357865</v>
      </c>
      <c r="E536" s="234">
        <f t="shared" si="38"/>
        <v>229.90491048357865</v>
      </c>
      <c r="F536" s="239"/>
      <c r="G536" s="188" t="str">
        <f t="shared" si="33"/>
        <v/>
      </c>
      <c r="H536" s="236" t="str">
        <f t="shared" si="34"/>
        <v/>
      </c>
      <c r="I536" s="237"/>
    </row>
    <row r="537" spans="1:9">
      <c r="A537" s="232">
        <f t="shared" si="37"/>
        <v>535</v>
      </c>
      <c r="B537" s="233">
        <v>45735</v>
      </c>
      <c r="C537" s="234">
        <v>270.76331900000002</v>
      </c>
      <c r="D537" s="235">
        <v>229.90491048357865</v>
      </c>
      <c r="E537" s="234">
        <f t="shared" si="38"/>
        <v>229.90491048357865</v>
      </c>
      <c r="F537" s="239"/>
      <c r="G537" s="188" t="str">
        <f t="shared" si="33"/>
        <v/>
      </c>
      <c r="H537" s="236" t="str">
        <f t="shared" si="34"/>
        <v/>
      </c>
      <c r="I537" s="237"/>
    </row>
    <row r="538" spans="1:9">
      <c r="A538" s="232">
        <f t="shared" si="37"/>
        <v>536</v>
      </c>
      <c r="B538" s="233">
        <v>45736</v>
      </c>
      <c r="C538" s="234">
        <v>372.38735200000002</v>
      </c>
      <c r="D538" s="235">
        <v>229.90491048357865</v>
      </c>
      <c r="E538" s="234">
        <f t="shared" si="38"/>
        <v>229.90491048357865</v>
      </c>
      <c r="F538" s="239"/>
      <c r="G538" s="188" t="str">
        <f t="shared" si="33"/>
        <v/>
      </c>
      <c r="H538" s="236" t="str">
        <f t="shared" si="34"/>
        <v/>
      </c>
      <c r="I538" s="237"/>
    </row>
    <row r="539" spans="1:9">
      <c r="A539" s="232">
        <f t="shared" si="37"/>
        <v>537</v>
      </c>
      <c r="B539" s="233">
        <v>45737</v>
      </c>
      <c r="C539" s="234">
        <v>348.09792399999998</v>
      </c>
      <c r="D539" s="235">
        <v>229.90491048357865</v>
      </c>
      <c r="E539" s="234">
        <f t="shared" si="38"/>
        <v>229.90491048357865</v>
      </c>
      <c r="F539" s="239"/>
      <c r="G539" s="188" t="str">
        <f t="shared" si="33"/>
        <v/>
      </c>
      <c r="H539" s="236" t="str">
        <f t="shared" si="34"/>
        <v/>
      </c>
      <c r="I539" s="237"/>
    </row>
    <row r="540" spans="1:9">
      <c r="A540" s="232">
        <f t="shared" si="37"/>
        <v>538</v>
      </c>
      <c r="B540" s="233">
        <v>45738</v>
      </c>
      <c r="C540" s="234">
        <v>244.37254999999999</v>
      </c>
      <c r="D540" s="235">
        <v>229.90491048357865</v>
      </c>
      <c r="E540" s="234">
        <f t="shared" si="38"/>
        <v>229.90491048357865</v>
      </c>
      <c r="F540" s="239"/>
      <c r="G540" s="188" t="str">
        <f t="shared" si="33"/>
        <v/>
      </c>
      <c r="H540" s="236" t="str">
        <f t="shared" si="34"/>
        <v/>
      </c>
      <c r="I540" s="237"/>
    </row>
    <row r="541" spans="1:9">
      <c r="A541" s="232">
        <f t="shared" si="37"/>
        <v>539</v>
      </c>
      <c r="B541" s="233">
        <v>45739</v>
      </c>
      <c r="C541" s="234">
        <v>165.08041399999999</v>
      </c>
      <c r="D541" s="235">
        <v>229.90491048357865</v>
      </c>
      <c r="E541" s="234">
        <f t="shared" si="38"/>
        <v>165.08041399999999</v>
      </c>
      <c r="F541" s="239"/>
      <c r="G541" s="188" t="str">
        <f t="shared" si="33"/>
        <v/>
      </c>
      <c r="H541" s="236" t="str">
        <f t="shared" si="34"/>
        <v/>
      </c>
      <c r="I541" s="237"/>
    </row>
    <row r="542" spans="1:9">
      <c r="A542" s="232">
        <f t="shared" si="37"/>
        <v>540</v>
      </c>
      <c r="B542" s="233">
        <v>45740</v>
      </c>
      <c r="C542" s="234">
        <v>162.02467000000001</v>
      </c>
      <c r="D542" s="235">
        <v>229.90491048357865</v>
      </c>
      <c r="E542" s="234">
        <f t="shared" si="38"/>
        <v>162.02467000000001</v>
      </c>
      <c r="F542" s="239"/>
      <c r="G542" s="188" t="str">
        <f t="shared" si="33"/>
        <v/>
      </c>
      <c r="H542" s="236" t="str">
        <f t="shared" si="34"/>
        <v/>
      </c>
      <c r="I542" s="237"/>
    </row>
    <row r="543" spans="1:9">
      <c r="A543" s="232">
        <f t="shared" si="37"/>
        <v>541</v>
      </c>
      <c r="B543" s="233">
        <v>45741</v>
      </c>
      <c r="C543" s="234">
        <v>168.76038299999999</v>
      </c>
      <c r="D543" s="235">
        <v>229.90491048357865</v>
      </c>
      <c r="E543" s="234">
        <f t="shared" si="38"/>
        <v>168.76038299999999</v>
      </c>
      <c r="F543" s="239"/>
      <c r="G543" s="188" t="str">
        <f t="shared" si="33"/>
        <v/>
      </c>
      <c r="H543" s="236" t="str">
        <f t="shared" si="34"/>
        <v/>
      </c>
      <c r="I543" s="237"/>
    </row>
    <row r="544" spans="1:9">
      <c r="A544" s="232">
        <f t="shared" si="37"/>
        <v>542</v>
      </c>
      <c r="B544" s="233">
        <v>45742</v>
      </c>
      <c r="C544" s="234">
        <v>172.88286499999998</v>
      </c>
      <c r="D544" s="235">
        <v>229.90491048357865</v>
      </c>
      <c r="E544" s="234">
        <f t="shared" si="38"/>
        <v>172.88286499999998</v>
      </c>
      <c r="F544" s="239"/>
      <c r="G544" s="188" t="str">
        <f t="shared" si="33"/>
        <v/>
      </c>
      <c r="H544" s="236" t="str">
        <f t="shared" si="34"/>
        <v/>
      </c>
      <c r="I544" s="237"/>
    </row>
    <row r="545" spans="1:9">
      <c r="A545" s="232">
        <f t="shared" si="37"/>
        <v>543</v>
      </c>
      <c r="B545" s="233">
        <v>45743</v>
      </c>
      <c r="C545" s="234">
        <v>158.74360199999998</v>
      </c>
      <c r="D545" s="235">
        <v>229.90491048357865</v>
      </c>
      <c r="E545" s="234">
        <f t="shared" si="38"/>
        <v>158.74360199999998</v>
      </c>
      <c r="F545" s="239"/>
      <c r="G545" s="188" t="str">
        <f t="shared" si="33"/>
        <v/>
      </c>
      <c r="H545" s="236" t="str">
        <f t="shared" si="34"/>
        <v/>
      </c>
      <c r="I545" s="237"/>
    </row>
    <row r="546" spans="1:9">
      <c r="A546" s="232">
        <f t="shared" si="37"/>
        <v>544</v>
      </c>
      <c r="B546" s="233">
        <v>45744</v>
      </c>
      <c r="C546" s="234">
        <v>187.672775</v>
      </c>
      <c r="D546" s="235">
        <v>229.90491048357865</v>
      </c>
      <c r="E546" s="234">
        <f t="shared" si="38"/>
        <v>187.672775</v>
      </c>
      <c r="F546" s="239"/>
      <c r="G546" s="188" t="str">
        <f t="shared" si="33"/>
        <v/>
      </c>
      <c r="H546" s="236" t="str">
        <f t="shared" si="34"/>
        <v/>
      </c>
      <c r="I546" s="237"/>
    </row>
    <row r="547" spans="1:9">
      <c r="A547" s="232">
        <f t="shared" si="37"/>
        <v>545</v>
      </c>
      <c r="B547" s="233">
        <v>45745</v>
      </c>
      <c r="C547" s="234">
        <v>234.45375199999998</v>
      </c>
      <c r="D547" s="235">
        <v>229.90491048357865</v>
      </c>
      <c r="E547" s="234">
        <f t="shared" si="38"/>
        <v>229.90491048357865</v>
      </c>
      <c r="F547" s="239"/>
      <c r="G547" s="188" t="str">
        <f t="shared" si="33"/>
        <v/>
      </c>
      <c r="H547" s="236" t="str">
        <f t="shared" si="34"/>
        <v/>
      </c>
      <c r="I547" s="237"/>
    </row>
    <row r="548" spans="1:9">
      <c r="A548" s="232">
        <f t="shared" si="37"/>
        <v>546</v>
      </c>
      <c r="B548" s="233">
        <v>45746</v>
      </c>
      <c r="C548" s="234">
        <v>171.06194099999999</v>
      </c>
      <c r="D548" s="235">
        <v>229.90491048357865</v>
      </c>
      <c r="E548" s="234">
        <f t="shared" si="38"/>
        <v>171.06194099999999</v>
      </c>
      <c r="F548" s="239"/>
      <c r="G548" s="188" t="str">
        <f t="shared" si="33"/>
        <v/>
      </c>
      <c r="H548" s="236" t="str">
        <f t="shared" si="34"/>
        <v/>
      </c>
      <c r="I548" s="237"/>
    </row>
    <row r="549" spans="1:9">
      <c r="A549" s="232">
        <f t="shared" si="37"/>
        <v>547</v>
      </c>
      <c r="B549" s="233">
        <v>45747</v>
      </c>
      <c r="C549" s="234">
        <v>113.48658399999999</v>
      </c>
      <c r="D549" s="235">
        <v>229.90491048357865</v>
      </c>
      <c r="E549" s="234">
        <f t="shared" si="38"/>
        <v>113.48658399999999</v>
      </c>
      <c r="F549" s="239"/>
      <c r="G549" s="188" t="str">
        <f t="shared" si="33"/>
        <v/>
      </c>
      <c r="H549" s="236" t="str">
        <f t="shared" si="34"/>
        <v/>
      </c>
      <c r="I549" s="237"/>
    </row>
    <row r="550" spans="1:9">
      <c r="A550" s="232">
        <f t="shared" si="37"/>
        <v>548</v>
      </c>
      <c r="B550" s="233">
        <v>45748</v>
      </c>
      <c r="C550" s="234">
        <v>55.305022999999998</v>
      </c>
      <c r="D550" s="235">
        <v>182.61758427317855</v>
      </c>
      <c r="E550" s="234">
        <f t="shared" si="38"/>
        <v>55.305022999999998</v>
      </c>
      <c r="F550" s="239"/>
      <c r="G550" s="188" t="str">
        <f t="shared" si="33"/>
        <v/>
      </c>
      <c r="H550" s="236" t="str">
        <f t="shared" si="34"/>
        <v/>
      </c>
      <c r="I550" s="237"/>
    </row>
    <row r="551" spans="1:9">
      <c r="A551" s="232">
        <f t="shared" si="37"/>
        <v>549</v>
      </c>
      <c r="B551" s="233">
        <v>45749</v>
      </c>
      <c r="C551" s="234">
        <v>159.30938700000002</v>
      </c>
      <c r="D551" s="235">
        <v>182.61758427317855</v>
      </c>
      <c r="E551" s="234">
        <f t="shared" si="38"/>
        <v>159.30938700000002</v>
      </c>
      <c r="F551" s="237"/>
      <c r="G551" s="188" t="str">
        <f t="shared" si="33"/>
        <v/>
      </c>
      <c r="H551" s="236" t="str">
        <f t="shared" si="34"/>
        <v/>
      </c>
      <c r="I551" s="237"/>
    </row>
    <row r="552" spans="1:9">
      <c r="A552" s="232">
        <f t="shared" si="37"/>
        <v>550</v>
      </c>
      <c r="B552" s="233">
        <v>45750</v>
      </c>
      <c r="C552" s="234">
        <v>240.27338599999999</v>
      </c>
      <c r="D552" s="235">
        <v>182.61758427317855</v>
      </c>
      <c r="E552" s="234">
        <f t="shared" si="38"/>
        <v>182.61758427317855</v>
      </c>
      <c r="F552" s="237"/>
      <c r="G552" s="188" t="str">
        <f t="shared" si="33"/>
        <v/>
      </c>
      <c r="H552" s="236" t="str">
        <f t="shared" si="34"/>
        <v/>
      </c>
      <c r="I552" s="237"/>
    </row>
    <row r="553" spans="1:9">
      <c r="A553" s="232">
        <f t="shared" si="37"/>
        <v>551</v>
      </c>
      <c r="B553" s="233">
        <v>45751</v>
      </c>
      <c r="C553" s="234">
        <v>250.217277</v>
      </c>
      <c r="D553" s="235">
        <v>182.61758427317855</v>
      </c>
      <c r="E553" s="234">
        <f t="shared" si="38"/>
        <v>182.61758427317855</v>
      </c>
      <c r="F553" s="239"/>
      <c r="G553" s="188" t="str">
        <f t="shared" si="33"/>
        <v/>
      </c>
      <c r="H553" s="236" t="str">
        <f t="shared" si="34"/>
        <v/>
      </c>
      <c r="I553" s="237"/>
    </row>
    <row r="554" spans="1:9">
      <c r="A554" s="232">
        <f t="shared" si="37"/>
        <v>552</v>
      </c>
      <c r="B554" s="233">
        <v>45752</v>
      </c>
      <c r="C554" s="234">
        <v>142.10995800000001</v>
      </c>
      <c r="D554" s="235">
        <v>182.61758427317855</v>
      </c>
      <c r="E554" s="234">
        <f t="shared" si="38"/>
        <v>142.10995800000001</v>
      </c>
      <c r="F554" s="239"/>
      <c r="G554" s="188" t="str">
        <f t="shared" si="33"/>
        <v/>
      </c>
      <c r="H554" s="236" t="str">
        <f t="shared" si="34"/>
        <v/>
      </c>
      <c r="I554" s="237"/>
    </row>
    <row r="555" spans="1:9">
      <c r="A555" s="232">
        <f t="shared" si="37"/>
        <v>553</v>
      </c>
      <c r="B555" s="233">
        <v>45753</v>
      </c>
      <c r="C555" s="234">
        <v>92.200361000000001</v>
      </c>
      <c r="D555" s="235">
        <v>182.61758427317855</v>
      </c>
      <c r="E555" s="234">
        <f t="shared" si="38"/>
        <v>92.200361000000001</v>
      </c>
      <c r="F555" s="239"/>
      <c r="G555" s="188" t="str">
        <f t="shared" si="33"/>
        <v/>
      </c>
      <c r="H555" s="236" t="str">
        <f t="shared" si="34"/>
        <v/>
      </c>
      <c r="I555" s="237"/>
    </row>
    <row r="556" spans="1:9">
      <c r="A556" s="232">
        <f t="shared" si="37"/>
        <v>554</v>
      </c>
      <c r="B556" s="233">
        <v>45754</v>
      </c>
      <c r="C556" s="234">
        <v>65.283080999999996</v>
      </c>
      <c r="D556" s="235">
        <v>182.61758427317855</v>
      </c>
      <c r="E556" s="234">
        <f t="shared" si="38"/>
        <v>65.283080999999996</v>
      </c>
      <c r="F556" s="239"/>
      <c r="G556" s="188" t="str">
        <f t="shared" si="33"/>
        <v/>
      </c>
      <c r="H556" s="236" t="str">
        <f t="shared" si="34"/>
        <v/>
      </c>
      <c r="I556" s="237"/>
    </row>
    <row r="557" spans="1:9">
      <c r="A557" s="232">
        <f t="shared" si="37"/>
        <v>555</v>
      </c>
      <c r="B557" s="233">
        <v>45755</v>
      </c>
      <c r="C557" s="234">
        <v>67.715493000000009</v>
      </c>
      <c r="D557" s="235">
        <v>182.61758427317855</v>
      </c>
      <c r="E557" s="234">
        <f t="shared" si="38"/>
        <v>67.715493000000009</v>
      </c>
      <c r="F557" s="239"/>
      <c r="G557" s="188" t="str">
        <f t="shared" si="33"/>
        <v/>
      </c>
      <c r="H557" s="236" t="str">
        <f t="shared" si="34"/>
        <v/>
      </c>
      <c r="I557" s="237"/>
    </row>
    <row r="558" spans="1:9">
      <c r="A558" s="232">
        <f t="shared" si="37"/>
        <v>556</v>
      </c>
      <c r="B558" s="233">
        <v>45756</v>
      </c>
      <c r="C558" s="234">
        <v>90.514348999999996</v>
      </c>
      <c r="D558" s="235">
        <v>182.61758427317855</v>
      </c>
      <c r="E558" s="234">
        <f t="shared" si="38"/>
        <v>90.514348999999996</v>
      </c>
      <c r="F558" s="239"/>
      <c r="G558" s="188" t="str">
        <f t="shared" si="33"/>
        <v/>
      </c>
      <c r="H558" s="236" t="str">
        <f t="shared" si="34"/>
        <v/>
      </c>
      <c r="I558" s="237"/>
    </row>
    <row r="559" spans="1:9">
      <c r="A559" s="232">
        <f t="shared" si="37"/>
        <v>557</v>
      </c>
      <c r="B559" s="233">
        <v>45757</v>
      </c>
      <c r="C559" s="234">
        <v>182.00163499999999</v>
      </c>
      <c r="D559" s="235">
        <v>182.61758427317855</v>
      </c>
      <c r="E559" s="234">
        <f t="shared" si="38"/>
        <v>182.00163499999999</v>
      </c>
      <c r="F559" s="239"/>
      <c r="G559" s="188" t="str">
        <f t="shared" si="33"/>
        <v/>
      </c>
      <c r="H559" s="236" t="str">
        <f t="shared" si="34"/>
        <v/>
      </c>
      <c r="I559" s="237"/>
    </row>
    <row r="560" spans="1:9">
      <c r="A560" s="232">
        <f t="shared" si="37"/>
        <v>558</v>
      </c>
      <c r="B560" s="233">
        <v>45758</v>
      </c>
      <c r="C560" s="234">
        <v>208.06907199999998</v>
      </c>
      <c r="D560" s="235">
        <v>182.61758427317855</v>
      </c>
      <c r="E560" s="234">
        <f t="shared" si="38"/>
        <v>182.61758427317855</v>
      </c>
      <c r="F560" s="239"/>
      <c r="G560" s="188" t="str">
        <f t="shared" si="33"/>
        <v/>
      </c>
      <c r="H560" s="236" t="str">
        <f t="shared" si="34"/>
        <v/>
      </c>
      <c r="I560" s="237"/>
    </row>
    <row r="561" spans="1:9">
      <c r="A561" s="232">
        <f t="shared" si="37"/>
        <v>559</v>
      </c>
      <c r="B561" s="233">
        <v>45759</v>
      </c>
      <c r="C561" s="234">
        <v>92.361042999999995</v>
      </c>
      <c r="D561" s="235">
        <v>182.61758427317855</v>
      </c>
      <c r="E561" s="234">
        <f t="shared" si="38"/>
        <v>92.361042999999995</v>
      </c>
      <c r="F561" s="239"/>
      <c r="G561" s="188" t="str">
        <f t="shared" si="33"/>
        <v/>
      </c>
      <c r="H561" s="236" t="str">
        <f t="shared" si="34"/>
        <v/>
      </c>
      <c r="I561" s="237"/>
    </row>
    <row r="562" spans="1:9">
      <c r="A562" s="232">
        <f t="shared" si="37"/>
        <v>560</v>
      </c>
      <c r="B562" s="233">
        <v>45760</v>
      </c>
      <c r="C562" s="234">
        <v>46.474194000000004</v>
      </c>
      <c r="D562" s="235">
        <v>182.61758427317855</v>
      </c>
      <c r="E562" s="234">
        <f t="shared" si="38"/>
        <v>46.474194000000004</v>
      </c>
      <c r="F562" s="239"/>
      <c r="G562" s="188" t="str">
        <f t="shared" si="33"/>
        <v/>
      </c>
      <c r="H562" s="236" t="str">
        <f t="shared" si="34"/>
        <v/>
      </c>
      <c r="I562" s="237"/>
    </row>
    <row r="563" spans="1:9">
      <c r="A563" s="232">
        <f t="shared" si="37"/>
        <v>561</v>
      </c>
      <c r="B563" s="233">
        <v>45761</v>
      </c>
      <c r="C563" s="234">
        <v>168.549228</v>
      </c>
      <c r="D563" s="235">
        <v>182.61758427317855</v>
      </c>
      <c r="E563" s="234">
        <f t="shared" si="38"/>
        <v>168.549228</v>
      </c>
      <c r="F563" s="239"/>
      <c r="G563" s="188" t="str">
        <f t="shared" si="33"/>
        <v/>
      </c>
      <c r="H563" s="236" t="str">
        <f t="shared" si="34"/>
        <v/>
      </c>
      <c r="I563" s="237"/>
    </row>
    <row r="564" spans="1:9">
      <c r="A564" s="232">
        <f t="shared" si="37"/>
        <v>562</v>
      </c>
      <c r="B564" s="233">
        <v>45762</v>
      </c>
      <c r="C564" s="234">
        <v>232.48323499999998</v>
      </c>
      <c r="D564" s="235">
        <v>182.61758427317855</v>
      </c>
      <c r="E564" s="234">
        <f t="shared" si="38"/>
        <v>182.61758427317855</v>
      </c>
      <c r="F564" s="239"/>
      <c r="G564" s="188" t="str">
        <f t="shared" si="33"/>
        <v>A</v>
      </c>
      <c r="H564" s="236" t="str">
        <f t="shared" si="34"/>
        <v>182,6</v>
      </c>
      <c r="I564" s="237"/>
    </row>
    <row r="565" spans="1:9">
      <c r="A565" s="232">
        <f t="shared" si="37"/>
        <v>563</v>
      </c>
      <c r="B565" s="233">
        <v>45763</v>
      </c>
      <c r="C565" s="234">
        <v>263.40821600000004</v>
      </c>
      <c r="D565" s="235">
        <v>182.61758427317855</v>
      </c>
      <c r="E565" s="234">
        <f t="shared" si="38"/>
        <v>182.61758427317855</v>
      </c>
      <c r="F565" s="239"/>
      <c r="G565" s="188" t="str">
        <f t="shared" si="33"/>
        <v/>
      </c>
      <c r="H565" s="236" t="str">
        <f t="shared" si="34"/>
        <v/>
      </c>
      <c r="I565" s="237"/>
    </row>
    <row r="566" spans="1:9">
      <c r="A566" s="232">
        <f t="shared" si="37"/>
        <v>564</v>
      </c>
      <c r="B566" s="233">
        <v>45764</v>
      </c>
      <c r="C566" s="234">
        <v>204.63455300000001</v>
      </c>
      <c r="D566" s="235">
        <v>182.61758427317855</v>
      </c>
      <c r="E566" s="234">
        <f t="shared" si="38"/>
        <v>182.61758427317855</v>
      </c>
      <c r="F566" s="239"/>
      <c r="G566" s="188" t="str">
        <f t="shared" si="33"/>
        <v/>
      </c>
      <c r="H566" s="236" t="str">
        <f t="shared" si="34"/>
        <v/>
      </c>
      <c r="I566" s="237"/>
    </row>
    <row r="567" spans="1:9">
      <c r="A567" s="232">
        <f t="shared" si="37"/>
        <v>565</v>
      </c>
      <c r="B567" s="233">
        <v>45765</v>
      </c>
      <c r="C567" s="234">
        <v>178.321282</v>
      </c>
      <c r="D567" s="235">
        <v>182.61758427317855</v>
      </c>
      <c r="E567" s="234">
        <f t="shared" si="38"/>
        <v>178.321282</v>
      </c>
      <c r="F567" s="239"/>
      <c r="G567" s="188" t="str">
        <f t="shared" si="33"/>
        <v/>
      </c>
      <c r="H567" s="236" t="str">
        <f t="shared" si="34"/>
        <v/>
      </c>
      <c r="I567" s="237"/>
    </row>
    <row r="568" spans="1:9">
      <c r="A568" s="232">
        <f t="shared" si="37"/>
        <v>566</v>
      </c>
      <c r="B568" s="233">
        <v>45766</v>
      </c>
      <c r="C568" s="234">
        <v>227.57283200000001</v>
      </c>
      <c r="D568" s="235">
        <v>182.61758427317855</v>
      </c>
      <c r="E568" s="234">
        <f t="shared" si="38"/>
        <v>182.61758427317855</v>
      </c>
      <c r="F568" s="239"/>
      <c r="G568" s="188" t="str">
        <f t="shared" si="33"/>
        <v/>
      </c>
      <c r="H568" s="236" t="str">
        <f t="shared" si="34"/>
        <v/>
      </c>
      <c r="I568" s="237"/>
    </row>
    <row r="569" spans="1:9">
      <c r="A569" s="232">
        <f t="shared" si="37"/>
        <v>567</v>
      </c>
      <c r="B569" s="233">
        <v>45767</v>
      </c>
      <c r="C569" s="234">
        <v>131.448273</v>
      </c>
      <c r="D569" s="235">
        <v>182.61758427317855</v>
      </c>
      <c r="E569" s="234">
        <f t="shared" si="38"/>
        <v>131.448273</v>
      </c>
      <c r="F569" s="239"/>
      <c r="G569" s="188" t="str">
        <f t="shared" si="33"/>
        <v/>
      </c>
      <c r="H569" s="236" t="str">
        <f t="shared" si="34"/>
        <v/>
      </c>
      <c r="I569" s="237"/>
    </row>
    <row r="570" spans="1:9">
      <c r="A570" s="232">
        <f t="shared" si="37"/>
        <v>568</v>
      </c>
      <c r="B570" s="233">
        <v>45768</v>
      </c>
      <c r="C570" s="234">
        <v>72.051129999999986</v>
      </c>
      <c r="D570" s="235">
        <v>182.61758427317855</v>
      </c>
      <c r="E570" s="234">
        <f t="shared" si="38"/>
        <v>72.051129999999986</v>
      </c>
      <c r="F570" s="239"/>
      <c r="G570" s="188" t="str">
        <f t="shared" si="33"/>
        <v/>
      </c>
      <c r="H570" s="236" t="str">
        <f t="shared" si="34"/>
        <v/>
      </c>
      <c r="I570" s="237"/>
    </row>
    <row r="571" spans="1:9">
      <c r="A571" s="232">
        <f t="shared" si="37"/>
        <v>569</v>
      </c>
      <c r="B571" s="233">
        <v>45769</v>
      </c>
      <c r="C571" s="234">
        <v>102.756902</v>
      </c>
      <c r="D571" s="235">
        <v>182.61758427317855</v>
      </c>
      <c r="E571" s="234">
        <f t="shared" si="38"/>
        <v>102.756902</v>
      </c>
      <c r="F571" s="239"/>
      <c r="G571" s="188" t="str">
        <f t="shared" si="33"/>
        <v/>
      </c>
      <c r="H571" s="236" t="str">
        <f t="shared" si="34"/>
        <v/>
      </c>
      <c r="I571" s="237"/>
    </row>
    <row r="572" spans="1:9">
      <c r="A572" s="232">
        <f t="shared" si="37"/>
        <v>570</v>
      </c>
      <c r="B572" s="233">
        <v>45770</v>
      </c>
      <c r="C572" s="234">
        <v>110.202663</v>
      </c>
      <c r="D572" s="235">
        <v>182.61758427317855</v>
      </c>
      <c r="E572" s="234">
        <f t="shared" si="38"/>
        <v>110.202663</v>
      </c>
      <c r="F572" s="239"/>
      <c r="G572" s="188" t="str">
        <f t="shared" si="33"/>
        <v/>
      </c>
      <c r="H572" s="236" t="str">
        <f t="shared" si="34"/>
        <v/>
      </c>
      <c r="I572" s="237"/>
    </row>
    <row r="573" spans="1:9">
      <c r="A573" s="232">
        <f t="shared" si="37"/>
        <v>571</v>
      </c>
      <c r="B573" s="233">
        <v>45771</v>
      </c>
      <c r="C573" s="234">
        <v>114.649427</v>
      </c>
      <c r="D573" s="235">
        <v>182.61758427317855</v>
      </c>
      <c r="E573" s="234">
        <f t="shared" si="38"/>
        <v>114.649427</v>
      </c>
      <c r="F573" s="239"/>
      <c r="G573" s="188" t="str">
        <f t="shared" si="33"/>
        <v/>
      </c>
      <c r="H573" s="236" t="str">
        <f t="shared" si="34"/>
        <v/>
      </c>
      <c r="I573" s="237"/>
    </row>
    <row r="574" spans="1:9">
      <c r="A574" s="232">
        <f t="shared" si="37"/>
        <v>572</v>
      </c>
      <c r="B574" s="233">
        <v>45772</v>
      </c>
      <c r="C574" s="234">
        <v>77.655495999999999</v>
      </c>
      <c r="D574" s="235">
        <v>182.61758427317855</v>
      </c>
      <c r="E574" s="234">
        <f t="shared" si="38"/>
        <v>77.655495999999999</v>
      </c>
      <c r="F574" s="239"/>
      <c r="G574" s="188" t="str">
        <f t="shared" si="33"/>
        <v/>
      </c>
      <c r="H574" s="236" t="str">
        <f t="shared" si="34"/>
        <v/>
      </c>
      <c r="I574" s="237"/>
    </row>
    <row r="575" spans="1:9">
      <c r="A575" s="232">
        <f t="shared" si="37"/>
        <v>573</v>
      </c>
      <c r="B575" s="233">
        <v>45773</v>
      </c>
      <c r="C575" s="234">
        <v>184.31117699999999</v>
      </c>
      <c r="D575" s="235">
        <v>182.61758427317855</v>
      </c>
      <c r="E575" s="234">
        <f t="shared" si="38"/>
        <v>182.61758427317855</v>
      </c>
      <c r="F575" s="239"/>
      <c r="G575" s="188" t="str">
        <f t="shared" si="33"/>
        <v/>
      </c>
      <c r="H575" s="236" t="str">
        <f t="shared" si="34"/>
        <v/>
      </c>
      <c r="I575" s="237"/>
    </row>
    <row r="576" spans="1:9">
      <c r="A576" s="232">
        <f t="shared" si="37"/>
        <v>574</v>
      </c>
      <c r="B576" s="233">
        <v>45774</v>
      </c>
      <c r="C576" s="234">
        <v>131.219179</v>
      </c>
      <c r="D576" s="235">
        <v>182.61758427317855</v>
      </c>
      <c r="E576" s="234">
        <f t="shared" si="38"/>
        <v>131.219179</v>
      </c>
      <c r="F576" s="239"/>
      <c r="G576" s="188" t="str">
        <f t="shared" si="33"/>
        <v/>
      </c>
      <c r="H576" s="236" t="str">
        <f t="shared" si="34"/>
        <v/>
      </c>
      <c r="I576" s="237"/>
    </row>
    <row r="577" spans="1:9">
      <c r="A577" s="232">
        <f t="shared" si="37"/>
        <v>575</v>
      </c>
      <c r="B577" s="233">
        <v>45775</v>
      </c>
      <c r="C577" s="234">
        <v>58.299390000000002</v>
      </c>
      <c r="D577" s="235">
        <v>182.61758427317855</v>
      </c>
      <c r="E577" s="234">
        <f t="shared" si="38"/>
        <v>58.299390000000002</v>
      </c>
      <c r="F577" s="239"/>
      <c r="G577" s="188" t="str">
        <f t="shared" si="33"/>
        <v/>
      </c>
      <c r="H577" s="236" t="str">
        <f t="shared" si="34"/>
        <v/>
      </c>
      <c r="I577" s="237"/>
    </row>
    <row r="578" spans="1:9">
      <c r="A578" s="232">
        <f t="shared" si="37"/>
        <v>576</v>
      </c>
      <c r="B578" s="233">
        <v>45776</v>
      </c>
      <c r="C578" s="234">
        <v>89.623407</v>
      </c>
      <c r="D578" s="235">
        <v>182.61758427317855</v>
      </c>
      <c r="E578" s="234">
        <f t="shared" si="38"/>
        <v>89.623407</v>
      </c>
      <c r="F578" s="239"/>
      <c r="G578" s="188" t="str">
        <f t="shared" si="33"/>
        <v/>
      </c>
      <c r="H578" s="236" t="str">
        <f t="shared" si="34"/>
        <v/>
      </c>
      <c r="I578" s="237"/>
    </row>
    <row r="579" spans="1:9">
      <c r="A579" s="232">
        <f t="shared" si="37"/>
        <v>577</v>
      </c>
      <c r="B579" s="233">
        <v>45777</v>
      </c>
      <c r="C579" s="234">
        <v>223.98727199999999</v>
      </c>
      <c r="D579" s="235">
        <v>182.61758427317855</v>
      </c>
      <c r="E579" s="234">
        <f t="shared" si="38"/>
        <v>182.61758427317855</v>
      </c>
      <c r="F579" s="239"/>
      <c r="G579" s="188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36" t="str">
        <f t="shared" ref="H579:H642" si="40">IF(DAY($B579)=15,TEXT(D579,"#,0"),"")</f>
        <v/>
      </c>
      <c r="I579" s="237"/>
    </row>
    <row r="580" spans="1:9">
      <c r="A580" s="232">
        <f t="shared" si="37"/>
        <v>578</v>
      </c>
      <c r="B580" s="233">
        <v>45778</v>
      </c>
      <c r="C580" s="234">
        <v>130.88345900000002</v>
      </c>
      <c r="D580" s="235">
        <v>169.07138542548611</v>
      </c>
      <c r="E580" s="234">
        <f t="shared" si="38"/>
        <v>130.88345900000002</v>
      </c>
      <c r="F580" s="239"/>
      <c r="G580" s="188" t="str">
        <f t="shared" si="39"/>
        <v/>
      </c>
      <c r="H580" s="236" t="str">
        <f t="shared" si="40"/>
        <v/>
      </c>
      <c r="I580" s="237"/>
    </row>
    <row r="581" spans="1:9">
      <c r="A581" s="232">
        <f t="shared" si="37"/>
        <v>579</v>
      </c>
      <c r="B581" s="233">
        <v>45779</v>
      </c>
      <c r="C581" s="234">
        <v>181.660078</v>
      </c>
      <c r="D581" s="235">
        <v>169.07138542548611</v>
      </c>
      <c r="E581" s="234">
        <f t="shared" si="38"/>
        <v>169.07138542548611</v>
      </c>
      <c r="F581" s="237"/>
      <c r="G581" s="188" t="str">
        <f t="shared" si="39"/>
        <v/>
      </c>
      <c r="H581" s="236" t="str">
        <f t="shared" si="40"/>
        <v/>
      </c>
      <c r="I581" s="237"/>
    </row>
    <row r="582" spans="1:9">
      <c r="A582" s="232">
        <f t="shared" si="37"/>
        <v>580</v>
      </c>
      <c r="B582" s="233">
        <v>45780</v>
      </c>
      <c r="C582" s="234">
        <v>89.445875999999984</v>
      </c>
      <c r="D582" s="235">
        <v>169.07138542548611</v>
      </c>
      <c r="E582" s="234">
        <f t="shared" si="38"/>
        <v>89.445875999999984</v>
      </c>
      <c r="F582" s="237"/>
      <c r="G582" s="188" t="str">
        <f t="shared" si="39"/>
        <v/>
      </c>
      <c r="H582" s="236" t="str">
        <f t="shared" si="40"/>
        <v/>
      </c>
      <c r="I582" s="237"/>
    </row>
    <row r="583" spans="1:9">
      <c r="A583" s="232">
        <f t="shared" si="37"/>
        <v>581</v>
      </c>
      <c r="B583" s="233">
        <v>45781</v>
      </c>
      <c r="C583" s="234">
        <v>112.966257</v>
      </c>
      <c r="D583" s="235">
        <v>169.07138542548611</v>
      </c>
      <c r="E583" s="234">
        <f t="shared" si="38"/>
        <v>112.966257</v>
      </c>
      <c r="F583" s="239"/>
      <c r="G583" s="188" t="str">
        <f t="shared" si="39"/>
        <v/>
      </c>
      <c r="H583" s="236" t="str">
        <f t="shared" si="40"/>
        <v/>
      </c>
      <c r="I583" s="237"/>
    </row>
    <row r="584" spans="1:9">
      <c r="A584" s="232">
        <f t="shared" si="37"/>
        <v>582</v>
      </c>
      <c r="B584" s="233">
        <v>45782</v>
      </c>
      <c r="C584" s="234">
        <v>219.790741</v>
      </c>
      <c r="D584" s="235">
        <v>169.07138542548611</v>
      </c>
      <c r="E584" s="234">
        <f t="shared" si="38"/>
        <v>169.07138542548611</v>
      </c>
      <c r="F584" s="239"/>
      <c r="G584" s="188" t="str">
        <f t="shared" si="39"/>
        <v/>
      </c>
      <c r="H584" s="236" t="str">
        <f t="shared" si="40"/>
        <v/>
      </c>
      <c r="I584" s="237"/>
    </row>
    <row r="585" spans="1:9">
      <c r="A585" s="232">
        <f t="shared" si="37"/>
        <v>583</v>
      </c>
      <c r="B585" s="233">
        <v>45783</v>
      </c>
      <c r="C585" s="234">
        <v>176.80138399999998</v>
      </c>
      <c r="D585" s="235">
        <v>169.07138542548611</v>
      </c>
      <c r="E585" s="234">
        <f t="shared" si="38"/>
        <v>169.07138542548611</v>
      </c>
      <c r="F585" s="239"/>
      <c r="G585" s="188" t="str">
        <f t="shared" si="39"/>
        <v/>
      </c>
      <c r="H585" s="236" t="str">
        <f t="shared" si="40"/>
        <v/>
      </c>
      <c r="I585" s="237"/>
    </row>
    <row r="586" spans="1:9">
      <c r="A586" s="232">
        <f t="shared" si="37"/>
        <v>584</v>
      </c>
      <c r="B586" s="233">
        <v>45784</v>
      </c>
      <c r="C586" s="234">
        <v>103.300662</v>
      </c>
      <c r="D586" s="235">
        <v>169.07138542548611</v>
      </c>
      <c r="E586" s="234">
        <f t="shared" si="38"/>
        <v>103.300662</v>
      </c>
      <c r="F586" s="239"/>
      <c r="G586" s="188" t="str">
        <f t="shared" si="39"/>
        <v/>
      </c>
      <c r="H586" s="236" t="str">
        <f t="shared" si="40"/>
        <v/>
      </c>
      <c r="I586" s="237"/>
    </row>
    <row r="587" spans="1:9">
      <c r="A587" s="232">
        <f t="shared" si="37"/>
        <v>585</v>
      </c>
      <c r="B587" s="233">
        <v>45785</v>
      </c>
      <c r="C587" s="234">
        <v>73.210046000000006</v>
      </c>
      <c r="D587" s="235">
        <v>169.07138542548611</v>
      </c>
      <c r="E587" s="234">
        <f t="shared" si="38"/>
        <v>73.210046000000006</v>
      </c>
      <c r="F587" s="239"/>
      <c r="G587" s="188" t="str">
        <f t="shared" si="39"/>
        <v/>
      </c>
      <c r="H587" s="236" t="str">
        <f t="shared" si="40"/>
        <v/>
      </c>
      <c r="I587" s="237"/>
    </row>
    <row r="588" spans="1:9">
      <c r="A588" s="232">
        <f t="shared" si="37"/>
        <v>586</v>
      </c>
      <c r="B588" s="233">
        <v>45786</v>
      </c>
      <c r="C588" s="234">
        <v>65.982574</v>
      </c>
      <c r="D588" s="235">
        <v>169.07138542548611</v>
      </c>
      <c r="E588" s="234">
        <f t="shared" si="38"/>
        <v>65.982574</v>
      </c>
      <c r="F588" s="239"/>
      <c r="G588" s="188" t="str">
        <f t="shared" si="39"/>
        <v/>
      </c>
      <c r="H588" s="236" t="str">
        <f t="shared" si="40"/>
        <v/>
      </c>
      <c r="I588" s="237"/>
    </row>
    <row r="589" spans="1:9">
      <c r="A589" s="232">
        <f t="shared" si="37"/>
        <v>587</v>
      </c>
      <c r="B589" s="233">
        <v>45787</v>
      </c>
      <c r="C589" s="234">
        <v>101.78966699999999</v>
      </c>
      <c r="D589" s="235">
        <v>169.07138542548611</v>
      </c>
      <c r="E589" s="234">
        <f t="shared" si="38"/>
        <v>101.78966699999999</v>
      </c>
      <c r="F589" s="239"/>
      <c r="G589" s="188" t="str">
        <f t="shared" si="39"/>
        <v/>
      </c>
      <c r="H589" s="236" t="str">
        <f t="shared" si="40"/>
        <v/>
      </c>
      <c r="I589" s="237"/>
    </row>
    <row r="590" spans="1:9">
      <c r="A590" s="232">
        <f t="shared" si="37"/>
        <v>588</v>
      </c>
      <c r="B590" s="233">
        <v>45788</v>
      </c>
      <c r="C590" s="234">
        <v>84.697861000000003</v>
      </c>
      <c r="D590" s="235">
        <v>169.07138542548611</v>
      </c>
      <c r="E590" s="234">
        <f t="shared" si="38"/>
        <v>84.697861000000003</v>
      </c>
      <c r="F590" s="239"/>
      <c r="G590" s="188" t="str">
        <f t="shared" si="39"/>
        <v/>
      </c>
      <c r="H590" s="236" t="str">
        <f t="shared" si="40"/>
        <v/>
      </c>
      <c r="I590" s="237"/>
    </row>
    <row r="591" spans="1:9">
      <c r="A591" s="232">
        <f t="shared" si="37"/>
        <v>589</v>
      </c>
      <c r="B591" s="233">
        <v>45789</v>
      </c>
      <c r="C591" s="234">
        <v>77.858558000000002</v>
      </c>
      <c r="D591" s="235">
        <v>169.07138542548611</v>
      </c>
      <c r="E591" s="234">
        <f t="shared" si="38"/>
        <v>77.858558000000002</v>
      </c>
      <c r="F591" s="239"/>
      <c r="G591" s="188" t="str">
        <f t="shared" si="39"/>
        <v/>
      </c>
      <c r="H591" s="236" t="str">
        <f t="shared" si="40"/>
        <v/>
      </c>
      <c r="I591" s="237"/>
    </row>
    <row r="592" spans="1:9">
      <c r="A592" s="232">
        <f t="shared" si="37"/>
        <v>590</v>
      </c>
      <c r="B592" s="233">
        <v>45790</v>
      </c>
      <c r="C592" s="234">
        <v>45.845228999999996</v>
      </c>
      <c r="D592" s="235">
        <v>169.07138542548611</v>
      </c>
      <c r="E592" s="234">
        <f t="shared" si="38"/>
        <v>45.845228999999996</v>
      </c>
      <c r="F592" s="239"/>
      <c r="G592" s="188" t="str">
        <f t="shared" si="39"/>
        <v/>
      </c>
      <c r="H592" s="236" t="str">
        <f t="shared" si="40"/>
        <v/>
      </c>
      <c r="I592" s="237"/>
    </row>
    <row r="593" spans="1:9">
      <c r="A593" s="232">
        <f t="shared" si="37"/>
        <v>591</v>
      </c>
      <c r="B593" s="233">
        <v>45791</v>
      </c>
      <c r="C593" s="234">
        <v>50.479971000000006</v>
      </c>
      <c r="D593" s="235">
        <v>169.07138542548611</v>
      </c>
      <c r="E593" s="234">
        <f t="shared" si="38"/>
        <v>50.479971000000006</v>
      </c>
      <c r="F593" s="239"/>
      <c r="G593" s="188" t="str">
        <f t="shared" si="39"/>
        <v/>
      </c>
      <c r="H593" s="236" t="str">
        <f t="shared" si="40"/>
        <v/>
      </c>
      <c r="I593" s="237"/>
    </row>
    <row r="594" spans="1:9">
      <c r="A594" s="232">
        <f t="shared" si="37"/>
        <v>592</v>
      </c>
      <c r="B594" s="233">
        <v>45792</v>
      </c>
      <c r="C594" s="234">
        <v>132.81496000000001</v>
      </c>
      <c r="D594" s="235">
        <v>169.07138542548611</v>
      </c>
      <c r="E594" s="234">
        <f t="shared" si="38"/>
        <v>132.81496000000001</v>
      </c>
      <c r="F594" s="239"/>
      <c r="G594" s="188" t="str">
        <f t="shared" si="39"/>
        <v>M</v>
      </c>
      <c r="H594" s="236" t="str">
        <f t="shared" si="40"/>
        <v>169,1</v>
      </c>
      <c r="I594" s="237"/>
    </row>
    <row r="595" spans="1:9">
      <c r="A595" s="232">
        <f t="shared" si="37"/>
        <v>593</v>
      </c>
      <c r="B595" s="233">
        <v>45793</v>
      </c>
      <c r="C595" s="234">
        <v>157.876869</v>
      </c>
      <c r="D595" s="235">
        <v>169.07138542548611</v>
      </c>
      <c r="E595" s="234">
        <f t="shared" si="38"/>
        <v>157.876869</v>
      </c>
      <c r="F595" s="239"/>
      <c r="G595" s="188" t="str">
        <f t="shared" si="39"/>
        <v/>
      </c>
      <c r="H595" s="236" t="str">
        <f t="shared" si="40"/>
        <v/>
      </c>
      <c r="I595" s="237"/>
    </row>
    <row r="596" spans="1:9">
      <c r="A596" s="232">
        <f t="shared" si="37"/>
        <v>594</v>
      </c>
      <c r="B596" s="233">
        <v>45794</v>
      </c>
      <c r="C596" s="234">
        <v>60.090343999999995</v>
      </c>
      <c r="D596" s="235">
        <v>169.07138542548611</v>
      </c>
      <c r="E596" s="234">
        <f t="shared" si="38"/>
        <v>60.090343999999995</v>
      </c>
      <c r="F596" s="239"/>
      <c r="G596" s="188" t="str">
        <f t="shared" si="39"/>
        <v/>
      </c>
      <c r="H596" s="236" t="str">
        <f t="shared" si="40"/>
        <v/>
      </c>
      <c r="I596" s="237"/>
    </row>
    <row r="597" spans="1:9">
      <c r="A597" s="232">
        <f t="shared" si="37"/>
        <v>595</v>
      </c>
      <c r="B597" s="233">
        <v>45795</v>
      </c>
      <c r="C597" s="234">
        <v>88.441888000000006</v>
      </c>
      <c r="D597" s="235">
        <v>169.07138542548611</v>
      </c>
      <c r="E597" s="234">
        <f t="shared" si="38"/>
        <v>88.441888000000006</v>
      </c>
      <c r="F597" s="239"/>
      <c r="G597" s="188" t="str">
        <f t="shared" si="39"/>
        <v/>
      </c>
      <c r="H597" s="236" t="str">
        <f t="shared" si="40"/>
        <v/>
      </c>
      <c r="I597" s="237"/>
    </row>
    <row r="598" spans="1:9">
      <c r="A598" s="232">
        <f t="shared" si="37"/>
        <v>596</v>
      </c>
      <c r="B598" s="233">
        <v>45796</v>
      </c>
      <c r="C598" s="234">
        <v>139.39144300000001</v>
      </c>
      <c r="D598" s="235">
        <v>169.07138542548611</v>
      </c>
      <c r="E598" s="234">
        <f t="shared" si="38"/>
        <v>139.39144300000001</v>
      </c>
      <c r="F598" s="239"/>
      <c r="G598" s="188" t="str">
        <f t="shared" si="39"/>
        <v/>
      </c>
      <c r="H598" s="236" t="str">
        <f t="shared" si="40"/>
        <v/>
      </c>
      <c r="I598" s="237"/>
    </row>
    <row r="599" spans="1:9">
      <c r="A599" s="232">
        <f t="shared" ref="A599:A662" si="41">+A598+1</f>
        <v>597</v>
      </c>
      <c r="B599" s="233">
        <v>45797</v>
      </c>
      <c r="C599" s="234">
        <v>137.78934099999998</v>
      </c>
      <c r="D599" s="235">
        <v>169.07138542548611</v>
      </c>
      <c r="E599" s="234">
        <f t="shared" ref="E599:E662" si="42">IF(C599&gt;D599,D599,C599)</f>
        <v>137.78934099999998</v>
      </c>
      <c r="F599" s="239"/>
      <c r="G599" s="188" t="str">
        <f t="shared" si="39"/>
        <v/>
      </c>
      <c r="H599" s="236" t="str">
        <f t="shared" si="40"/>
        <v/>
      </c>
      <c r="I599" s="237"/>
    </row>
    <row r="600" spans="1:9">
      <c r="A600" s="232">
        <f t="shared" si="41"/>
        <v>598</v>
      </c>
      <c r="B600" s="233">
        <v>45798</v>
      </c>
      <c r="C600" s="234">
        <v>101.306844</v>
      </c>
      <c r="D600" s="235">
        <v>169.07138542548611</v>
      </c>
      <c r="E600" s="234">
        <f t="shared" si="42"/>
        <v>101.306844</v>
      </c>
      <c r="F600" s="239"/>
      <c r="G600" s="188" t="str">
        <f t="shared" si="39"/>
        <v/>
      </c>
      <c r="H600" s="236" t="str">
        <f t="shared" si="40"/>
        <v/>
      </c>
      <c r="I600" s="237"/>
    </row>
    <row r="601" spans="1:9">
      <c r="A601" s="232">
        <f t="shared" si="41"/>
        <v>599</v>
      </c>
      <c r="B601" s="233">
        <v>45799</v>
      </c>
      <c r="C601" s="234">
        <v>195.19902299999998</v>
      </c>
      <c r="D601" s="235">
        <v>169.07138542548611</v>
      </c>
      <c r="E601" s="234">
        <f t="shared" si="42"/>
        <v>169.07138542548611</v>
      </c>
      <c r="F601" s="239"/>
      <c r="G601" s="188" t="str">
        <f t="shared" si="39"/>
        <v/>
      </c>
      <c r="H601" s="236" t="str">
        <f t="shared" si="40"/>
        <v/>
      </c>
      <c r="I601" s="237"/>
    </row>
    <row r="602" spans="1:9">
      <c r="A602" s="232">
        <f t="shared" si="41"/>
        <v>600</v>
      </c>
      <c r="B602" s="233">
        <v>45800</v>
      </c>
      <c r="C602" s="234">
        <v>198.20928300000003</v>
      </c>
      <c r="D602" s="235">
        <v>169.07138542548611</v>
      </c>
      <c r="E602" s="234">
        <f t="shared" si="42"/>
        <v>169.07138542548611</v>
      </c>
      <c r="F602" s="239"/>
      <c r="G602" s="188" t="str">
        <f t="shared" si="39"/>
        <v/>
      </c>
      <c r="H602" s="236" t="str">
        <f t="shared" si="40"/>
        <v/>
      </c>
      <c r="I602" s="237"/>
    </row>
    <row r="603" spans="1:9">
      <c r="A603" s="232">
        <f t="shared" si="41"/>
        <v>601</v>
      </c>
      <c r="B603" s="233">
        <v>45801</v>
      </c>
      <c r="C603" s="234">
        <v>108.396787</v>
      </c>
      <c r="D603" s="235">
        <v>169.07138542548611</v>
      </c>
      <c r="E603" s="234">
        <f t="shared" si="42"/>
        <v>108.396787</v>
      </c>
      <c r="F603" s="239"/>
      <c r="G603" s="188" t="str">
        <f t="shared" si="39"/>
        <v/>
      </c>
      <c r="H603" s="236" t="str">
        <f t="shared" si="40"/>
        <v/>
      </c>
      <c r="I603" s="237"/>
    </row>
    <row r="604" spans="1:9">
      <c r="A604" s="232">
        <f t="shared" si="41"/>
        <v>602</v>
      </c>
      <c r="B604" s="233">
        <v>45802</v>
      </c>
      <c r="C604" s="234">
        <v>60.330680000000001</v>
      </c>
      <c r="D604" s="235">
        <v>169.07138542548611</v>
      </c>
      <c r="E604" s="234">
        <f t="shared" si="42"/>
        <v>60.330680000000001</v>
      </c>
      <c r="F604" s="239"/>
      <c r="G604" s="188" t="str">
        <f t="shared" si="39"/>
        <v/>
      </c>
      <c r="H604" s="236" t="str">
        <f t="shared" si="40"/>
        <v/>
      </c>
      <c r="I604" s="237"/>
    </row>
    <row r="605" spans="1:9">
      <c r="A605" s="232">
        <f t="shared" si="41"/>
        <v>603</v>
      </c>
      <c r="B605" s="233">
        <v>45803</v>
      </c>
      <c r="C605" s="234">
        <v>108.761596</v>
      </c>
      <c r="D605" s="235">
        <v>169.07138542548611</v>
      </c>
      <c r="E605" s="234">
        <f t="shared" si="42"/>
        <v>108.761596</v>
      </c>
      <c r="F605" s="239"/>
      <c r="G605" s="188" t="str">
        <f t="shared" si="39"/>
        <v/>
      </c>
      <c r="H605" s="236" t="str">
        <f t="shared" si="40"/>
        <v/>
      </c>
      <c r="I605" s="237"/>
    </row>
    <row r="606" spans="1:9">
      <c r="A606" s="232">
        <f t="shared" si="41"/>
        <v>604</v>
      </c>
      <c r="B606" s="233">
        <v>45804</v>
      </c>
      <c r="C606" s="234">
        <v>90.241628000000006</v>
      </c>
      <c r="D606" s="235">
        <v>169.07138542548611</v>
      </c>
      <c r="E606" s="234">
        <f t="shared" si="42"/>
        <v>90.241628000000006</v>
      </c>
      <c r="F606" s="239"/>
      <c r="G606" s="188" t="str">
        <f t="shared" si="39"/>
        <v/>
      </c>
      <c r="H606" s="236" t="str">
        <f t="shared" si="40"/>
        <v/>
      </c>
      <c r="I606" s="237"/>
    </row>
    <row r="607" spans="1:9">
      <c r="A607" s="232">
        <f t="shared" si="41"/>
        <v>605</v>
      </c>
      <c r="B607" s="233">
        <v>45805</v>
      </c>
      <c r="C607" s="234">
        <v>73.798220999999998</v>
      </c>
      <c r="D607" s="235">
        <v>169.07138542548611</v>
      </c>
      <c r="E607" s="234">
        <f t="shared" si="42"/>
        <v>73.798220999999998</v>
      </c>
      <c r="F607" s="239"/>
      <c r="G607" s="188" t="str">
        <f t="shared" si="39"/>
        <v/>
      </c>
      <c r="H607" s="236" t="str">
        <f t="shared" si="40"/>
        <v/>
      </c>
      <c r="I607" s="237"/>
    </row>
    <row r="608" spans="1:9">
      <c r="A608" s="232">
        <f t="shared" si="41"/>
        <v>606</v>
      </c>
      <c r="B608" s="233">
        <v>45806</v>
      </c>
      <c r="C608" s="234">
        <v>73.778673999999995</v>
      </c>
      <c r="D608" s="235">
        <v>169.07138542548611</v>
      </c>
      <c r="E608" s="234">
        <f t="shared" si="42"/>
        <v>73.778673999999995</v>
      </c>
      <c r="F608" s="239"/>
      <c r="G608" s="188" t="str">
        <f t="shared" si="39"/>
        <v/>
      </c>
      <c r="H608" s="236" t="str">
        <f t="shared" si="40"/>
        <v/>
      </c>
      <c r="I608" s="237"/>
    </row>
    <row r="609" spans="1:9">
      <c r="A609" s="232">
        <f t="shared" si="41"/>
        <v>607</v>
      </c>
      <c r="B609" s="233">
        <v>45807</v>
      </c>
      <c r="C609" s="234">
        <v>80.868812000000005</v>
      </c>
      <c r="D609" s="235">
        <v>169.07138542548611</v>
      </c>
      <c r="E609" s="234">
        <f t="shared" si="42"/>
        <v>80.868812000000005</v>
      </c>
      <c r="F609" s="239"/>
      <c r="G609" s="188" t="str">
        <f t="shared" si="39"/>
        <v/>
      </c>
      <c r="H609" s="236" t="str">
        <f t="shared" si="40"/>
        <v/>
      </c>
      <c r="I609" s="237"/>
    </row>
    <row r="610" spans="1:9">
      <c r="A610" s="232">
        <f t="shared" si="41"/>
        <v>608</v>
      </c>
      <c r="B610" s="233">
        <v>45808</v>
      </c>
      <c r="C610" s="234">
        <v>68.699438000000015</v>
      </c>
      <c r="D610" s="235">
        <v>169.07138542548611</v>
      </c>
      <c r="E610" s="234">
        <f t="shared" si="42"/>
        <v>68.699438000000015</v>
      </c>
      <c r="F610" s="239"/>
      <c r="G610" s="188" t="str">
        <f t="shared" si="39"/>
        <v/>
      </c>
      <c r="H610" s="236" t="str">
        <f t="shared" si="40"/>
        <v/>
      </c>
      <c r="I610" s="237"/>
    </row>
    <row r="611" spans="1:9">
      <c r="A611" s="232">
        <f t="shared" si="41"/>
        <v>609</v>
      </c>
      <c r="B611" s="233">
        <v>45809</v>
      </c>
      <c r="C611" s="234">
        <v>111.35742500000001</v>
      </c>
      <c r="D611" s="235">
        <v>134.04287218924014</v>
      </c>
      <c r="E611" s="234">
        <f t="shared" si="42"/>
        <v>111.35742500000001</v>
      </c>
      <c r="F611" s="239"/>
      <c r="G611" s="188" t="str">
        <f t="shared" si="39"/>
        <v/>
      </c>
      <c r="H611" s="236" t="str">
        <f t="shared" si="40"/>
        <v/>
      </c>
      <c r="I611" s="237"/>
    </row>
    <row r="612" spans="1:9">
      <c r="A612" s="232">
        <f t="shared" si="41"/>
        <v>610</v>
      </c>
      <c r="B612" s="233">
        <v>45810</v>
      </c>
      <c r="C612" s="234">
        <v>181.94606100000001</v>
      </c>
      <c r="D612" s="235">
        <v>134.04287218924014</v>
      </c>
      <c r="E612" s="234">
        <f t="shared" si="42"/>
        <v>134.04287218924014</v>
      </c>
      <c r="F612" s="237"/>
      <c r="G612" s="188" t="str">
        <f t="shared" si="39"/>
        <v/>
      </c>
      <c r="H612" s="236" t="str">
        <f t="shared" si="40"/>
        <v/>
      </c>
      <c r="I612" s="237"/>
    </row>
    <row r="613" spans="1:9">
      <c r="A613" s="232">
        <f t="shared" si="41"/>
        <v>611</v>
      </c>
      <c r="B613" s="233">
        <v>45811</v>
      </c>
      <c r="C613" s="234">
        <v>105.658908</v>
      </c>
      <c r="D613" s="235">
        <v>134.04287218924014</v>
      </c>
      <c r="E613" s="234">
        <f t="shared" si="42"/>
        <v>105.658908</v>
      </c>
      <c r="F613" s="237"/>
      <c r="G613" s="188" t="str">
        <f t="shared" si="39"/>
        <v/>
      </c>
      <c r="H613" s="236" t="str">
        <f t="shared" si="40"/>
        <v/>
      </c>
      <c r="I613" s="237"/>
    </row>
    <row r="614" spans="1:9">
      <c r="A614" s="232">
        <f t="shared" si="41"/>
        <v>612</v>
      </c>
      <c r="B614" s="233">
        <v>45812</v>
      </c>
      <c r="C614" s="234">
        <v>90.578382000000005</v>
      </c>
      <c r="D614" s="235">
        <v>134.04287218924014</v>
      </c>
      <c r="E614" s="234">
        <f t="shared" si="42"/>
        <v>90.578382000000005</v>
      </c>
      <c r="F614" s="239"/>
      <c r="G614" s="188" t="str">
        <f t="shared" si="39"/>
        <v/>
      </c>
      <c r="H614" s="236" t="str">
        <f t="shared" si="40"/>
        <v/>
      </c>
      <c r="I614" s="237"/>
    </row>
    <row r="615" spans="1:9">
      <c r="A615" s="232">
        <f t="shared" si="41"/>
        <v>613</v>
      </c>
      <c r="B615" s="233">
        <v>45813</v>
      </c>
      <c r="C615" s="234">
        <v>92.04586900000001</v>
      </c>
      <c r="D615" s="235">
        <v>134.04287218924014</v>
      </c>
      <c r="E615" s="234">
        <f t="shared" si="42"/>
        <v>92.04586900000001</v>
      </c>
      <c r="F615" s="239"/>
      <c r="G615" s="188" t="str">
        <f t="shared" si="39"/>
        <v/>
      </c>
      <c r="H615" s="236" t="str">
        <f t="shared" si="40"/>
        <v/>
      </c>
      <c r="I615" s="237"/>
    </row>
    <row r="616" spans="1:9">
      <c r="A616" s="232">
        <f t="shared" si="41"/>
        <v>614</v>
      </c>
      <c r="B616" s="233">
        <v>45814</v>
      </c>
      <c r="C616" s="234">
        <v>72.958808000000005</v>
      </c>
      <c r="D616" s="235">
        <v>134.04287218924014</v>
      </c>
      <c r="E616" s="234">
        <f t="shared" si="42"/>
        <v>72.958808000000005</v>
      </c>
      <c r="F616" s="239"/>
      <c r="G616" s="188" t="str">
        <f t="shared" si="39"/>
        <v/>
      </c>
      <c r="H616" s="236" t="str">
        <f t="shared" si="40"/>
        <v/>
      </c>
      <c r="I616" s="237"/>
    </row>
    <row r="617" spans="1:9">
      <c r="A617" s="232">
        <f t="shared" si="41"/>
        <v>615</v>
      </c>
      <c r="B617" s="233">
        <v>45815</v>
      </c>
      <c r="C617" s="234">
        <v>73.210296999999997</v>
      </c>
      <c r="D617" s="235">
        <v>134.04287218924014</v>
      </c>
      <c r="E617" s="234">
        <f t="shared" si="42"/>
        <v>73.210296999999997</v>
      </c>
      <c r="F617" s="239"/>
      <c r="G617" s="188" t="str">
        <f t="shared" si="39"/>
        <v/>
      </c>
      <c r="H617" s="236" t="str">
        <f t="shared" si="40"/>
        <v/>
      </c>
      <c r="I617" s="237"/>
    </row>
    <row r="618" spans="1:9">
      <c r="A618" s="232">
        <f t="shared" si="41"/>
        <v>616</v>
      </c>
      <c r="B618" s="233">
        <v>45816</v>
      </c>
      <c r="C618" s="234">
        <v>90.687922999999998</v>
      </c>
      <c r="D618" s="235">
        <v>134.04287218924014</v>
      </c>
      <c r="E618" s="234">
        <f t="shared" si="42"/>
        <v>90.687922999999998</v>
      </c>
      <c r="F618" s="239"/>
      <c r="G618" s="188" t="str">
        <f t="shared" si="39"/>
        <v/>
      </c>
      <c r="H618" s="236" t="str">
        <f t="shared" si="40"/>
        <v/>
      </c>
      <c r="I618" s="237"/>
    </row>
    <row r="619" spans="1:9">
      <c r="A619" s="232">
        <f t="shared" si="41"/>
        <v>617</v>
      </c>
      <c r="B619" s="233">
        <v>45817</v>
      </c>
      <c r="C619" s="234">
        <v>98.775077999999993</v>
      </c>
      <c r="D619" s="235">
        <v>134.04287218924014</v>
      </c>
      <c r="E619" s="234">
        <f t="shared" si="42"/>
        <v>98.775077999999993</v>
      </c>
      <c r="F619" s="239"/>
      <c r="G619" s="188" t="str">
        <f t="shared" si="39"/>
        <v/>
      </c>
      <c r="H619" s="236" t="str">
        <f t="shared" si="40"/>
        <v/>
      </c>
      <c r="I619" s="237"/>
    </row>
    <row r="620" spans="1:9">
      <c r="A620" s="232">
        <f t="shared" si="41"/>
        <v>618</v>
      </c>
      <c r="B620" s="233">
        <v>45818</v>
      </c>
      <c r="C620" s="234">
        <v>105.692728</v>
      </c>
      <c r="D620" s="235">
        <v>134.04287218924014</v>
      </c>
      <c r="E620" s="234">
        <f t="shared" si="42"/>
        <v>105.692728</v>
      </c>
      <c r="F620" s="239"/>
      <c r="G620" s="188" t="str">
        <f t="shared" si="39"/>
        <v/>
      </c>
      <c r="H620" s="236" t="str">
        <f t="shared" si="40"/>
        <v/>
      </c>
      <c r="I620" s="237"/>
    </row>
    <row r="621" spans="1:9">
      <c r="A621" s="232">
        <f t="shared" si="41"/>
        <v>619</v>
      </c>
      <c r="B621" s="233">
        <v>45819</v>
      </c>
      <c r="C621" s="234">
        <v>158.85436800000002</v>
      </c>
      <c r="D621" s="235">
        <v>134.04287218924014</v>
      </c>
      <c r="E621" s="234">
        <f t="shared" si="42"/>
        <v>134.04287218924014</v>
      </c>
      <c r="F621" s="239"/>
      <c r="G621" s="188" t="str">
        <f t="shared" si="39"/>
        <v/>
      </c>
      <c r="H621" s="236" t="str">
        <f t="shared" si="40"/>
        <v/>
      </c>
      <c r="I621" s="237"/>
    </row>
    <row r="622" spans="1:9">
      <c r="A622" s="232">
        <f t="shared" si="41"/>
        <v>620</v>
      </c>
      <c r="B622" s="233">
        <v>45820</v>
      </c>
      <c r="C622" s="234">
        <v>91.151920000000004</v>
      </c>
      <c r="D622" s="235">
        <v>134.04287218924014</v>
      </c>
      <c r="E622" s="234">
        <f t="shared" si="42"/>
        <v>91.151920000000004</v>
      </c>
      <c r="F622" s="239"/>
      <c r="G622" s="188" t="str">
        <f t="shared" si="39"/>
        <v/>
      </c>
      <c r="H622" s="236" t="str">
        <f t="shared" si="40"/>
        <v/>
      </c>
      <c r="I622" s="237"/>
    </row>
    <row r="623" spans="1:9">
      <c r="A623" s="232">
        <f t="shared" si="41"/>
        <v>621</v>
      </c>
      <c r="B623" s="233">
        <v>45821</v>
      </c>
      <c r="C623" s="234">
        <v>100.58464500000001</v>
      </c>
      <c r="D623" s="235">
        <v>134.04287218924014</v>
      </c>
      <c r="E623" s="234">
        <f t="shared" si="42"/>
        <v>100.58464500000001</v>
      </c>
      <c r="F623" s="239"/>
      <c r="G623" s="188" t="str">
        <f t="shared" si="39"/>
        <v/>
      </c>
      <c r="H623" s="236" t="str">
        <f t="shared" si="40"/>
        <v/>
      </c>
      <c r="I623" s="237"/>
    </row>
    <row r="624" spans="1:9">
      <c r="A624" s="232">
        <f t="shared" si="41"/>
        <v>622</v>
      </c>
      <c r="B624" s="233">
        <v>45822</v>
      </c>
      <c r="C624" s="234">
        <v>74.388030000000001</v>
      </c>
      <c r="D624" s="235">
        <v>134.04287218924014</v>
      </c>
      <c r="E624" s="234">
        <f t="shared" si="42"/>
        <v>74.388030000000001</v>
      </c>
      <c r="F624" s="239"/>
      <c r="G624" s="188" t="str">
        <f t="shared" si="39"/>
        <v/>
      </c>
      <c r="H624" s="236" t="str">
        <f t="shared" si="40"/>
        <v/>
      </c>
      <c r="I624" s="237"/>
    </row>
    <row r="625" spans="1:9">
      <c r="A625" s="232">
        <f t="shared" si="41"/>
        <v>623</v>
      </c>
      <c r="B625" s="233">
        <v>45823</v>
      </c>
      <c r="C625" s="234">
        <v>158.77911500000002</v>
      </c>
      <c r="D625" s="235">
        <v>134.04287218924014</v>
      </c>
      <c r="E625" s="234">
        <f t="shared" si="42"/>
        <v>134.04287218924014</v>
      </c>
      <c r="F625" s="239"/>
      <c r="G625" s="188" t="str">
        <f t="shared" si="39"/>
        <v>J</v>
      </c>
      <c r="H625" s="236" t="str">
        <f t="shared" si="40"/>
        <v>134,0</v>
      </c>
      <c r="I625" s="237"/>
    </row>
    <row r="626" spans="1:9">
      <c r="A626" s="232">
        <f t="shared" si="41"/>
        <v>624</v>
      </c>
      <c r="B626" s="233">
        <v>45824</v>
      </c>
      <c r="C626" s="234">
        <v>144.42024699999999</v>
      </c>
      <c r="D626" s="235">
        <v>134.04287218924014</v>
      </c>
      <c r="E626" s="234">
        <f t="shared" si="42"/>
        <v>134.04287218924014</v>
      </c>
      <c r="F626" s="239"/>
      <c r="G626" s="188" t="str">
        <f t="shared" si="39"/>
        <v/>
      </c>
      <c r="H626" s="236" t="str">
        <f t="shared" si="40"/>
        <v/>
      </c>
      <c r="I626" s="237"/>
    </row>
    <row r="627" spans="1:9">
      <c r="A627" s="232">
        <f t="shared" si="41"/>
        <v>625</v>
      </c>
      <c r="B627" s="233">
        <v>45825</v>
      </c>
      <c r="C627" s="234">
        <v>95.742632999999984</v>
      </c>
      <c r="D627" s="235">
        <v>134.04287218924014</v>
      </c>
      <c r="E627" s="234">
        <f t="shared" si="42"/>
        <v>95.742632999999984</v>
      </c>
      <c r="F627" s="239"/>
      <c r="G627" s="188" t="str">
        <f t="shared" si="39"/>
        <v/>
      </c>
      <c r="H627" s="236" t="str">
        <f t="shared" si="40"/>
        <v/>
      </c>
      <c r="I627" s="237"/>
    </row>
    <row r="628" spans="1:9">
      <c r="A628" s="232">
        <f t="shared" si="41"/>
        <v>626</v>
      </c>
      <c r="B628" s="233">
        <v>45826</v>
      </c>
      <c r="C628" s="234">
        <v>67.285437999999999</v>
      </c>
      <c r="D628" s="235">
        <v>134.04287218924014</v>
      </c>
      <c r="E628" s="234">
        <f t="shared" si="42"/>
        <v>67.285437999999999</v>
      </c>
      <c r="F628" s="239"/>
      <c r="G628" s="188" t="str">
        <f t="shared" si="39"/>
        <v/>
      </c>
      <c r="H628" s="236" t="str">
        <f t="shared" si="40"/>
        <v/>
      </c>
      <c r="I628" s="237"/>
    </row>
    <row r="629" spans="1:9">
      <c r="A629" s="232">
        <f t="shared" si="41"/>
        <v>627</v>
      </c>
      <c r="B629" s="233">
        <v>45827</v>
      </c>
      <c r="C629" s="234">
        <v>90.308557000000008</v>
      </c>
      <c r="D629" s="235">
        <v>134.04287218924014</v>
      </c>
      <c r="E629" s="234">
        <f t="shared" si="42"/>
        <v>90.308557000000008</v>
      </c>
      <c r="F629" s="239"/>
      <c r="G629" s="188" t="str">
        <f t="shared" si="39"/>
        <v/>
      </c>
      <c r="H629" s="236" t="str">
        <f t="shared" si="40"/>
        <v/>
      </c>
      <c r="I629" s="237"/>
    </row>
    <row r="630" spans="1:9">
      <c r="A630" s="232">
        <f t="shared" si="41"/>
        <v>628</v>
      </c>
      <c r="B630" s="233">
        <v>45828</v>
      </c>
      <c r="C630" s="234">
        <v>79.751546000000005</v>
      </c>
      <c r="D630" s="235">
        <v>134.04287218924014</v>
      </c>
      <c r="E630" s="234">
        <f t="shared" si="42"/>
        <v>79.751546000000005</v>
      </c>
      <c r="F630" s="239"/>
      <c r="G630" s="188" t="str">
        <f t="shared" si="39"/>
        <v/>
      </c>
      <c r="H630" s="236" t="str">
        <f t="shared" si="40"/>
        <v/>
      </c>
      <c r="I630" s="237"/>
    </row>
    <row r="631" spans="1:9">
      <c r="A631" s="232">
        <f t="shared" si="41"/>
        <v>629</v>
      </c>
      <c r="B631" s="233">
        <v>45829</v>
      </c>
      <c r="C631" s="234">
        <v>81.65248600000001</v>
      </c>
      <c r="D631" s="235">
        <v>134.04287218924014</v>
      </c>
      <c r="E631" s="234">
        <f t="shared" si="42"/>
        <v>81.65248600000001</v>
      </c>
      <c r="F631" s="239"/>
      <c r="G631" s="188" t="str">
        <f t="shared" si="39"/>
        <v/>
      </c>
      <c r="H631" s="236" t="str">
        <f t="shared" si="40"/>
        <v/>
      </c>
      <c r="I631" s="237"/>
    </row>
    <row r="632" spans="1:9">
      <c r="A632" s="232">
        <f t="shared" si="41"/>
        <v>630</v>
      </c>
      <c r="B632" s="233">
        <v>45830</v>
      </c>
      <c r="C632" s="234">
        <v>93.969624999999994</v>
      </c>
      <c r="D632" s="235">
        <v>134.04287218924014</v>
      </c>
      <c r="E632" s="234">
        <f t="shared" si="42"/>
        <v>93.969624999999994</v>
      </c>
      <c r="F632" s="239"/>
      <c r="G632" s="188" t="str">
        <f t="shared" si="39"/>
        <v/>
      </c>
      <c r="H632" s="236" t="str">
        <f t="shared" si="40"/>
        <v/>
      </c>
      <c r="I632" s="237"/>
    </row>
    <row r="633" spans="1:9">
      <c r="A633" s="232">
        <f t="shared" si="41"/>
        <v>631</v>
      </c>
      <c r="B633" s="233">
        <v>45831</v>
      </c>
      <c r="C633" s="234">
        <v>114.80814500000001</v>
      </c>
      <c r="D633" s="235">
        <v>134.04287218924014</v>
      </c>
      <c r="E633" s="234">
        <f t="shared" si="42"/>
        <v>114.80814500000001</v>
      </c>
      <c r="F633" s="239"/>
      <c r="G633" s="188" t="str">
        <f t="shared" si="39"/>
        <v/>
      </c>
      <c r="H633" s="236" t="str">
        <f t="shared" si="40"/>
        <v/>
      </c>
      <c r="I633" s="237"/>
    </row>
    <row r="634" spans="1:9">
      <c r="A634" s="232">
        <f t="shared" si="41"/>
        <v>632</v>
      </c>
      <c r="B634" s="233">
        <v>45832</v>
      </c>
      <c r="C634" s="234">
        <v>145.68446300000002</v>
      </c>
      <c r="D634" s="235">
        <v>134.04287218924014</v>
      </c>
      <c r="E634" s="234">
        <f t="shared" si="42"/>
        <v>134.04287218924014</v>
      </c>
      <c r="F634" s="239"/>
      <c r="G634" s="188" t="str">
        <f t="shared" si="39"/>
        <v/>
      </c>
      <c r="H634" s="236" t="str">
        <f t="shared" si="40"/>
        <v/>
      </c>
      <c r="I634" s="237"/>
    </row>
    <row r="635" spans="1:9">
      <c r="A635" s="232">
        <f t="shared" si="41"/>
        <v>633</v>
      </c>
      <c r="B635" s="233">
        <v>45833</v>
      </c>
      <c r="C635" s="234">
        <v>133.44204999999999</v>
      </c>
      <c r="D635" s="235">
        <v>134.04287218924014</v>
      </c>
      <c r="E635" s="234">
        <f t="shared" si="42"/>
        <v>133.44204999999999</v>
      </c>
      <c r="F635" s="239"/>
      <c r="G635" s="188" t="str">
        <f t="shared" si="39"/>
        <v/>
      </c>
      <c r="H635" s="236" t="str">
        <f t="shared" si="40"/>
        <v/>
      </c>
      <c r="I635" s="237"/>
    </row>
    <row r="636" spans="1:9">
      <c r="A636" s="232">
        <f t="shared" si="41"/>
        <v>634</v>
      </c>
      <c r="B636" s="233">
        <v>45834</v>
      </c>
      <c r="C636" s="234">
        <v>107.10214900000001</v>
      </c>
      <c r="D636" s="235">
        <v>134.04287218924014</v>
      </c>
      <c r="E636" s="234">
        <f t="shared" si="42"/>
        <v>107.10214900000001</v>
      </c>
      <c r="F636" s="239"/>
      <c r="G636" s="188" t="str">
        <f t="shared" si="39"/>
        <v/>
      </c>
      <c r="H636" s="236" t="str">
        <f t="shared" si="40"/>
        <v/>
      </c>
      <c r="I636" s="237"/>
    </row>
    <row r="637" spans="1:9">
      <c r="A637" s="232">
        <f t="shared" si="41"/>
        <v>635</v>
      </c>
      <c r="B637" s="233">
        <v>45835</v>
      </c>
      <c r="C637" s="234">
        <v>74.385886999999997</v>
      </c>
      <c r="D637" s="235">
        <v>134.04287218924014</v>
      </c>
      <c r="E637" s="234">
        <f t="shared" si="42"/>
        <v>74.385886999999997</v>
      </c>
      <c r="F637" s="239"/>
      <c r="G637" s="188" t="str">
        <f t="shared" si="39"/>
        <v/>
      </c>
      <c r="H637" s="236" t="str">
        <f t="shared" si="40"/>
        <v/>
      </c>
      <c r="I637" s="237"/>
    </row>
    <row r="638" spans="1:9">
      <c r="A638" s="232">
        <f t="shared" si="41"/>
        <v>636</v>
      </c>
      <c r="B638" s="233">
        <v>45836</v>
      </c>
      <c r="C638" s="234">
        <v>82.544207999999998</v>
      </c>
      <c r="D638" s="235">
        <v>134.04287218924014</v>
      </c>
      <c r="E638" s="234">
        <f t="shared" si="42"/>
        <v>82.544207999999998</v>
      </c>
      <c r="F638" s="239"/>
      <c r="G638" s="188" t="str">
        <f t="shared" si="39"/>
        <v/>
      </c>
      <c r="H638" s="236" t="str">
        <f t="shared" si="40"/>
        <v/>
      </c>
      <c r="I638" s="237"/>
    </row>
    <row r="639" spans="1:9">
      <c r="A639" s="232">
        <f t="shared" si="41"/>
        <v>637</v>
      </c>
      <c r="B639" s="233">
        <v>45837</v>
      </c>
      <c r="C639" s="234">
        <v>83.201902000000004</v>
      </c>
      <c r="D639" s="235">
        <v>134.04287218924014</v>
      </c>
      <c r="E639" s="234">
        <f t="shared" si="42"/>
        <v>83.201902000000004</v>
      </c>
      <c r="F639" s="239"/>
      <c r="G639" s="188" t="str">
        <f t="shared" si="39"/>
        <v/>
      </c>
      <c r="H639" s="236" t="str">
        <f t="shared" si="40"/>
        <v/>
      </c>
      <c r="I639" s="237"/>
    </row>
    <row r="640" spans="1:9">
      <c r="A640" s="232">
        <f t="shared" si="41"/>
        <v>638</v>
      </c>
      <c r="B640" s="233">
        <v>45838</v>
      </c>
      <c r="C640" s="234">
        <v>88.419715000000011</v>
      </c>
      <c r="D640" s="235">
        <v>134.04287218924014</v>
      </c>
      <c r="E640" s="234">
        <f t="shared" si="42"/>
        <v>88.419715000000011</v>
      </c>
      <c r="F640" s="239"/>
      <c r="G640" s="188" t="str">
        <f t="shared" si="39"/>
        <v/>
      </c>
      <c r="H640" s="236" t="str">
        <f t="shared" si="40"/>
        <v/>
      </c>
      <c r="I640" s="237"/>
    </row>
    <row r="641" spans="1:9">
      <c r="A641" s="232">
        <f t="shared" si="41"/>
        <v>639</v>
      </c>
      <c r="B641" s="233">
        <v>45839</v>
      </c>
      <c r="C641" s="234">
        <v>84.277218000000005</v>
      </c>
      <c r="D641" s="235">
        <v>141.92800784696908</v>
      </c>
      <c r="E641" s="234">
        <f t="shared" si="42"/>
        <v>84.277218000000005</v>
      </c>
      <c r="F641" s="239"/>
      <c r="G641" s="188" t="str">
        <f t="shared" si="39"/>
        <v/>
      </c>
      <c r="H641" s="236" t="str">
        <f t="shared" si="40"/>
        <v/>
      </c>
      <c r="I641" s="237"/>
    </row>
    <row r="642" spans="1:9">
      <c r="A642" s="232">
        <f t="shared" si="41"/>
        <v>640</v>
      </c>
      <c r="B642" s="233">
        <v>45840</v>
      </c>
      <c r="C642" s="234">
        <v>160.66548600000002</v>
      </c>
      <c r="D642" s="235">
        <v>141.92800784696908</v>
      </c>
      <c r="E642" s="234">
        <f t="shared" si="42"/>
        <v>141.92800784696908</v>
      </c>
      <c r="F642" s="237"/>
      <c r="G642" s="188" t="str">
        <f t="shared" si="39"/>
        <v/>
      </c>
      <c r="H642" s="236" t="str">
        <f t="shared" si="40"/>
        <v/>
      </c>
      <c r="I642" s="237"/>
    </row>
    <row r="643" spans="1:9">
      <c r="A643" s="232">
        <f t="shared" si="41"/>
        <v>641</v>
      </c>
      <c r="B643" s="233">
        <v>45841</v>
      </c>
      <c r="C643" s="234">
        <v>213.60602899999998</v>
      </c>
      <c r="D643" s="235">
        <v>141.92800784696908</v>
      </c>
      <c r="E643" s="234">
        <f t="shared" si="42"/>
        <v>141.92800784696908</v>
      </c>
      <c r="F643" s="237"/>
      <c r="G643" s="188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36" t="str">
        <f t="shared" ref="H643:H706" si="44">IF(DAY($B643)=15,TEXT(D643,"#,0"),"")</f>
        <v/>
      </c>
      <c r="I643" s="237"/>
    </row>
    <row r="644" spans="1:9">
      <c r="A644" s="232">
        <f t="shared" si="41"/>
        <v>642</v>
      </c>
      <c r="B644" s="233">
        <v>45842</v>
      </c>
      <c r="C644" s="234">
        <v>155.686508</v>
      </c>
      <c r="D644" s="235">
        <v>141.92800784696908</v>
      </c>
      <c r="E644" s="234">
        <f t="shared" si="42"/>
        <v>141.92800784696908</v>
      </c>
      <c r="F644" s="239"/>
      <c r="G644" s="188" t="str">
        <f t="shared" si="43"/>
        <v/>
      </c>
      <c r="H644" s="236" t="str">
        <f t="shared" si="44"/>
        <v/>
      </c>
      <c r="I644" s="237"/>
    </row>
    <row r="645" spans="1:9">
      <c r="A645" s="232">
        <f t="shared" si="41"/>
        <v>643</v>
      </c>
      <c r="B645" s="233">
        <v>45843</v>
      </c>
      <c r="C645" s="234">
        <v>149.22946999999999</v>
      </c>
      <c r="D645" s="235">
        <v>141.92800784696908</v>
      </c>
      <c r="E645" s="234">
        <f t="shared" si="42"/>
        <v>141.92800784696908</v>
      </c>
      <c r="F645" s="239"/>
      <c r="G645" s="188" t="str">
        <f t="shared" si="43"/>
        <v/>
      </c>
      <c r="H645" s="236" t="str">
        <f t="shared" si="44"/>
        <v/>
      </c>
      <c r="I645" s="237"/>
    </row>
    <row r="646" spans="1:9">
      <c r="A646" s="232">
        <f t="shared" si="41"/>
        <v>644</v>
      </c>
      <c r="B646" s="233">
        <v>45844</v>
      </c>
      <c r="C646" s="234">
        <v>115.26097</v>
      </c>
      <c r="D646" s="235">
        <v>141.92800784696908</v>
      </c>
      <c r="E646" s="234">
        <f t="shared" si="42"/>
        <v>115.26097</v>
      </c>
      <c r="F646" s="239"/>
      <c r="G646" s="188" t="str">
        <f t="shared" si="43"/>
        <v/>
      </c>
      <c r="H646" s="236" t="str">
        <f t="shared" si="44"/>
        <v/>
      </c>
      <c r="I646" s="237"/>
    </row>
    <row r="647" spans="1:9">
      <c r="A647" s="232">
        <f t="shared" si="41"/>
        <v>645</v>
      </c>
      <c r="B647" s="233">
        <v>45845</v>
      </c>
      <c r="C647" s="234">
        <v>187.42015599999999</v>
      </c>
      <c r="D647" s="235">
        <v>141.92800784696908</v>
      </c>
      <c r="E647" s="234">
        <f t="shared" si="42"/>
        <v>141.92800784696908</v>
      </c>
      <c r="F647" s="239"/>
      <c r="G647" s="188" t="str">
        <f t="shared" si="43"/>
        <v/>
      </c>
      <c r="H647" s="236" t="str">
        <f t="shared" si="44"/>
        <v/>
      </c>
      <c r="I647" s="237"/>
    </row>
    <row r="648" spans="1:9">
      <c r="A648" s="232">
        <f t="shared" si="41"/>
        <v>646</v>
      </c>
      <c r="B648" s="233">
        <v>45846</v>
      </c>
      <c r="C648" s="234">
        <v>225.07011599999998</v>
      </c>
      <c r="D648" s="235">
        <v>141.92800784696908</v>
      </c>
      <c r="E648" s="234">
        <f t="shared" si="42"/>
        <v>141.92800784696908</v>
      </c>
      <c r="F648" s="239"/>
      <c r="G648" s="188" t="str">
        <f t="shared" si="43"/>
        <v/>
      </c>
      <c r="H648" s="236" t="str">
        <f t="shared" si="44"/>
        <v/>
      </c>
      <c r="I648" s="237"/>
    </row>
    <row r="649" spans="1:9">
      <c r="A649" s="232">
        <f t="shared" si="41"/>
        <v>647</v>
      </c>
      <c r="B649" s="233">
        <v>45847</v>
      </c>
      <c r="C649" s="234">
        <v>117.66345999999999</v>
      </c>
      <c r="D649" s="235">
        <v>141.92800784696908</v>
      </c>
      <c r="E649" s="234">
        <f t="shared" si="42"/>
        <v>117.66345999999999</v>
      </c>
      <c r="F649" s="239"/>
      <c r="G649" s="188" t="str">
        <f t="shared" si="43"/>
        <v/>
      </c>
      <c r="H649" s="236" t="str">
        <f t="shared" si="44"/>
        <v/>
      </c>
      <c r="I649" s="237"/>
    </row>
    <row r="650" spans="1:9">
      <c r="A650" s="232">
        <f t="shared" si="41"/>
        <v>648</v>
      </c>
      <c r="B650" s="233">
        <v>45848</v>
      </c>
      <c r="C650" s="234">
        <v>60.650477999999993</v>
      </c>
      <c r="D650" s="235">
        <v>141.92800784696908</v>
      </c>
      <c r="E650" s="234">
        <f t="shared" si="42"/>
        <v>60.650477999999993</v>
      </c>
      <c r="F650" s="239"/>
      <c r="G650" s="188" t="str">
        <f t="shared" si="43"/>
        <v/>
      </c>
      <c r="H650" s="236" t="str">
        <f t="shared" si="44"/>
        <v/>
      </c>
      <c r="I650" s="237"/>
    </row>
    <row r="651" spans="1:9">
      <c r="A651" s="232">
        <f t="shared" si="41"/>
        <v>649</v>
      </c>
      <c r="B651" s="233">
        <v>45849</v>
      </c>
      <c r="C651" s="234">
        <v>99.958921999999987</v>
      </c>
      <c r="D651" s="235">
        <v>141.92800784696908</v>
      </c>
      <c r="E651" s="234">
        <f t="shared" si="42"/>
        <v>99.958921999999987</v>
      </c>
      <c r="F651" s="239"/>
      <c r="G651" s="188" t="str">
        <f t="shared" si="43"/>
        <v/>
      </c>
      <c r="H651" s="236" t="str">
        <f t="shared" si="44"/>
        <v/>
      </c>
      <c r="I651" s="237"/>
    </row>
    <row r="652" spans="1:9">
      <c r="A652" s="232">
        <f t="shared" si="41"/>
        <v>650</v>
      </c>
      <c r="B652" s="233">
        <v>45850</v>
      </c>
      <c r="C652" s="234">
        <v>71.312774999999988</v>
      </c>
      <c r="D652" s="235">
        <v>141.92800784696908</v>
      </c>
      <c r="E652" s="234">
        <f t="shared" si="42"/>
        <v>71.312774999999988</v>
      </c>
      <c r="F652" s="239"/>
      <c r="G652" s="188" t="str">
        <f t="shared" si="43"/>
        <v/>
      </c>
      <c r="H652" s="236" t="str">
        <f t="shared" si="44"/>
        <v/>
      </c>
      <c r="I652" s="237"/>
    </row>
    <row r="653" spans="1:9">
      <c r="A653" s="232">
        <f t="shared" si="41"/>
        <v>651</v>
      </c>
      <c r="B653" s="233">
        <v>45851</v>
      </c>
      <c r="C653" s="234">
        <v>41.125961000000004</v>
      </c>
      <c r="D653" s="235">
        <v>141.92800784696908</v>
      </c>
      <c r="E653" s="234">
        <f t="shared" si="42"/>
        <v>41.125961000000004</v>
      </c>
      <c r="F653" s="239"/>
      <c r="G653" s="188" t="str">
        <f t="shared" si="43"/>
        <v/>
      </c>
      <c r="H653" s="236" t="str">
        <f t="shared" si="44"/>
        <v/>
      </c>
      <c r="I653" s="237"/>
    </row>
    <row r="654" spans="1:9">
      <c r="A654" s="232">
        <f t="shared" si="41"/>
        <v>652</v>
      </c>
      <c r="B654" s="233">
        <v>45852</v>
      </c>
      <c r="C654" s="234">
        <v>89.165200999999996</v>
      </c>
      <c r="D654" s="235">
        <v>141.92800784696908</v>
      </c>
      <c r="E654" s="234">
        <f t="shared" si="42"/>
        <v>89.165200999999996</v>
      </c>
      <c r="F654" s="239"/>
      <c r="G654" s="188" t="str">
        <f t="shared" si="43"/>
        <v/>
      </c>
      <c r="H654" s="236" t="str">
        <f t="shared" si="44"/>
        <v/>
      </c>
      <c r="I654" s="237"/>
    </row>
    <row r="655" spans="1:9">
      <c r="A655" s="232">
        <f t="shared" si="41"/>
        <v>653</v>
      </c>
      <c r="B655" s="233">
        <v>45853</v>
      </c>
      <c r="C655" s="234">
        <v>115.473939</v>
      </c>
      <c r="D655" s="235">
        <v>141.92800784696908</v>
      </c>
      <c r="E655" s="234">
        <f t="shared" si="42"/>
        <v>115.473939</v>
      </c>
      <c r="F655" s="239"/>
      <c r="G655" s="188" t="str">
        <f t="shared" si="43"/>
        <v>J</v>
      </c>
      <c r="H655" s="236" t="str">
        <f t="shared" si="44"/>
        <v>141,9</v>
      </c>
      <c r="I655" s="237"/>
    </row>
    <row r="656" spans="1:9">
      <c r="A656" s="232">
        <f t="shared" si="41"/>
        <v>654</v>
      </c>
      <c r="B656" s="233">
        <v>45854</v>
      </c>
      <c r="C656" s="234">
        <v>77.006179000000003</v>
      </c>
      <c r="D656" s="235">
        <v>141.92800784696908</v>
      </c>
      <c r="E656" s="234">
        <f t="shared" si="42"/>
        <v>77.006179000000003</v>
      </c>
      <c r="F656" s="239"/>
      <c r="G656" s="188" t="str">
        <f t="shared" si="43"/>
        <v/>
      </c>
      <c r="H656" s="236" t="str">
        <f t="shared" si="44"/>
        <v/>
      </c>
      <c r="I656" s="237"/>
    </row>
    <row r="657" spans="1:9">
      <c r="A657" s="232">
        <f t="shared" si="41"/>
        <v>655</v>
      </c>
      <c r="B657" s="233">
        <v>45855</v>
      </c>
      <c r="C657" s="234">
        <v>76.113729000000006</v>
      </c>
      <c r="D657" s="235">
        <v>141.92800784696908</v>
      </c>
      <c r="E657" s="234">
        <f t="shared" si="42"/>
        <v>76.113729000000006</v>
      </c>
      <c r="F657" s="239"/>
      <c r="G657" s="188" t="str">
        <f t="shared" si="43"/>
        <v/>
      </c>
      <c r="H657" s="236" t="str">
        <f t="shared" si="44"/>
        <v/>
      </c>
      <c r="I657" s="237"/>
    </row>
    <row r="658" spans="1:9">
      <c r="A658" s="232">
        <f t="shared" si="41"/>
        <v>656</v>
      </c>
      <c r="B658" s="233">
        <v>45856</v>
      </c>
      <c r="C658" s="234">
        <v>140.17631299999999</v>
      </c>
      <c r="D658" s="235">
        <v>141.92800784696908</v>
      </c>
      <c r="E658" s="234">
        <f t="shared" si="42"/>
        <v>140.17631299999999</v>
      </c>
      <c r="F658" s="239"/>
      <c r="G658" s="188" t="str">
        <f t="shared" si="43"/>
        <v/>
      </c>
      <c r="H658" s="236" t="str">
        <f t="shared" si="44"/>
        <v/>
      </c>
      <c r="I658" s="237"/>
    </row>
    <row r="659" spans="1:9">
      <c r="A659" s="232">
        <f t="shared" si="41"/>
        <v>657</v>
      </c>
      <c r="B659" s="233">
        <v>45857</v>
      </c>
      <c r="C659" s="234">
        <v>169.82710699999998</v>
      </c>
      <c r="D659" s="235">
        <v>141.92800784696908</v>
      </c>
      <c r="E659" s="234">
        <f t="shared" si="42"/>
        <v>141.92800784696908</v>
      </c>
      <c r="F659" s="239"/>
      <c r="G659" s="188" t="str">
        <f t="shared" si="43"/>
        <v/>
      </c>
      <c r="H659" s="236" t="str">
        <f t="shared" si="44"/>
        <v/>
      </c>
      <c r="I659" s="237"/>
    </row>
    <row r="660" spans="1:9">
      <c r="A660" s="232">
        <f t="shared" si="41"/>
        <v>658</v>
      </c>
      <c r="B660" s="233">
        <v>45858</v>
      </c>
      <c r="C660" s="234">
        <v>180.38483000000002</v>
      </c>
      <c r="D660" s="235">
        <v>141.92800784696908</v>
      </c>
      <c r="E660" s="234">
        <f t="shared" si="42"/>
        <v>141.92800784696908</v>
      </c>
      <c r="F660" s="239"/>
      <c r="G660" s="188" t="str">
        <f t="shared" si="43"/>
        <v/>
      </c>
      <c r="H660" s="236" t="str">
        <f t="shared" si="44"/>
        <v/>
      </c>
      <c r="I660" s="237"/>
    </row>
    <row r="661" spans="1:9">
      <c r="A661" s="232">
        <f t="shared" si="41"/>
        <v>659</v>
      </c>
      <c r="B661" s="233">
        <v>45859</v>
      </c>
      <c r="C661" s="234">
        <v>117.03448299999999</v>
      </c>
      <c r="D661" s="235">
        <v>141.92800784696908</v>
      </c>
      <c r="E661" s="234">
        <f t="shared" si="42"/>
        <v>117.03448299999999</v>
      </c>
      <c r="F661" s="239"/>
      <c r="G661" s="188" t="str">
        <f t="shared" si="43"/>
        <v/>
      </c>
      <c r="H661" s="236" t="str">
        <f t="shared" si="44"/>
        <v/>
      </c>
      <c r="I661" s="237"/>
    </row>
    <row r="662" spans="1:9">
      <c r="A662" s="232">
        <f t="shared" si="41"/>
        <v>660</v>
      </c>
      <c r="B662" s="233">
        <v>45860</v>
      </c>
      <c r="C662" s="234">
        <v>81.647548</v>
      </c>
      <c r="D662" s="235">
        <v>141.92800784696908</v>
      </c>
      <c r="E662" s="234">
        <f t="shared" si="42"/>
        <v>81.647548</v>
      </c>
      <c r="F662" s="239"/>
      <c r="G662" s="188" t="str">
        <f t="shared" si="43"/>
        <v/>
      </c>
      <c r="H662" s="236" t="str">
        <f t="shared" si="44"/>
        <v/>
      </c>
      <c r="I662" s="237"/>
    </row>
    <row r="663" spans="1:9">
      <c r="A663" s="232">
        <f t="shared" ref="A663:A726" si="45">+A662+1</f>
        <v>661</v>
      </c>
      <c r="B663" s="233">
        <v>45861</v>
      </c>
      <c r="C663" s="234">
        <v>151.14407600000001</v>
      </c>
      <c r="D663" s="235">
        <v>141.92800784696908</v>
      </c>
      <c r="E663" s="234">
        <f t="shared" ref="E663:E726" si="46">IF(C663&gt;D663,D663,C663)</f>
        <v>141.92800784696908</v>
      </c>
      <c r="F663" s="239"/>
      <c r="G663" s="188" t="str">
        <f t="shared" si="43"/>
        <v/>
      </c>
      <c r="H663" s="236" t="str">
        <f t="shared" si="44"/>
        <v/>
      </c>
      <c r="I663" s="237"/>
    </row>
    <row r="664" spans="1:9">
      <c r="A664" s="232">
        <f t="shared" si="45"/>
        <v>662</v>
      </c>
      <c r="B664" s="233">
        <v>45862</v>
      </c>
      <c r="C664" s="234">
        <v>254.08799099999999</v>
      </c>
      <c r="D664" s="235">
        <v>141.92800784696908</v>
      </c>
      <c r="E664" s="234">
        <f t="shared" si="46"/>
        <v>141.92800784696908</v>
      </c>
      <c r="F664" s="239"/>
      <c r="G664" s="188" t="str">
        <f t="shared" si="43"/>
        <v/>
      </c>
      <c r="H664" s="236" t="str">
        <f t="shared" si="44"/>
        <v/>
      </c>
      <c r="I664" s="237"/>
    </row>
    <row r="665" spans="1:9">
      <c r="A665" s="232">
        <f t="shared" si="45"/>
        <v>663</v>
      </c>
      <c r="B665" s="233">
        <v>45863</v>
      </c>
      <c r="C665" s="234">
        <v>220.41790599999999</v>
      </c>
      <c r="D665" s="235">
        <v>141.92800784696908</v>
      </c>
      <c r="E665" s="234">
        <f t="shared" si="46"/>
        <v>141.92800784696908</v>
      </c>
      <c r="F665" s="239"/>
      <c r="G665" s="188" t="str">
        <f t="shared" si="43"/>
        <v/>
      </c>
      <c r="H665" s="236" t="str">
        <f t="shared" si="44"/>
        <v/>
      </c>
      <c r="I665" s="237"/>
    </row>
    <row r="666" spans="1:9">
      <c r="A666" s="232">
        <f t="shared" si="45"/>
        <v>664</v>
      </c>
      <c r="B666" s="233">
        <v>45864</v>
      </c>
      <c r="C666" s="234">
        <v>179.06431999999998</v>
      </c>
      <c r="D666" s="235">
        <v>141.92800784696908</v>
      </c>
      <c r="E666" s="234">
        <f t="shared" si="46"/>
        <v>141.92800784696908</v>
      </c>
      <c r="F666" s="239"/>
      <c r="G666" s="188" t="str">
        <f t="shared" si="43"/>
        <v/>
      </c>
      <c r="H666" s="236" t="str">
        <f t="shared" si="44"/>
        <v/>
      </c>
      <c r="I666" s="237"/>
    </row>
    <row r="667" spans="1:9">
      <c r="A667" s="232">
        <f t="shared" si="45"/>
        <v>665</v>
      </c>
      <c r="B667" s="233">
        <v>45865</v>
      </c>
      <c r="C667" s="234">
        <v>142.819051</v>
      </c>
      <c r="D667" s="235">
        <v>141.92800784696908</v>
      </c>
      <c r="E667" s="234">
        <f t="shared" si="46"/>
        <v>141.92800784696908</v>
      </c>
      <c r="F667" s="239"/>
      <c r="G667" s="188" t="str">
        <f t="shared" si="43"/>
        <v/>
      </c>
      <c r="H667" s="236" t="str">
        <f t="shared" si="44"/>
        <v/>
      </c>
      <c r="I667" s="237"/>
    </row>
    <row r="668" spans="1:9">
      <c r="A668" s="232">
        <f t="shared" si="45"/>
        <v>666</v>
      </c>
      <c r="B668" s="233">
        <v>45866</v>
      </c>
      <c r="C668" s="234">
        <v>222.88105000000002</v>
      </c>
      <c r="D668" s="235">
        <v>141.92800784696908</v>
      </c>
      <c r="E668" s="234">
        <f t="shared" si="46"/>
        <v>141.92800784696908</v>
      </c>
      <c r="F668" s="239"/>
      <c r="G668" s="188" t="str">
        <f t="shared" si="43"/>
        <v/>
      </c>
      <c r="H668" s="236" t="str">
        <f t="shared" si="44"/>
        <v/>
      </c>
      <c r="I668" s="237"/>
    </row>
    <row r="669" spans="1:9">
      <c r="A669" s="232">
        <f t="shared" si="45"/>
        <v>667</v>
      </c>
      <c r="B669" s="233">
        <v>45867</v>
      </c>
      <c r="C669" s="234">
        <v>246.21511799999999</v>
      </c>
      <c r="D669" s="235">
        <v>141.92800784696908</v>
      </c>
      <c r="E669" s="234">
        <f t="shared" si="46"/>
        <v>141.92800784696908</v>
      </c>
      <c r="F669" s="239"/>
      <c r="G669" s="188" t="str">
        <f t="shared" si="43"/>
        <v/>
      </c>
      <c r="H669" s="236" t="str">
        <f t="shared" si="44"/>
        <v/>
      </c>
      <c r="I669" s="237"/>
    </row>
    <row r="670" spans="1:9">
      <c r="A670" s="232">
        <f t="shared" si="45"/>
        <v>668</v>
      </c>
      <c r="B670" s="233">
        <v>45868</v>
      </c>
      <c r="C670" s="234">
        <v>213.93552499999998</v>
      </c>
      <c r="D670" s="235">
        <v>141.92800784696908</v>
      </c>
      <c r="E670" s="234">
        <f t="shared" si="46"/>
        <v>141.92800784696908</v>
      </c>
      <c r="F670" s="239"/>
      <c r="G670" s="188" t="str">
        <f t="shared" si="43"/>
        <v/>
      </c>
      <c r="H670" s="236" t="str">
        <f t="shared" si="44"/>
        <v/>
      </c>
      <c r="I670" s="237"/>
    </row>
    <row r="671" spans="1:9">
      <c r="A671" s="232">
        <f t="shared" si="45"/>
        <v>669</v>
      </c>
      <c r="B671" s="233">
        <v>45869</v>
      </c>
      <c r="C671" s="234">
        <v>191.04505500000002</v>
      </c>
      <c r="D671" s="235">
        <v>141.92800784696908</v>
      </c>
      <c r="E671" s="234">
        <f t="shared" si="46"/>
        <v>141.92800784696908</v>
      </c>
      <c r="F671" s="239"/>
      <c r="G671" s="188" t="str">
        <f t="shared" si="43"/>
        <v/>
      </c>
      <c r="H671" s="236" t="str">
        <f t="shared" si="44"/>
        <v/>
      </c>
      <c r="I671" s="237"/>
    </row>
    <row r="672" spans="1:9">
      <c r="A672" s="232">
        <f t="shared" si="45"/>
        <v>670</v>
      </c>
      <c r="B672" s="233">
        <v>45870</v>
      </c>
      <c r="C672" s="234">
        <v>195.59287399999999</v>
      </c>
      <c r="D672" s="235">
        <v>138.43000252044646</v>
      </c>
      <c r="E672" s="234">
        <f t="shared" si="46"/>
        <v>138.43000252044646</v>
      </c>
      <c r="F672" s="239"/>
      <c r="G672" s="188" t="str">
        <f t="shared" si="43"/>
        <v/>
      </c>
      <c r="H672" s="236" t="str">
        <f t="shared" si="44"/>
        <v/>
      </c>
      <c r="I672" s="237"/>
    </row>
    <row r="673" spans="1:9">
      <c r="A673" s="232">
        <f t="shared" si="45"/>
        <v>671</v>
      </c>
      <c r="B673" s="233">
        <v>45871</v>
      </c>
      <c r="C673" s="234">
        <v>207.15976900000001</v>
      </c>
      <c r="D673" s="235">
        <v>138.43000252044646</v>
      </c>
      <c r="E673" s="234">
        <f t="shared" si="46"/>
        <v>138.43000252044646</v>
      </c>
      <c r="F673" s="237"/>
      <c r="G673" s="188" t="str">
        <f t="shared" si="43"/>
        <v/>
      </c>
      <c r="H673" s="236" t="str">
        <f t="shared" si="44"/>
        <v/>
      </c>
      <c r="I673" s="237"/>
    </row>
    <row r="674" spans="1:9">
      <c r="A674" s="232">
        <f t="shared" si="45"/>
        <v>672</v>
      </c>
      <c r="B674" s="233">
        <v>45872</v>
      </c>
      <c r="C674" s="234">
        <v>166.880965</v>
      </c>
      <c r="D674" s="235">
        <v>138.43000252044646</v>
      </c>
      <c r="E674" s="234">
        <f t="shared" si="46"/>
        <v>138.43000252044646</v>
      </c>
      <c r="F674" s="237"/>
      <c r="G674" s="188" t="str">
        <f t="shared" si="43"/>
        <v/>
      </c>
      <c r="H674" s="236" t="str">
        <f t="shared" si="44"/>
        <v/>
      </c>
      <c r="I674" s="237"/>
    </row>
    <row r="675" spans="1:9">
      <c r="A675" s="232">
        <f t="shared" si="45"/>
        <v>673</v>
      </c>
      <c r="B675" s="233">
        <v>45873</v>
      </c>
      <c r="C675" s="234">
        <v>97.611058999999997</v>
      </c>
      <c r="D675" s="235">
        <v>138.43000252044646</v>
      </c>
      <c r="E675" s="234">
        <f t="shared" si="46"/>
        <v>97.611058999999997</v>
      </c>
      <c r="F675" s="239"/>
      <c r="G675" s="188" t="str">
        <f t="shared" si="43"/>
        <v/>
      </c>
      <c r="H675" s="236" t="str">
        <f t="shared" si="44"/>
        <v/>
      </c>
      <c r="I675" s="237"/>
    </row>
    <row r="676" spans="1:9">
      <c r="A676" s="232">
        <f t="shared" si="45"/>
        <v>674</v>
      </c>
      <c r="B676" s="233">
        <v>45874</v>
      </c>
      <c r="C676" s="234">
        <v>177.737967</v>
      </c>
      <c r="D676" s="235">
        <v>138.43000252044646</v>
      </c>
      <c r="E676" s="234">
        <f t="shared" si="46"/>
        <v>138.43000252044646</v>
      </c>
      <c r="F676" s="239"/>
      <c r="G676" s="188" t="str">
        <f t="shared" si="43"/>
        <v/>
      </c>
      <c r="H676" s="236" t="str">
        <f t="shared" si="44"/>
        <v/>
      </c>
      <c r="I676" s="237"/>
    </row>
    <row r="677" spans="1:9">
      <c r="A677" s="232">
        <f t="shared" si="45"/>
        <v>675</v>
      </c>
      <c r="B677" s="233">
        <v>45875</v>
      </c>
      <c r="C677" s="234">
        <v>108.57818899999999</v>
      </c>
      <c r="D677" s="235">
        <v>138.43000252044646</v>
      </c>
      <c r="E677" s="234">
        <f t="shared" si="46"/>
        <v>108.57818899999999</v>
      </c>
      <c r="F677" s="239"/>
      <c r="G677" s="188" t="str">
        <f t="shared" si="43"/>
        <v/>
      </c>
      <c r="H677" s="236" t="str">
        <f t="shared" si="44"/>
        <v/>
      </c>
      <c r="I677" s="237"/>
    </row>
    <row r="678" spans="1:9">
      <c r="A678" s="232">
        <f t="shared" si="45"/>
        <v>676</v>
      </c>
      <c r="B678" s="233">
        <v>45876</v>
      </c>
      <c r="C678" s="234">
        <v>59.921418000000003</v>
      </c>
      <c r="D678" s="235">
        <v>138.43000252044646</v>
      </c>
      <c r="E678" s="234">
        <f t="shared" si="46"/>
        <v>59.921418000000003</v>
      </c>
      <c r="F678" s="239"/>
      <c r="G678" s="188" t="str">
        <f t="shared" si="43"/>
        <v/>
      </c>
      <c r="H678" s="236" t="str">
        <f t="shared" si="44"/>
        <v/>
      </c>
      <c r="I678" s="237"/>
    </row>
    <row r="679" spans="1:9">
      <c r="A679" s="232">
        <f t="shared" si="45"/>
        <v>677</v>
      </c>
      <c r="B679" s="233">
        <v>45877</v>
      </c>
      <c r="C679" s="234">
        <v>94.350186000000008</v>
      </c>
      <c r="D679" s="235">
        <v>138.43000252044646</v>
      </c>
      <c r="E679" s="234">
        <f t="shared" si="46"/>
        <v>94.350186000000008</v>
      </c>
      <c r="F679" s="239"/>
      <c r="G679" s="188" t="str">
        <f t="shared" si="43"/>
        <v/>
      </c>
      <c r="H679" s="236" t="str">
        <f t="shared" si="44"/>
        <v/>
      </c>
      <c r="I679" s="237"/>
    </row>
    <row r="680" spans="1:9">
      <c r="A680" s="232">
        <f t="shared" si="45"/>
        <v>678</v>
      </c>
      <c r="B680" s="233">
        <v>45878</v>
      </c>
      <c r="C680" s="234">
        <v>101.04774299999998</v>
      </c>
      <c r="D680" s="235">
        <v>138.43000252044646</v>
      </c>
      <c r="E680" s="234">
        <f t="shared" si="46"/>
        <v>101.04774299999998</v>
      </c>
      <c r="F680" s="239"/>
      <c r="G680" s="188" t="str">
        <f t="shared" si="43"/>
        <v/>
      </c>
      <c r="H680" s="236" t="str">
        <f t="shared" si="44"/>
        <v/>
      </c>
      <c r="I680" s="237"/>
    </row>
    <row r="681" spans="1:9">
      <c r="A681" s="232">
        <f t="shared" si="45"/>
        <v>679</v>
      </c>
      <c r="B681" s="233">
        <v>45879</v>
      </c>
      <c r="C681" s="234">
        <v>103.06724399999999</v>
      </c>
      <c r="D681" s="235">
        <v>138.43000252044646</v>
      </c>
      <c r="E681" s="234">
        <f t="shared" si="46"/>
        <v>103.06724399999999</v>
      </c>
      <c r="F681" s="239"/>
      <c r="G681" s="188" t="str">
        <f t="shared" si="43"/>
        <v/>
      </c>
      <c r="H681" s="236" t="str">
        <f t="shared" si="44"/>
        <v/>
      </c>
      <c r="I681" s="237"/>
    </row>
    <row r="682" spans="1:9">
      <c r="A682" s="232">
        <f t="shared" si="45"/>
        <v>680</v>
      </c>
      <c r="B682" s="233">
        <v>45880</v>
      </c>
      <c r="C682" s="234">
        <v>77.336628000000005</v>
      </c>
      <c r="D682" s="235">
        <v>138.43000252044646</v>
      </c>
      <c r="E682" s="234">
        <f t="shared" si="46"/>
        <v>77.336628000000005</v>
      </c>
      <c r="F682" s="239"/>
      <c r="G682" s="188" t="str">
        <f t="shared" si="43"/>
        <v/>
      </c>
      <c r="H682" s="236" t="str">
        <f t="shared" si="44"/>
        <v/>
      </c>
      <c r="I682" s="237"/>
    </row>
    <row r="683" spans="1:9">
      <c r="A683" s="232">
        <f t="shared" si="45"/>
        <v>681</v>
      </c>
      <c r="B683" s="233">
        <v>45881</v>
      </c>
      <c r="C683" s="234">
        <v>98.493037999999999</v>
      </c>
      <c r="D683" s="235">
        <v>138.43000252044646</v>
      </c>
      <c r="E683" s="234">
        <f t="shared" si="46"/>
        <v>98.493037999999999</v>
      </c>
      <c r="F683" s="239"/>
      <c r="G683" s="188" t="str">
        <f t="shared" si="43"/>
        <v/>
      </c>
      <c r="H683" s="236" t="str">
        <f t="shared" si="44"/>
        <v/>
      </c>
      <c r="I683" s="237"/>
    </row>
    <row r="684" spans="1:9">
      <c r="A684" s="232">
        <f t="shared" si="45"/>
        <v>682</v>
      </c>
      <c r="B684" s="233">
        <v>45882</v>
      </c>
      <c r="C684" s="234">
        <v>91.627511999999996</v>
      </c>
      <c r="D684" s="235">
        <v>138.43000252044646</v>
      </c>
      <c r="E684" s="234">
        <f t="shared" si="46"/>
        <v>91.627511999999996</v>
      </c>
      <c r="F684" s="239"/>
      <c r="G684" s="188" t="str">
        <f t="shared" si="43"/>
        <v/>
      </c>
      <c r="H684" s="236" t="str">
        <f t="shared" si="44"/>
        <v/>
      </c>
      <c r="I684" s="237"/>
    </row>
    <row r="685" spans="1:9">
      <c r="A685" s="232">
        <f t="shared" si="45"/>
        <v>683</v>
      </c>
      <c r="B685" s="233">
        <v>45883</v>
      </c>
      <c r="C685" s="234">
        <v>103.42869900000001</v>
      </c>
      <c r="D685" s="235">
        <v>138.43000252044646</v>
      </c>
      <c r="E685" s="234">
        <f t="shared" si="46"/>
        <v>103.42869900000001</v>
      </c>
      <c r="F685" s="239"/>
      <c r="G685" s="188" t="str">
        <f t="shared" si="43"/>
        <v/>
      </c>
      <c r="H685" s="236" t="str">
        <f t="shared" si="44"/>
        <v/>
      </c>
      <c r="I685" s="237"/>
    </row>
    <row r="686" spans="1:9">
      <c r="A686" s="232">
        <f t="shared" si="45"/>
        <v>684</v>
      </c>
      <c r="B686" s="233">
        <v>45884</v>
      </c>
      <c r="C686" s="234">
        <v>91.743358999999998</v>
      </c>
      <c r="D686" s="235">
        <v>138.43000252044646</v>
      </c>
      <c r="E686" s="234">
        <f t="shared" si="46"/>
        <v>91.743358999999998</v>
      </c>
      <c r="F686" s="239"/>
      <c r="G686" s="188" t="str">
        <f t="shared" si="43"/>
        <v>A</v>
      </c>
      <c r="H686" s="236" t="str">
        <f t="shared" si="44"/>
        <v>138,4</v>
      </c>
      <c r="I686" s="237"/>
    </row>
    <row r="687" spans="1:9">
      <c r="A687" s="232">
        <f t="shared" si="45"/>
        <v>685</v>
      </c>
      <c r="B687" s="233">
        <v>45885</v>
      </c>
      <c r="C687" s="234">
        <v>48.016739000000001</v>
      </c>
      <c r="D687" s="235">
        <v>138.43000252044646</v>
      </c>
      <c r="E687" s="234">
        <f t="shared" si="46"/>
        <v>48.016739000000001</v>
      </c>
      <c r="F687" s="239"/>
      <c r="G687" s="188" t="str">
        <f t="shared" si="43"/>
        <v/>
      </c>
      <c r="H687" s="236" t="str">
        <f t="shared" si="44"/>
        <v/>
      </c>
      <c r="I687" s="237"/>
    </row>
    <row r="688" spans="1:9">
      <c r="A688" s="232">
        <f t="shared" si="45"/>
        <v>686</v>
      </c>
      <c r="B688" s="233">
        <v>45886</v>
      </c>
      <c r="C688" s="234">
        <v>51.217410999999998</v>
      </c>
      <c r="D688" s="235">
        <v>138.43000252044646</v>
      </c>
      <c r="E688" s="234">
        <f t="shared" si="46"/>
        <v>51.217410999999998</v>
      </c>
      <c r="F688" s="239"/>
      <c r="G688" s="188" t="str">
        <f t="shared" si="43"/>
        <v/>
      </c>
      <c r="H688" s="236" t="str">
        <f t="shared" si="44"/>
        <v/>
      </c>
      <c r="I688" s="237"/>
    </row>
    <row r="689" spans="1:9">
      <c r="A689" s="232">
        <f t="shared" si="45"/>
        <v>687</v>
      </c>
      <c r="B689" s="233">
        <v>45887</v>
      </c>
      <c r="C689" s="234">
        <v>108.576768</v>
      </c>
      <c r="D689" s="235">
        <v>138.43000252044646</v>
      </c>
      <c r="E689" s="234">
        <f t="shared" si="46"/>
        <v>108.576768</v>
      </c>
      <c r="F689" s="239"/>
      <c r="G689" s="188" t="str">
        <f t="shared" si="43"/>
        <v/>
      </c>
      <c r="H689" s="236" t="str">
        <f t="shared" si="44"/>
        <v/>
      </c>
      <c r="I689" s="237"/>
    </row>
    <row r="690" spans="1:9">
      <c r="A690" s="232">
        <f t="shared" si="45"/>
        <v>688</v>
      </c>
      <c r="B690" s="233">
        <v>45888</v>
      </c>
      <c r="C690" s="234">
        <v>148.56472600000001</v>
      </c>
      <c r="D690" s="235">
        <v>138.43000252044646</v>
      </c>
      <c r="E690" s="234">
        <f t="shared" si="46"/>
        <v>138.43000252044646</v>
      </c>
      <c r="F690" s="239"/>
      <c r="G690" s="188" t="str">
        <f t="shared" si="43"/>
        <v/>
      </c>
      <c r="H690" s="236" t="str">
        <f t="shared" si="44"/>
        <v/>
      </c>
      <c r="I690" s="237"/>
    </row>
    <row r="691" spans="1:9">
      <c r="A691" s="232">
        <f t="shared" si="45"/>
        <v>689</v>
      </c>
      <c r="B691" s="233">
        <v>45889</v>
      </c>
      <c r="C691" s="234">
        <v>174.74941000000001</v>
      </c>
      <c r="D691" s="235">
        <v>138.43000252044646</v>
      </c>
      <c r="E691" s="234">
        <f t="shared" si="46"/>
        <v>138.43000252044646</v>
      </c>
      <c r="F691" s="239"/>
      <c r="G691" s="188" t="str">
        <f t="shared" si="43"/>
        <v/>
      </c>
      <c r="H691" s="236" t="str">
        <f t="shared" si="44"/>
        <v/>
      </c>
      <c r="I691" s="237"/>
    </row>
    <row r="692" spans="1:9">
      <c r="A692" s="232">
        <f t="shared" si="45"/>
        <v>690</v>
      </c>
      <c r="B692" s="233">
        <v>45890</v>
      </c>
      <c r="C692" s="234">
        <v>160.13917600000002</v>
      </c>
      <c r="D692" s="235">
        <v>138.43000252044646</v>
      </c>
      <c r="E692" s="234">
        <f t="shared" si="46"/>
        <v>138.43000252044646</v>
      </c>
      <c r="F692" s="239"/>
      <c r="G692" s="188" t="str">
        <f t="shared" si="43"/>
        <v/>
      </c>
      <c r="H692" s="236" t="str">
        <f t="shared" si="44"/>
        <v/>
      </c>
      <c r="I692" s="237"/>
    </row>
    <row r="693" spans="1:9">
      <c r="A693" s="232">
        <f t="shared" si="45"/>
        <v>691</v>
      </c>
      <c r="B693" s="233">
        <v>45891</v>
      </c>
      <c r="C693" s="234">
        <v>159.98717499999998</v>
      </c>
      <c r="D693" s="235">
        <v>138.43000252044646</v>
      </c>
      <c r="E693" s="234">
        <f t="shared" si="46"/>
        <v>138.43000252044646</v>
      </c>
      <c r="F693" s="239"/>
      <c r="G693" s="188" t="str">
        <f t="shared" si="43"/>
        <v/>
      </c>
      <c r="H693" s="236" t="str">
        <f t="shared" si="44"/>
        <v/>
      </c>
      <c r="I693" s="237"/>
    </row>
    <row r="694" spans="1:9">
      <c r="A694" s="232">
        <f t="shared" si="45"/>
        <v>692</v>
      </c>
      <c r="B694" s="233">
        <v>45892</v>
      </c>
      <c r="C694" s="234">
        <v>70.953585000000004</v>
      </c>
      <c r="D694" s="235">
        <v>138.43000252044646</v>
      </c>
      <c r="E694" s="234">
        <f t="shared" si="46"/>
        <v>70.953585000000004</v>
      </c>
      <c r="F694" s="239"/>
      <c r="G694" s="188" t="str">
        <f t="shared" si="43"/>
        <v/>
      </c>
      <c r="H694" s="236" t="str">
        <f t="shared" si="44"/>
        <v/>
      </c>
      <c r="I694" s="237"/>
    </row>
    <row r="695" spans="1:9">
      <c r="A695" s="232">
        <f t="shared" si="45"/>
        <v>693</v>
      </c>
      <c r="B695" s="233">
        <v>45893</v>
      </c>
      <c r="C695" s="234">
        <v>46.668775000000004</v>
      </c>
      <c r="D695" s="235">
        <v>138.43000252044646</v>
      </c>
      <c r="E695" s="234">
        <f t="shared" si="46"/>
        <v>46.668775000000004</v>
      </c>
      <c r="F695" s="239"/>
      <c r="G695" s="188" t="str">
        <f t="shared" si="43"/>
        <v/>
      </c>
      <c r="H695" s="236" t="str">
        <f t="shared" si="44"/>
        <v/>
      </c>
      <c r="I695" s="237"/>
    </row>
    <row r="696" spans="1:9">
      <c r="A696" s="232">
        <f t="shared" si="45"/>
        <v>694</v>
      </c>
      <c r="B696" s="233">
        <v>45894</v>
      </c>
      <c r="C696" s="234">
        <v>86.060666999999995</v>
      </c>
      <c r="D696" s="235">
        <v>138.43000252044646</v>
      </c>
      <c r="E696" s="234">
        <f t="shared" si="46"/>
        <v>86.060666999999995</v>
      </c>
      <c r="F696" s="239"/>
      <c r="G696" s="188" t="str">
        <f t="shared" si="43"/>
        <v/>
      </c>
      <c r="H696" s="236" t="str">
        <f t="shared" si="44"/>
        <v/>
      </c>
      <c r="I696" s="237"/>
    </row>
    <row r="697" spans="1:9">
      <c r="A697" s="232">
        <f t="shared" si="45"/>
        <v>695</v>
      </c>
      <c r="B697" s="233">
        <v>45895</v>
      </c>
      <c r="C697" s="234">
        <v>81.252551000000011</v>
      </c>
      <c r="D697" s="235">
        <v>138.43000252044646</v>
      </c>
      <c r="E697" s="234">
        <f t="shared" si="46"/>
        <v>81.252551000000011</v>
      </c>
      <c r="F697" s="239"/>
      <c r="G697" s="188" t="str">
        <f t="shared" si="43"/>
        <v/>
      </c>
      <c r="H697" s="236" t="str">
        <f t="shared" si="44"/>
        <v/>
      </c>
      <c r="I697" s="237"/>
    </row>
    <row r="698" spans="1:9">
      <c r="A698" s="232">
        <f t="shared" si="45"/>
        <v>696</v>
      </c>
      <c r="B698" s="233">
        <v>45896</v>
      </c>
      <c r="C698" s="234">
        <v>98.872264999999999</v>
      </c>
      <c r="D698" s="235">
        <v>138.43000252044646</v>
      </c>
      <c r="E698" s="234">
        <f t="shared" si="46"/>
        <v>98.872264999999999</v>
      </c>
      <c r="F698" s="239"/>
      <c r="G698" s="188" t="str">
        <f t="shared" si="43"/>
        <v/>
      </c>
      <c r="H698" s="236" t="str">
        <f t="shared" si="44"/>
        <v/>
      </c>
      <c r="I698" s="237"/>
    </row>
    <row r="699" spans="1:9">
      <c r="A699" s="232">
        <f t="shared" si="45"/>
        <v>697</v>
      </c>
      <c r="B699" s="233">
        <v>45897</v>
      </c>
      <c r="C699" s="234">
        <v>189.384592</v>
      </c>
      <c r="D699" s="235">
        <v>138.43000252044646</v>
      </c>
      <c r="E699" s="234">
        <f t="shared" si="46"/>
        <v>138.43000252044646</v>
      </c>
      <c r="F699" s="239"/>
      <c r="G699" s="188" t="str">
        <f t="shared" si="43"/>
        <v/>
      </c>
      <c r="H699" s="236" t="str">
        <f t="shared" si="44"/>
        <v/>
      </c>
      <c r="I699" s="237"/>
    </row>
    <row r="700" spans="1:9">
      <c r="A700" s="232">
        <f t="shared" si="45"/>
        <v>698</v>
      </c>
      <c r="B700" s="233">
        <v>45898</v>
      </c>
      <c r="C700" s="234">
        <v>185.63184000000004</v>
      </c>
      <c r="D700" s="235">
        <v>138.43000252044646</v>
      </c>
      <c r="E700" s="234">
        <f t="shared" si="46"/>
        <v>138.43000252044646</v>
      </c>
      <c r="F700" s="239"/>
      <c r="G700" s="188" t="str">
        <f t="shared" si="43"/>
        <v/>
      </c>
      <c r="H700" s="236" t="str">
        <f t="shared" si="44"/>
        <v/>
      </c>
      <c r="I700" s="237"/>
    </row>
    <row r="701" spans="1:9">
      <c r="A701" s="232">
        <f t="shared" si="45"/>
        <v>699</v>
      </c>
      <c r="B701" s="233">
        <v>45899</v>
      </c>
      <c r="C701" s="234">
        <v>114.484016</v>
      </c>
      <c r="D701" s="235">
        <v>138.43000252044646</v>
      </c>
      <c r="E701" s="234">
        <f t="shared" si="46"/>
        <v>114.484016</v>
      </c>
      <c r="F701" s="237"/>
      <c r="G701" s="188" t="str">
        <f t="shared" si="43"/>
        <v/>
      </c>
      <c r="H701" s="236" t="str">
        <f t="shared" si="44"/>
        <v/>
      </c>
      <c r="I701" s="237"/>
    </row>
    <row r="702" spans="1:9">
      <c r="A702" s="232">
        <f t="shared" si="45"/>
        <v>700</v>
      </c>
      <c r="B702" s="233">
        <v>45900</v>
      </c>
      <c r="C702" s="234">
        <v>151.94530499999999</v>
      </c>
      <c r="D702" s="235">
        <v>138.43000252044646</v>
      </c>
      <c r="E702" s="234">
        <f t="shared" si="46"/>
        <v>138.43000252044646</v>
      </c>
      <c r="F702" s="237"/>
      <c r="G702" s="188" t="str">
        <f t="shared" si="43"/>
        <v/>
      </c>
      <c r="H702" s="236" t="str">
        <f t="shared" si="44"/>
        <v/>
      </c>
      <c r="I702" s="237"/>
    </row>
    <row r="703" spans="1:9">
      <c r="A703" s="232">
        <f t="shared" si="45"/>
        <v>701</v>
      </c>
      <c r="B703" s="233">
        <v>45901</v>
      </c>
      <c r="C703" s="234">
        <v>192.015782</v>
      </c>
      <c r="D703" s="235">
        <v>136.60125137702863</v>
      </c>
      <c r="E703" s="234">
        <f t="shared" si="46"/>
        <v>136.60125137702863</v>
      </c>
      <c r="F703" s="239"/>
      <c r="G703" s="188" t="str">
        <f t="shared" si="43"/>
        <v/>
      </c>
      <c r="H703" s="236" t="str">
        <f t="shared" si="44"/>
        <v/>
      </c>
      <c r="I703" s="237"/>
    </row>
    <row r="704" spans="1:9">
      <c r="A704" s="232">
        <f t="shared" si="45"/>
        <v>702</v>
      </c>
      <c r="B704" s="233">
        <v>45902</v>
      </c>
      <c r="C704" s="234">
        <v>134.17487499999999</v>
      </c>
      <c r="D704" s="235">
        <v>136.60125137702863</v>
      </c>
      <c r="E704" s="234">
        <f t="shared" si="46"/>
        <v>134.17487499999999</v>
      </c>
      <c r="F704" s="239"/>
      <c r="G704" s="188" t="str">
        <f t="shared" si="43"/>
        <v/>
      </c>
      <c r="H704" s="236" t="str">
        <f t="shared" si="44"/>
        <v/>
      </c>
      <c r="I704" s="237"/>
    </row>
    <row r="705" spans="1:9">
      <c r="A705" s="232">
        <f t="shared" si="45"/>
        <v>703</v>
      </c>
      <c r="B705" s="233">
        <v>45903</v>
      </c>
      <c r="C705" s="234">
        <v>128.768134</v>
      </c>
      <c r="D705" s="235">
        <v>136.60125137702863</v>
      </c>
      <c r="E705" s="234">
        <f t="shared" si="46"/>
        <v>128.768134</v>
      </c>
      <c r="F705" s="239"/>
      <c r="G705" s="188" t="str">
        <f t="shared" si="43"/>
        <v/>
      </c>
      <c r="H705" s="236" t="str">
        <f t="shared" si="44"/>
        <v/>
      </c>
      <c r="I705" s="237"/>
    </row>
    <row r="706" spans="1:9">
      <c r="A706" s="232">
        <f t="shared" si="45"/>
        <v>704</v>
      </c>
      <c r="B706" s="233">
        <v>45904</v>
      </c>
      <c r="C706" s="234">
        <v>117.30842200000001</v>
      </c>
      <c r="D706" s="235">
        <v>136.60125137702863</v>
      </c>
      <c r="E706" s="234">
        <f t="shared" si="46"/>
        <v>117.30842200000001</v>
      </c>
      <c r="F706" s="239"/>
      <c r="G706" s="188" t="str">
        <f t="shared" si="43"/>
        <v/>
      </c>
      <c r="H706" s="236" t="str">
        <f t="shared" si="44"/>
        <v/>
      </c>
      <c r="I706" s="237"/>
    </row>
    <row r="707" spans="1:9">
      <c r="A707" s="232">
        <f t="shared" si="45"/>
        <v>705</v>
      </c>
      <c r="B707" s="233">
        <v>45905</v>
      </c>
      <c r="C707" s="234">
        <v>170.33042399999999</v>
      </c>
      <c r="D707" s="235">
        <v>136.60125137702863</v>
      </c>
      <c r="E707" s="234">
        <f t="shared" si="46"/>
        <v>136.60125137702863</v>
      </c>
      <c r="F707" s="239"/>
      <c r="G707" s="188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36" t="str">
        <f t="shared" ref="H707:H760" si="48">IF(DAY($B707)=15,TEXT(D707,"#,0"),"")</f>
        <v/>
      </c>
      <c r="I707" s="237"/>
    </row>
    <row r="708" spans="1:9">
      <c r="A708" s="232">
        <f t="shared" si="45"/>
        <v>706</v>
      </c>
      <c r="B708" s="233">
        <v>45906</v>
      </c>
      <c r="C708" s="234">
        <v>215.68384800000004</v>
      </c>
      <c r="D708" s="235">
        <v>136.60125137702863</v>
      </c>
      <c r="E708" s="234">
        <f t="shared" si="46"/>
        <v>136.60125137702863</v>
      </c>
      <c r="F708" s="239"/>
      <c r="G708" s="188" t="str">
        <f t="shared" si="47"/>
        <v/>
      </c>
      <c r="H708" s="236" t="str">
        <f t="shared" si="48"/>
        <v/>
      </c>
      <c r="I708" s="237"/>
    </row>
    <row r="709" spans="1:9">
      <c r="A709" s="232">
        <f t="shared" si="45"/>
        <v>707</v>
      </c>
      <c r="B709" s="233">
        <v>45907</v>
      </c>
      <c r="C709" s="234">
        <v>157.16207800000001</v>
      </c>
      <c r="D709" s="235">
        <v>136.60125137702863</v>
      </c>
      <c r="E709" s="234">
        <f t="shared" si="46"/>
        <v>136.60125137702863</v>
      </c>
      <c r="F709" s="239"/>
      <c r="G709" s="188" t="str">
        <f t="shared" si="47"/>
        <v/>
      </c>
      <c r="H709" s="236" t="str">
        <f t="shared" si="48"/>
        <v/>
      </c>
      <c r="I709" s="237"/>
    </row>
    <row r="710" spans="1:9">
      <c r="A710" s="232">
        <f t="shared" si="45"/>
        <v>708</v>
      </c>
      <c r="B710" s="233">
        <v>45908</v>
      </c>
      <c r="C710" s="234">
        <v>137.139814</v>
      </c>
      <c r="D710" s="235">
        <v>136.60125137702863</v>
      </c>
      <c r="E710" s="234">
        <f t="shared" si="46"/>
        <v>136.60125137702863</v>
      </c>
      <c r="F710" s="239"/>
      <c r="G710" s="188" t="str">
        <f t="shared" si="47"/>
        <v/>
      </c>
      <c r="H710" s="236" t="str">
        <f t="shared" si="48"/>
        <v/>
      </c>
      <c r="I710" s="237"/>
    </row>
    <row r="711" spans="1:9">
      <c r="A711" s="232">
        <f t="shared" si="45"/>
        <v>709</v>
      </c>
      <c r="B711" s="233">
        <v>45909</v>
      </c>
      <c r="C711" s="234">
        <v>139.59612300000003</v>
      </c>
      <c r="D711" s="235">
        <v>136.60125137702863</v>
      </c>
      <c r="E711" s="234">
        <f t="shared" si="46"/>
        <v>136.60125137702863</v>
      </c>
      <c r="F711" s="239"/>
      <c r="G711" s="188" t="str">
        <f t="shared" si="47"/>
        <v/>
      </c>
      <c r="H711" s="236" t="str">
        <f t="shared" si="48"/>
        <v/>
      </c>
      <c r="I711" s="237"/>
    </row>
    <row r="712" spans="1:9">
      <c r="A712" s="232">
        <f t="shared" si="45"/>
        <v>710</v>
      </c>
      <c r="B712" s="233">
        <v>45910</v>
      </c>
      <c r="C712" s="234">
        <v>204.713032</v>
      </c>
      <c r="D712" s="235">
        <v>136.60125137702863</v>
      </c>
      <c r="E712" s="234">
        <f t="shared" si="46"/>
        <v>136.60125137702863</v>
      </c>
      <c r="F712" s="239"/>
      <c r="G712" s="188" t="str">
        <f t="shared" si="47"/>
        <v/>
      </c>
      <c r="H712" s="236" t="str">
        <f t="shared" si="48"/>
        <v/>
      </c>
      <c r="I712" s="237"/>
    </row>
    <row r="713" spans="1:9">
      <c r="A713" s="232">
        <f t="shared" si="45"/>
        <v>711</v>
      </c>
      <c r="B713" s="233">
        <v>45911</v>
      </c>
      <c r="C713" s="234">
        <v>145.13267500000001</v>
      </c>
      <c r="D713" s="235">
        <v>136.60125137702863</v>
      </c>
      <c r="E713" s="234">
        <f t="shared" si="46"/>
        <v>136.60125137702863</v>
      </c>
      <c r="F713" s="239"/>
      <c r="G713" s="188" t="str">
        <f t="shared" si="47"/>
        <v/>
      </c>
      <c r="H713" s="236" t="str">
        <f t="shared" si="48"/>
        <v/>
      </c>
      <c r="I713" s="237"/>
    </row>
    <row r="714" spans="1:9">
      <c r="A714" s="232">
        <f t="shared" si="45"/>
        <v>712</v>
      </c>
      <c r="B714" s="233">
        <v>45912</v>
      </c>
      <c r="C714" s="234">
        <v>74.49884200000001</v>
      </c>
      <c r="D714" s="235">
        <v>136.60125137702863</v>
      </c>
      <c r="E714" s="234">
        <f t="shared" si="46"/>
        <v>74.49884200000001</v>
      </c>
      <c r="F714" s="239"/>
      <c r="G714" s="188" t="str">
        <f t="shared" si="47"/>
        <v/>
      </c>
      <c r="H714" s="236" t="str">
        <f t="shared" si="48"/>
        <v/>
      </c>
      <c r="I714" s="237"/>
    </row>
    <row r="715" spans="1:9">
      <c r="A715" s="232">
        <f t="shared" si="45"/>
        <v>713</v>
      </c>
      <c r="B715" s="233">
        <v>45913</v>
      </c>
      <c r="C715" s="234">
        <v>78.050779000000006</v>
      </c>
      <c r="D715" s="235">
        <v>136.60125137702863</v>
      </c>
      <c r="E715" s="234">
        <f t="shared" si="46"/>
        <v>78.050779000000006</v>
      </c>
      <c r="F715" s="239"/>
      <c r="G715" s="188" t="str">
        <f t="shared" si="47"/>
        <v/>
      </c>
      <c r="H715" s="236" t="str">
        <f t="shared" si="48"/>
        <v/>
      </c>
      <c r="I715" s="237"/>
    </row>
    <row r="716" spans="1:9">
      <c r="A716" s="232">
        <f t="shared" si="45"/>
        <v>714</v>
      </c>
      <c r="B716" s="233">
        <v>45914</v>
      </c>
      <c r="C716" s="234">
        <v>79.459641000000005</v>
      </c>
      <c r="D716" s="235">
        <v>136.60125137702863</v>
      </c>
      <c r="E716" s="234">
        <f t="shared" si="46"/>
        <v>79.459641000000005</v>
      </c>
      <c r="F716" s="239"/>
      <c r="G716" s="188" t="str">
        <f t="shared" si="47"/>
        <v/>
      </c>
      <c r="H716" s="236" t="str">
        <f t="shared" si="48"/>
        <v/>
      </c>
      <c r="I716" s="237"/>
    </row>
    <row r="717" spans="1:9">
      <c r="A717" s="232">
        <f t="shared" si="45"/>
        <v>715</v>
      </c>
      <c r="B717" s="233">
        <v>45915</v>
      </c>
      <c r="C717" s="234">
        <v>93.845758999999987</v>
      </c>
      <c r="D717" s="235">
        <v>136.60125137702863</v>
      </c>
      <c r="E717" s="234">
        <f t="shared" si="46"/>
        <v>93.845758999999987</v>
      </c>
      <c r="F717" s="239"/>
      <c r="G717" s="188" t="str">
        <f t="shared" si="47"/>
        <v>S</v>
      </c>
      <c r="H717" s="236" t="str">
        <f t="shared" si="48"/>
        <v>136,6</v>
      </c>
      <c r="I717" s="237"/>
    </row>
    <row r="718" spans="1:9">
      <c r="A718" s="232">
        <f t="shared" si="45"/>
        <v>716</v>
      </c>
      <c r="B718" s="233">
        <v>45916</v>
      </c>
      <c r="C718" s="234">
        <v>97.585195000000013</v>
      </c>
      <c r="D718" s="235">
        <v>136.60125137702863</v>
      </c>
      <c r="E718" s="234">
        <f t="shared" si="46"/>
        <v>97.585195000000013</v>
      </c>
      <c r="F718" s="239"/>
      <c r="G718" s="188" t="str">
        <f t="shared" si="47"/>
        <v/>
      </c>
      <c r="H718" s="236" t="str">
        <f t="shared" si="48"/>
        <v/>
      </c>
      <c r="I718" s="237"/>
    </row>
    <row r="719" spans="1:9">
      <c r="A719" s="232">
        <f t="shared" si="45"/>
        <v>717</v>
      </c>
      <c r="B719" s="233">
        <v>45917</v>
      </c>
      <c r="C719" s="234">
        <v>48.397202</v>
      </c>
      <c r="D719" s="235">
        <v>136.60125137702863</v>
      </c>
      <c r="E719" s="234">
        <f t="shared" si="46"/>
        <v>48.397202</v>
      </c>
      <c r="F719" s="239"/>
      <c r="G719" s="188" t="str">
        <f t="shared" si="47"/>
        <v/>
      </c>
      <c r="H719" s="236" t="str">
        <f t="shared" si="48"/>
        <v/>
      </c>
      <c r="I719" s="237"/>
    </row>
    <row r="720" spans="1:9">
      <c r="A720" s="232">
        <f t="shared" si="45"/>
        <v>718</v>
      </c>
      <c r="B720" s="233">
        <v>45918</v>
      </c>
      <c r="C720" s="234">
        <v>82.887904000000006</v>
      </c>
      <c r="D720" s="235">
        <v>136.60125137702863</v>
      </c>
      <c r="E720" s="234">
        <f t="shared" si="46"/>
        <v>82.887904000000006</v>
      </c>
      <c r="F720" s="239"/>
      <c r="G720" s="188" t="str">
        <f t="shared" si="47"/>
        <v/>
      </c>
      <c r="H720" s="236" t="str">
        <f t="shared" si="48"/>
        <v/>
      </c>
      <c r="I720" s="237"/>
    </row>
    <row r="721" spans="1:9">
      <c r="A721" s="232">
        <f t="shared" si="45"/>
        <v>719</v>
      </c>
      <c r="B721" s="233">
        <v>45919</v>
      </c>
      <c r="C721" s="234">
        <v>160.287069</v>
      </c>
      <c r="D721" s="235">
        <v>136.60125137702863</v>
      </c>
      <c r="E721" s="234">
        <f t="shared" si="46"/>
        <v>136.60125137702863</v>
      </c>
      <c r="F721" s="239"/>
      <c r="G721" s="188" t="str">
        <f t="shared" si="47"/>
        <v/>
      </c>
      <c r="H721" s="236" t="str">
        <f t="shared" si="48"/>
        <v/>
      </c>
      <c r="I721" s="237"/>
    </row>
    <row r="722" spans="1:9">
      <c r="A722" s="232">
        <f t="shared" si="45"/>
        <v>720</v>
      </c>
      <c r="B722" s="233">
        <v>45920</v>
      </c>
      <c r="C722" s="234">
        <v>150.55165700000001</v>
      </c>
      <c r="D722" s="235">
        <v>136.60125137702863</v>
      </c>
      <c r="E722" s="234">
        <f t="shared" si="46"/>
        <v>136.60125137702863</v>
      </c>
      <c r="F722" s="239"/>
      <c r="G722" s="188" t="str">
        <f t="shared" si="47"/>
        <v/>
      </c>
      <c r="H722" s="236" t="str">
        <f t="shared" si="48"/>
        <v/>
      </c>
      <c r="I722" s="237"/>
    </row>
    <row r="723" spans="1:9">
      <c r="A723" s="232">
        <f t="shared" si="45"/>
        <v>721</v>
      </c>
      <c r="B723" s="233">
        <v>45921</v>
      </c>
      <c r="C723" s="234">
        <v>166.42653300000001</v>
      </c>
      <c r="D723" s="235">
        <v>136.60125137702863</v>
      </c>
      <c r="E723" s="234">
        <f t="shared" si="46"/>
        <v>136.60125137702863</v>
      </c>
      <c r="F723" s="239"/>
      <c r="G723" s="188" t="str">
        <f t="shared" si="47"/>
        <v/>
      </c>
      <c r="H723" s="236" t="str">
        <f t="shared" si="48"/>
        <v/>
      </c>
      <c r="I723" s="237"/>
    </row>
    <row r="724" spans="1:9">
      <c r="A724" s="232">
        <f t="shared" si="45"/>
        <v>722</v>
      </c>
      <c r="B724" s="233">
        <v>45922</v>
      </c>
      <c r="C724" s="234">
        <v>166.68781700000002</v>
      </c>
      <c r="D724" s="235">
        <v>136.60125137702863</v>
      </c>
      <c r="E724" s="234">
        <f t="shared" si="46"/>
        <v>136.60125137702863</v>
      </c>
      <c r="F724" s="239"/>
      <c r="G724" s="188" t="str">
        <f t="shared" si="47"/>
        <v/>
      </c>
      <c r="H724" s="236" t="str">
        <f t="shared" si="48"/>
        <v/>
      </c>
      <c r="I724" s="237"/>
    </row>
    <row r="725" spans="1:9">
      <c r="A725" s="232">
        <f t="shared" si="45"/>
        <v>723</v>
      </c>
      <c r="B725" s="233">
        <v>45923</v>
      </c>
      <c r="C725" s="234">
        <v>185.60465099999999</v>
      </c>
      <c r="D725" s="235">
        <v>136.60125137702863</v>
      </c>
      <c r="E725" s="234">
        <f t="shared" si="46"/>
        <v>136.60125137702863</v>
      </c>
      <c r="F725" s="239"/>
      <c r="G725" s="188" t="str">
        <f t="shared" si="47"/>
        <v/>
      </c>
      <c r="H725" s="236" t="str">
        <f t="shared" si="48"/>
        <v/>
      </c>
      <c r="I725" s="237"/>
    </row>
    <row r="726" spans="1:9">
      <c r="A726" s="232">
        <f t="shared" si="45"/>
        <v>724</v>
      </c>
      <c r="B726" s="233">
        <v>45924</v>
      </c>
      <c r="C726" s="234">
        <v>171.889351</v>
      </c>
      <c r="D726" s="235">
        <v>136.60125137702863</v>
      </c>
      <c r="E726" s="234">
        <f t="shared" si="46"/>
        <v>136.60125137702863</v>
      </c>
      <c r="F726" s="239"/>
      <c r="G726" s="188" t="str">
        <f t="shared" si="47"/>
        <v/>
      </c>
      <c r="H726" s="236" t="str">
        <f t="shared" si="48"/>
        <v/>
      </c>
      <c r="I726" s="237"/>
    </row>
    <row r="727" spans="1:9">
      <c r="A727" s="232">
        <f t="shared" ref="A727:A763" si="49">+A726+1</f>
        <v>725</v>
      </c>
      <c r="B727" s="233">
        <v>45925</v>
      </c>
      <c r="C727" s="234">
        <v>106.272949</v>
      </c>
      <c r="D727" s="235">
        <v>136.60125137702863</v>
      </c>
      <c r="E727" s="234">
        <f t="shared" ref="E727:E760" si="50">IF(C727&gt;D727,D727,C727)</f>
        <v>106.272949</v>
      </c>
      <c r="F727" s="239"/>
      <c r="G727" s="188" t="str">
        <f t="shared" si="47"/>
        <v/>
      </c>
      <c r="H727" s="236" t="str">
        <f t="shared" si="48"/>
        <v/>
      </c>
      <c r="I727" s="237"/>
    </row>
    <row r="728" spans="1:9">
      <c r="A728" s="232">
        <f t="shared" si="49"/>
        <v>726</v>
      </c>
      <c r="B728" s="233">
        <v>45926</v>
      </c>
      <c r="C728" s="234">
        <v>40.777605999999999</v>
      </c>
      <c r="D728" s="235">
        <v>136.60125137702863</v>
      </c>
      <c r="E728" s="234">
        <f t="shared" si="50"/>
        <v>40.777605999999999</v>
      </c>
      <c r="F728" s="239"/>
      <c r="G728" s="188" t="str">
        <f t="shared" si="47"/>
        <v/>
      </c>
      <c r="H728" s="236" t="str">
        <f t="shared" si="48"/>
        <v/>
      </c>
      <c r="I728" s="237"/>
    </row>
    <row r="729" spans="1:9">
      <c r="A729" s="232">
        <f t="shared" si="49"/>
        <v>727</v>
      </c>
      <c r="B729" s="233">
        <v>45927</v>
      </c>
      <c r="C729" s="234">
        <v>81.288621000000006</v>
      </c>
      <c r="D729" s="235">
        <v>136.60125137702863</v>
      </c>
      <c r="E729" s="234">
        <f t="shared" si="50"/>
        <v>81.288621000000006</v>
      </c>
      <c r="F729" s="239"/>
      <c r="G729" s="188" t="str">
        <f t="shared" si="47"/>
        <v/>
      </c>
      <c r="H729" s="236" t="str">
        <f t="shared" si="48"/>
        <v/>
      </c>
      <c r="I729" s="237"/>
    </row>
    <row r="730" spans="1:9">
      <c r="A730" s="232">
        <f t="shared" si="49"/>
        <v>728</v>
      </c>
      <c r="B730" s="233">
        <v>45928</v>
      </c>
      <c r="C730" s="234">
        <v>165.36640399999999</v>
      </c>
      <c r="D730" s="235">
        <v>136.60125137702863</v>
      </c>
      <c r="E730" s="234">
        <f t="shared" si="50"/>
        <v>136.60125137702863</v>
      </c>
      <c r="F730" s="239"/>
      <c r="G730" s="188" t="str">
        <f t="shared" si="47"/>
        <v/>
      </c>
      <c r="H730" s="236" t="str">
        <f t="shared" si="48"/>
        <v/>
      </c>
      <c r="I730" s="237"/>
    </row>
    <row r="731" spans="1:9">
      <c r="A731" s="232">
        <f t="shared" si="49"/>
        <v>729</v>
      </c>
      <c r="B731" s="233">
        <v>45929</v>
      </c>
      <c r="C731" s="234">
        <v>189.04684700000001</v>
      </c>
      <c r="D731" s="235">
        <v>136.60125137702863</v>
      </c>
      <c r="E731" s="234">
        <f t="shared" si="50"/>
        <v>136.60125137702863</v>
      </c>
      <c r="F731" s="239"/>
      <c r="G731" s="188" t="str">
        <f t="shared" si="47"/>
        <v/>
      </c>
      <c r="H731" s="236" t="str">
        <f t="shared" si="48"/>
        <v/>
      </c>
      <c r="I731" s="237"/>
    </row>
    <row r="732" spans="1:9">
      <c r="A732" s="232">
        <f t="shared" si="49"/>
        <v>730</v>
      </c>
      <c r="B732" s="233">
        <v>45930</v>
      </c>
      <c r="C732" s="234">
        <v>94.274450000000002</v>
      </c>
      <c r="D732" s="235">
        <v>136.60125137702863</v>
      </c>
      <c r="E732" s="234">
        <f t="shared" si="50"/>
        <v>94.274450000000002</v>
      </c>
      <c r="F732" s="237"/>
      <c r="G732" s="188" t="str">
        <f t="shared" si="47"/>
        <v/>
      </c>
      <c r="H732" s="236" t="str">
        <f t="shared" si="48"/>
        <v/>
      </c>
      <c r="I732" s="237"/>
    </row>
    <row r="733" spans="1:9">
      <c r="A733" s="232">
        <f t="shared" si="49"/>
        <v>731</v>
      </c>
      <c r="B733" s="233">
        <v>45931</v>
      </c>
      <c r="C733" s="234">
        <v>84.649697000000003</v>
      </c>
      <c r="D733" s="235">
        <v>168.7527184226733</v>
      </c>
      <c r="E733" s="234">
        <f t="shared" si="50"/>
        <v>84.649697000000003</v>
      </c>
      <c r="F733" s="237"/>
      <c r="G733" s="188" t="str">
        <f t="shared" si="47"/>
        <v/>
      </c>
      <c r="H733" s="236" t="str">
        <f t="shared" si="48"/>
        <v/>
      </c>
      <c r="I733" s="237"/>
    </row>
    <row r="734" spans="1:9">
      <c r="A734" s="232">
        <f t="shared" si="49"/>
        <v>732</v>
      </c>
      <c r="B734" s="233">
        <v>45932</v>
      </c>
      <c r="C734" s="234">
        <v>53.629100999999999</v>
      </c>
      <c r="D734" s="235">
        <v>168.7527184226733</v>
      </c>
      <c r="E734" s="234">
        <f t="shared" si="50"/>
        <v>53.629100999999999</v>
      </c>
      <c r="F734" s="239"/>
      <c r="G734" s="188" t="str">
        <f t="shared" si="47"/>
        <v/>
      </c>
      <c r="H734" s="236" t="str">
        <f t="shared" si="48"/>
        <v/>
      </c>
      <c r="I734" s="237"/>
    </row>
    <row r="735" spans="1:9">
      <c r="A735" s="232">
        <f t="shared" si="49"/>
        <v>733</v>
      </c>
      <c r="B735" s="233">
        <v>45933</v>
      </c>
      <c r="C735" s="234">
        <v>45.242268000000003</v>
      </c>
      <c r="D735" s="235">
        <v>168.7527184226733</v>
      </c>
      <c r="E735" s="234">
        <f t="shared" si="50"/>
        <v>45.242268000000003</v>
      </c>
      <c r="F735" s="239"/>
      <c r="G735" s="188" t="str">
        <f t="shared" si="47"/>
        <v/>
      </c>
      <c r="H735" s="236" t="str">
        <f t="shared" si="48"/>
        <v/>
      </c>
      <c r="I735" s="237"/>
    </row>
    <row r="736" spans="1:9">
      <c r="A736" s="232">
        <f t="shared" si="49"/>
        <v>734</v>
      </c>
      <c r="B736" s="233">
        <v>45934</v>
      </c>
      <c r="C736" s="234">
        <v>124.304507</v>
      </c>
      <c r="D736" s="235">
        <v>168.7527184226733</v>
      </c>
      <c r="E736" s="234">
        <f t="shared" si="50"/>
        <v>124.304507</v>
      </c>
      <c r="F736" s="239"/>
      <c r="G736" s="188" t="str">
        <f t="shared" si="47"/>
        <v/>
      </c>
      <c r="H736" s="236" t="str">
        <f t="shared" si="48"/>
        <v/>
      </c>
      <c r="I736" s="237"/>
    </row>
    <row r="737" spans="1:9">
      <c r="A737" s="232">
        <f t="shared" si="49"/>
        <v>735</v>
      </c>
      <c r="B737" s="233">
        <v>45935</v>
      </c>
      <c r="C737" s="234">
        <v>210.966872</v>
      </c>
      <c r="D737" s="235">
        <v>168.7527184226733</v>
      </c>
      <c r="E737" s="234">
        <f t="shared" si="50"/>
        <v>168.7527184226733</v>
      </c>
      <c r="F737" s="239"/>
      <c r="G737" s="188" t="str">
        <f t="shared" si="47"/>
        <v/>
      </c>
      <c r="H737" s="236" t="str">
        <f t="shared" si="48"/>
        <v/>
      </c>
      <c r="I737" s="237"/>
    </row>
    <row r="738" spans="1:9">
      <c r="A738" s="232">
        <f t="shared" si="49"/>
        <v>736</v>
      </c>
      <c r="B738" s="233">
        <v>45936</v>
      </c>
      <c r="C738" s="234">
        <v>126.73768799999999</v>
      </c>
      <c r="D738" s="235">
        <v>168.7527184226733</v>
      </c>
      <c r="E738" s="234">
        <f t="shared" si="50"/>
        <v>126.73768799999999</v>
      </c>
      <c r="F738" s="239"/>
      <c r="G738" s="188" t="str">
        <f t="shared" si="47"/>
        <v/>
      </c>
      <c r="H738" s="236" t="str">
        <f t="shared" si="48"/>
        <v/>
      </c>
      <c r="I738" s="237"/>
    </row>
    <row r="739" spans="1:9">
      <c r="A739" s="232">
        <f t="shared" si="49"/>
        <v>737</v>
      </c>
      <c r="B739" s="233">
        <v>45937</v>
      </c>
      <c r="C739" s="234">
        <v>40.538199999999996</v>
      </c>
      <c r="D739" s="235">
        <v>168.7527184226733</v>
      </c>
      <c r="E739" s="234">
        <f t="shared" si="50"/>
        <v>40.538199999999996</v>
      </c>
      <c r="F739" s="239"/>
      <c r="G739" s="188" t="str">
        <f t="shared" si="47"/>
        <v/>
      </c>
      <c r="H739" s="236" t="str">
        <f t="shared" si="48"/>
        <v/>
      </c>
      <c r="I739" s="237"/>
    </row>
    <row r="740" spans="1:9">
      <c r="A740" s="232">
        <f t="shared" si="49"/>
        <v>738</v>
      </c>
      <c r="B740" s="233">
        <v>45938</v>
      </c>
      <c r="C740" s="234">
        <v>93.560396000000011</v>
      </c>
      <c r="D740" s="235">
        <v>168.7527184226733</v>
      </c>
      <c r="E740" s="234">
        <f t="shared" si="50"/>
        <v>93.560396000000011</v>
      </c>
      <c r="F740" s="239"/>
      <c r="G740" s="188" t="str">
        <f t="shared" si="47"/>
        <v/>
      </c>
      <c r="H740" s="236" t="str">
        <f t="shared" si="48"/>
        <v/>
      </c>
      <c r="I740" s="237"/>
    </row>
    <row r="741" spans="1:9">
      <c r="A741" s="232">
        <f t="shared" si="49"/>
        <v>739</v>
      </c>
      <c r="B741" s="233">
        <v>45939</v>
      </c>
      <c r="C741" s="234">
        <v>235.16798799999998</v>
      </c>
      <c r="D741" s="235">
        <v>168.7527184226733</v>
      </c>
      <c r="E741" s="234">
        <f t="shared" si="50"/>
        <v>168.7527184226733</v>
      </c>
      <c r="F741" s="239"/>
      <c r="G741" s="188" t="str">
        <f t="shared" si="47"/>
        <v/>
      </c>
      <c r="H741" s="236" t="str">
        <f t="shared" si="48"/>
        <v/>
      </c>
      <c r="I741" s="237"/>
    </row>
    <row r="742" spans="1:9">
      <c r="A742" s="232">
        <f t="shared" si="49"/>
        <v>740</v>
      </c>
      <c r="B742" s="233">
        <v>45940</v>
      </c>
      <c r="C742" s="234">
        <v>212.96832500000002</v>
      </c>
      <c r="D742" s="235">
        <v>168.7527184226733</v>
      </c>
      <c r="E742" s="234">
        <f t="shared" si="50"/>
        <v>168.7527184226733</v>
      </c>
      <c r="F742" s="239"/>
      <c r="G742" s="188" t="str">
        <f t="shared" si="47"/>
        <v/>
      </c>
      <c r="H742" s="236" t="str">
        <f t="shared" si="48"/>
        <v/>
      </c>
      <c r="I742" s="237"/>
    </row>
    <row r="743" spans="1:9">
      <c r="A743" s="232">
        <f t="shared" si="49"/>
        <v>741</v>
      </c>
      <c r="B743" s="233">
        <v>45941</v>
      </c>
      <c r="C743" s="234">
        <v>116.03569899999999</v>
      </c>
      <c r="D743" s="235">
        <v>168.7527184226733</v>
      </c>
      <c r="E743" s="234">
        <f t="shared" si="50"/>
        <v>116.03569899999999</v>
      </c>
      <c r="F743" s="239"/>
      <c r="G743" s="188" t="str">
        <f t="shared" si="47"/>
        <v/>
      </c>
      <c r="H743" s="236" t="str">
        <f t="shared" si="48"/>
        <v/>
      </c>
      <c r="I743" s="237"/>
    </row>
    <row r="744" spans="1:9">
      <c r="A744" s="232">
        <f t="shared" si="49"/>
        <v>742</v>
      </c>
      <c r="B744" s="233">
        <v>45942</v>
      </c>
      <c r="C744" s="234">
        <v>117.39425199999999</v>
      </c>
      <c r="D744" s="235">
        <v>168.7527184226733</v>
      </c>
      <c r="E744" s="234">
        <f t="shared" si="50"/>
        <v>117.39425199999999</v>
      </c>
      <c r="F744" s="239"/>
      <c r="G744" s="188" t="str">
        <f t="shared" si="47"/>
        <v/>
      </c>
      <c r="H744" s="236" t="str">
        <f t="shared" si="48"/>
        <v/>
      </c>
      <c r="I744" s="237"/>
    </row>
    <row r="745" spans="1:9">
      <c r="A745" s="232">
        <f t="shared" si="49"/>
        <v>743</v>
      </c>
      <c r="B745" s="233">
        <v>45943</v>
      </c>
      <c r="C745" s="234">
        <v>49.402464000000002</v>
      </c>
      <c r="D745" s="235">
        <v>168.7527184226733</v>
      </c>
      <c r="E745" s="234">
        <f t="shared" si="50"/>
        <v>49.402464000000002</v>
      </c>
      <c r="F745" s="239"/>
      <c r="G745" s="188" t="str">
        <f t="shared" si="47"/>
        <v/>
      </c>
      <c r="H745" s="236" t="str">
        <f t="shared" si="48"/>
        <v/>
      </c>
      <c r="I745" s="237"/>
    </row>
    <row r="746" spans="1:9">
      <c r="A746" s="232">
        <f t="shared" si="49"/>
        <v>744</v>
      </c>
      <c r="B746" s="233">
        <v>45944</v>
      </c>
      <c r="C746" s="234">
        <v>23.182852999999998</v>
      </c>
      <c r="D746" s="235">
        <v>168.7527184226733</v>
      </c>
      <c r="E746" s="234">
        <f t="shared" si="50"/>
        <v>23.182852999999998</v>
      </c>
      <c r="F746" s="239"/>
      <c r="G746" s="188" t="str">
        <f t="shared" si="47"/>
        <v/>
      </c>
      <c r="H746" s="236" t="str">
        <f t="shared" si="48"/>
        <v/>
      </c>
      <c r="I746" s="237"/>
    </row>
    <row r="747" spans="1:9">
      <c r="A747" s="232">
        <f t="shared" si="49"/>
        <v>745</v>
      </c>
      <c r="B747" s="233">
        <v>45945</v>
      </c>
      <c r="C747" s="234">
        <v>35.434694</v>
      </c>
      <c r="D747" s="235">
        <v>168.7527184226733</v>
      </c>
      <c r="E747" s="234">
        <f t="shared" si="50"/>
        <v>35.434694</v>
      </c>
      <c r="F747" s="239"/>
      <c r="G747" s="188" t="str">
        <f t="shared" si="47"/>
        <v>O</v>
      </c>
      <c r="H747" s="236" t="str">
        <f t="shared" si="48"/>
        <v>168,8</v>
      </c>
      <c r="I747" s="237"/>
    </row>
    <row r="748" spans="1:9">
      <c r="A748" s="232">
        <f t="shared" si="49"/>
        <v>746</v>
      </c>
      <c r="B748" s="233">
        <v>45946</v>
      </c>
      <c r="C748" s="234">
        <v>48.869900000000001</v>
      </c>
      <c r="D748" s="235">
        <v>168.7527184226733</v>
      </c>
      <c r="E748" s="234">
        <f t="shared" si="50"/>
        <v>48.869900000000001</v>
      </c>
      <c r="F748" s="239"/>
      <c r="G748" s="188" t="str">
        <f t="shared" si="47"/>
        <v/>
      </c>
      <c r="H748" s="236" t="str">
        <f t="shared" si="48"/>
        <v/>
      </c>
      <c r="I748" s="237"/>
    </row>
    <row r="749" spans="1:9">
      <c r="A749" s="232">
        <f t="shared" si="49"/>
        <v>747</v>
      </c>
      <c r="B749" s="233">
        <v>45947</v>
      </c>
      <c r="C749" s="234">
        <v>52.066099999999999</v>
      </c>
      <c r="D749" s="235">
        <v>168.7527184226733</v>
      </c>
      <c r="E749" s="234">
        <f t="shared" si="50"/>
        <v>52.066099999999999</v>
      </c>
      <c r="F749" s="239"/>
      <c r="G749" s="188" t="str">
        <f t="shared" si="47"/>
        <v/>
      </c>
      <c r="H749" s="236" t="str">
        <f t="shared" si="48"/>
        <v/>
      </c>
      <c r="I749" s="237"/>
    </row>
    <row r="750" spans="1:9">
      <c r="A750" s="232">
        <f t="shared" si="49"/>
        <v>748</v>
      </c>
      <c r="B750" s="233">
        <v>45948</v>
      </c>
      <c r="C750" s="234">
        <v>65.957599999999999</v>
      </c>
      <c r="D750" s="235">
        <v>168.7527184226733</v>
      </c>
      <c r="E750" s="234">
        <f t="shared" si="50"/>
        <v>65.957599999999999</v>
      </c>
      <c r="F750" s="239"/>
      <c r="G750" s="188" t="str">
        <f t="shared" si="47"/>
        <v/>
      </c>
      <c r="H750" s="236" t="str">
        <f t="shared" si="48"/>
        <v/>
      </c>
      <c r="I750" s="237"/>
    </row>
    <row r="751" spans="1:9">
      <c r="A751" s="232">
        <f t="shared" si="49"/>
        <v>749</v>
      </c>
      <c r="B751" s="233">
        <v>45949</v>
      </c>
      <c r="C751" s="234">
        <v>200.98719199999999</v>
      </c>
      <c r="D751" s="235">
        <v>168.7527184226733</v>
      </c>
      <c r="E751" s="234">
        <f t="shared" si="50"/>
        <v>168.7527184226733</v>
      </c>
      <c r="F751" s="239"/>
      <c r="G751" s="188" t="str">
        <f t="shared" si="47"/>
        <v/>
      </c>
      <c r="H751" s="236" t="str">
        <f t="shared" si="48"/>
        <v/>
      </c>
      <c r="I751" s="237"/>
    </row>
    <row r="752" spans="1:9">
      <c r="A752" s="232">
        <f t="shared" si="49"/>
        <v>750</v>
      </c>
      <c r="B752" s="233">
        <v>45950</v>
      </c>
      <c r="C752" s="234">
        <v>280.06186599999995</v>
      </c>
      <c r="D752" s="235">
        <v>168.7527184226733</v>
      </c>
      <c r="E752" s="234">
        <f t="shared" si="50"/>
        <v>168.7527184226733</v>
      </c>
      <c r="F752" s="239"/>
      <c r="G752" s="188" t="str">
        <f t="shared" si="47"/>
        <v/>
      </c>
      <c r="H752" s="236" t="str">
        <f t="shared" si="48"/>
        <v/>
      </c>
      <c r="I752" s="237"/>
    </row>
    <row r="753" spans="1:9">
      <c r="A753" s="232">
        <f t="shared" si="49"/>
        <v>751</v>
      </c>
      <c r="B753" s="233">
        <v>45951</v>
      </c>
      <c r="C753" s="234">
        <v>310.824208</v>
      </c>
      <c r="D753" s="235">
        <v>168.7527184226733</v>
      </c>
      <c r="E753" s="234">
        <f t="shared" si="50"/>
        <v>168.7527184226733</v>
      </c>
      <c r="F753" s="239"/>
      <c r="G753" s="188" t="str">
        <f t="shared" si="47"/>
        <v/>
      </c>
      <c r="H753" s="236" t="str">
        <f t="shared" si="48"/>
        <v/>
      </c>
      <c r="I753" s="237"/>
    </row>
    <row r="754" spans="1:9">
      <c r="A754" s="232">
        <f t="shared" si="49"/>
        <v>752</v>
      </c>
      <c r="B754" s="233">
        <v>45952</v>
      </c>
      <c r="C754" s="234">
        <v>344.10526699999997</v>
      </c>
      <c r="D754" s="235">
        <v>168.7527184226733</v>
      </c>
      <c r="E754" s="234">
        <f t="shared" si="50"/>
        <v>168.7527184226733</v>
      </c>
      <c r="F754" s="239"/>
      <c r="G754" s="188" t="str">
        <f t="shared" si="47"/>
        <v/>
      </c>
      <c r="H754" s="236" t="str">
        <f t="shared" si="48"/>
        <v/>
      </c>
      <c r="I754" s="237"/>
    </row>
    <row r="755" spans="1:9">
      <c r="A755" s="232">
        <f t="shared" si="49"/>
        <v>753</v>
      </c>
      <c r="B755" s="233">
        <v>45953</v>
      </c>
      <c r="C755" s="234">
        <v>316.08736100000004</v>
      </c>
      <c r="D755" s="235">
        <v>168.7527184226733</v>
      </c>
      <c r="E755" s="234">
        <f t="shared" si="50"/>
        <v>168.7527184226733</v>
      </c>
      <c r="F755" s="239"/>
      <c r="G755" s="188" t="str">
        <f t="shared" si="47"/>
        <v/>
      </c>
      <c r="H755" s="236" t="str">
        <f t="shared" si="48"/>
        <v/>
      </c>
      <c r="I755" s="237"/>
    </row>
    <row r="756" spans="1:9">
      <c r="A756" s="232">
        <f t="shared" si="49"/>
        <v>754</v>
      </c>
      <c r="B756" s="233">
        <v>45954</v>
      </c>
      <c r="C756" s="234">
        <v>123.39002499999999</v>
      </c>
      <c r="D756" s="235">
        <v>168.7527184226733</v>
      </c>
      <c r="E756" s="234">
        <f t="shared" si="50"/>
        <v>123.39002499999999</v>
      </c>
      <c r="F756" s="239"/>
      <c r="G756" s="188" t="str">
        <f t="shared" si="47"/>
        <v/>
      </c>
      <c r="H756" s="236" t="str">
        <f t="shared" si="48"/>
        <v/>
      </c>
      <c r="I756" s="237"/>
    </row>
    <row r="757" spans="1:9">
      <c r="A757" s="232">
        <f t="shared" si="49"/>
        <v>755</v>
      </c>
      <c r="B757" s="233">
        <v>45955</v>
      </c>
      <c r="C757" s="234">
        <v>117.10697499999999</v>
      </c>
      <c r="D757" s="235">
        <v>168.7527184226733</v>
      </c>
      <c r="E757" s="234">
        <f t="shared" si="50"/>
        <v>117.10697499999999</v>
      </c>
      <c r="F757" s="239"/>
      <c r="G757" s="188" t="str">
        <f t="shared" si="47"/>
        <v/>
      </c>
      <c r="H757" s="236" t="str">
        <f t="shared" si="48"/>
        <v/>
      </c>
      <c r="I757" s="237"/>
    </row>
    <row r="758" spans="1:9">
      <c r="A758" s="232">
        <f t="shared" si="49"/>
        <v>756</v>
      </c>
      <c r="B758" s="233">
        <v>45956</v>
      </c>
      <c r="C758" s="234">
        <v>200.18220500000001</v>
      </c>
      <c r="D758" s="235">
        <v>168.7527184226733</v>
      </c>
      <c r="E758" s="234">
        <f t="shared" si="50"/>
        <v>168.7527184226733</v>
      </c>
      <c r="F758" s="239"/>
      <c r="G758" s="188" t="str">
        <f t="shared" si="47"/>
        <v/>
      </c>
      <c r="H758" s="236" t="str">
        <f t="shared" si="48"/>
        <v/>
      </c>
      <c r="I758" s="237"/>
    </row>
    <row r="759" spans="1:9">
      <c r="A759" s="232">
        <f t="shared" si="49"/>
        <v>757</v>
      </c>
      <c r="B759" s="233">
        <v>45957</v>
      </c>
      <c r="C759" s="234">
        <v>111.653558</v>
      </c>
      <c r="D759" s="235">
        <v>168.7527184226733</v>
      </c>
      <c r="E759" s="234">
        <f t="shared" si="50"/>
        <v>111.653558</v>
      </c>
      <c r="F759" s="239"/>
      <c r="G759" s="188" t="str">
        <f t="shared" si="47"/>
        <v/>
      </c>
      <c r="H759" s="236" t="str">
        <f t="shared" si="48"/>
        <v/>
      </c>
      <c r="I759" s="237"/>
    </row>
    <row r="760" spans="1:9">
      <c r="A760" s="232">
        <f t="shared" si="49"/>
        <v>758</v>
      </c>
      <c r="B760" s="233">
        <v>45958</v>
      </c>
      <c r="C760" s="234">
        <v>95.499019000000004</v>
      </c>
      <c r="D760" s="235">
        <v>168.7527184226733</v>
      </c>
      <c r="E760" s="234">
        <f t="shared" si="50"/>
        <v>95.499019000000004</v>
      </c>
      <c r="F760" s="239"/>
      <c r="G760" s="188" t="str">
        <f t="shared" si="47"/>
        <v/>
      </c>
      <c r="H760" s="236" t="str">
        <f t="shared" si="48"/>
        <v/>
      </c>
      <c r="I760" s="237"/>
    </row>
    <row r="761" spans="1:9">
      <c r="A761" s="232">
        <f t="shared" si="49"/>
        <v>759</v>
      </c>
      <c r="B761" s="233">
        <v>45959</v>
      </c>
      <c r="C761" s="234">
        <v>166.5873</v>
      </c>
      <c r="D761" s="235">
        <v>168.7527184226733</v>
      </c>
      <c r="E761" s="234">
        <f t="shared" ref="E761:E762" si="51">IF(C761&gt;D761,D761,C761)</f>
        <v>166.5873</v>
      </c>
      <c r="F761" s="239"/>
      <c r="G761" s="188" t="str">
        <f t="shared" ref="G761:G762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36" t="str">
        <f t="shared" ref="H761:H762" si="53">IF(DAY($B761)=15,TEXT(D761,"#,0"),"")</f>
        <v/>
      </c>
      <c r="I761" s="237"/>
    </row>
    <row r="762" spans="1:9">
      <c r="A762" s="232">
        <f t="shared" si="49"/>
        <v>760</v>
      </c>
      <c r="B762" s="233">
        <v>45960</v>
      </c>
      <c r="C762" s="234">
        <v>175.28103099999998</v>
      </c>
      <c r="D762" s="235">
        <v>168.7527184226733</v>
      </c>
      <c r="E762" s="234">
        <f t="shared" si="51"/>
        <v>168.7527184226733</v>
      </c>
      <c r="F762" s="239"/>
      <c r="G762" s="188" t="str">
        <f t="shared" si="52"/>
        <v/>
      </c>
      <c r="H762" s="236" t="str">
        <f t="shared" si="53"/>
        <v/>
      </c>
      <c r="I762" s="237"/>
    </row>
    <row r="763" spans="1:9">
      <c r="A763" s="232">
        <f t="shared" si="49"/>
        <v>761</v>
      </c>
      <c r="B763" s="233">
        <v>45961</v>
      </c>
      <c r="C763" s="234">
        <v>253.798025</v>
      </c>
      <c r="D763" s="235">
        <v>168.7527184226733</v>
      </c>
      <c r="E763" s="234">
        <f t="shared" ref="E763" si="54">IF(C763&gt;D763,D763,C763)</f>
        <v>168.7527184226733</v>
      </c>
      <c r="F763" s="239"/>
      <c r="G763" s="188"/>
      <c r="H763" s="236"/>
      <c r="I763" s="237"/>
    </row>
    <row r="764" spans="1:9">
      <c r="B764" s="233"/>
      <c r="C764" s="234"/>
      <c r="D764" s="235"/>
      <c r="E764" s="234"/>
      <c r="F764" s="239"/>
      <c r="G764" s="188"/>
      <c r="H764" s="236"/>
      <c r="I764" s="237"/>
    </row>
    <row r="765" spans="1:9">
      <c r="B765" s="233"/>
      <c r="C765" s="234"/>
      <c r="D765" s="235"/>
      <c r="E765" s="234"/>
      <c r="F765" s="239"/>
      <c r="G765" s="188"/>
      <c r="H765" s="236"/>
      <c r="I765" s="237"/>
    </row>
    <row r="766" spans="1:9">
      <c r="B766" s="233"/>
      <c r="C766" s="234"/>
      <c r="D766" s="235"/>
      <c r="E766" s="234"/>
      <c r="F766" s="239"/>
      <c r="G766" s="188"/>
      <c r="H766" s="236"/>
      <c r="I766" s="237"/>
    </row>
    <row r="767" spans="1:9">
      <c r="B767" s="233"/>
      <c r="C767" s="234"/>
      <c r="D767" s="235"/>
      <c r="E767" s="234"/>
      <c r="F767" s="239"/>
      <c r="G767" s="188"/>
      <c r="H767" s="236"/>
      <c r="I767" s="237"/>
    </row>
    <row r="768" spans="1:9">
      <c r="B768" s="233"/>
      <c r="C768" s="234"/>
      <c r="D768" s="235"/>
      <c r="E768" s="234"/>
      <c r="F768" s="239"/>
      <c r="G768" s="188"/>
      <c r="H768" s="236"/>
      <c r="I768" s="237"/>
    </row>
    <row r="769" spans="2:9">
      <c r="B769" s="233"/>
      <c r="C769" s="234"/>
      <c r="D769" s="235"/>
      <c r="E769" s="234"/>
      <c r="F769" s="239"/>
      <c r="G769" s="188"/>
      <c r="H769" s="236"/>
      <c r="I769" s="237"/>
    </row>
    <row r="770" spans="2:9">
      <c r="B770" s="233"/>
      <c r="C770" s="234"/>
      <c r="D770" s="235"/>
      <c r="E770" s="234"/>
      <c r="F770" s="239"/>
      <c r="G770" s="188"/>
      <c r="H770" s="236"/>
      <c r="I770" s="237"/>
    </row>
    <row r="771" spans="2:9">
      <c r="B771" s="233"/>
      <c r="C771" s="234"/>
      <c r="D771" s="235"/>
      <c r="E771" s="234"/>
      <c r="F771" s="239"/>
      <c r="G771" s="188"/>
      <c r="H771" s="236"/>
      <c r="I771" s="237"/>
    </row>
    <row r="772" spans="2:9">
      <c r="B772" s="233"/>
      <c r="C772" s="234"/>
      <c r="D772" s="235"/>
      <c r="E772" s="234"/>
      <c r="F772" s="239"/>
      <c r="G772" s="188"/>
      <c r="H772" s="236"/>
      <c r="I772" s="237"/>
    </row>
    <row r="773" spans="2:9">
      <c r="B773" s="233"/>
      <c r="C773" s="234"/>
      <c r="D773" s="235"/>
      <c r="E773" s="234"/>
      <c r="F773" s="239"/>
      <c r="G773" s="188"/>
      <c r="H773" s="236"/>
      <c r="I773" s="237"/>
    </row>
    <row r="774" spans="2:9">
      <c r="B774" s="233"/>
      <c r="C774" s="234"/>
      <c r="D774" s="235"/>
      <c r="E774" s="234"/>
      <c r="F774" s="239"/>
      <c r="G774" s="188"/>
      <c r="H774" s="236"/>
      <c r="I774" s="237"/>
    </row>
    <row r="775" spans="2:9">
      <c r="B775" s="233"/>
      <c r="C775" s="234"/>
      <c r="D775" s="235"/>
      <c r="E775" s="234"/>
      <c r="F775" s="239"/>
      <c r="G775" s="188"/>
      <c r="H775" s="236"/>
      <c r="I775" s="237"/>
    </row>
    <row r="776" spans="2:9">
      <c r="B776" s="233"/>
      <c r="C776" s="234"/>
      <c r="D776" s="235"/>
      <c r="E776" s="234"/>
      <c r="F776" s="239"/>
      <c r="G776" s="188"/>
      <c r="H776" s="236"/>
      <c r="I776" s="237"/>
    </row>
    <row r="777" spans="2:9">
      <c r="B777" s="233"/>
      <c r="C777" s="234"/>
      <c r="D777" s="235"/>
      <c r="E777" s="234"/>
      <c r="F777" s="239"/>
      <c r="G777" s="188"/>
      <c r="H777" s="236"/>
      <c r="I777" s="237"/>
    </row>
    <row r="778" spans="2:9">
      <c r="B778" s="233"/>
      <c r="C778" s="234"/>
      <c r="D778" s="235"/>
      <c r="E778" s="234"/>
      <c r="F778" s="239"/>
      <c r="G778" s="188"/>
      <c r="H778" s="236"/>
      <c r="I778" s="237"/>
    </row>
    <row r="779" spans="2:9">
      <c r="B779" s="233"/>
      <c r="C779" s="234"/>
      <c r="D779" s="235"/>
      <c r="E779" s="234"/>
      <c r="F779" s="239"/>
      <c r="G779" s="188"/>
      <c r="H779" s="236"/>
      <c r="I779" s="237"/>
    </row>
    <row r="780" spans="2:9">
      <c r="B780" s="233"/>
      <c r="C780" s="234"/>
      <c r="D780" s="235"/>
      <c r="E780" s="234"/>
      <c r="F780" s="239"/>
      <c r="G780" s="188"/>
      <c r="H780" s="236"/>
      <c r="I780" s="237"/>
    </row>
    <row r="781" spans="2:9">
      <c r="B781" s="233"/>
      <c r="C781" s="234"/>
      <c r="D781" s="235"/>
      <c r="E781" s="234"/>
      <c r="F781" s="239"/>
      <c r="G781" s="188"/>
      <c r="H781" s="236"/>
      <c r="I781" s="237"/>
    </row>
    <row r="782" spans="2:9">
      <c r="B782" s="233"/>
      <c r="C782" s="234"/>
      <c r="D782" s="235"/>
      <c r="E782" s="234"/>
      <c r="F782" s="239"/>
      <c r="G782" s="188"/>
      <c r="H782" s="236"/>
      <c r="I782" s="237"/>
    </row>
    <row r="783" spans="2:9">
      <c r="B783" s="233"/>
      <c r="C783" s="234"/>
      <c r="D783" s="235"/>
      <c r="E783" s="234"/>
      <c r="F783" s="239"/>
      <c r="G783" s="188"/>
      <c r="H783" s="236"/>
      <c r="I783" s="237"/>
    </row>
    <row r="784" spans="2:9">
      <c r="B784" s="233"/>
      <c r="C784" s="234"/>
      <c r="D784" s="235"/>
      <c r="E784" s="234"/>
      <c r="F784" s="239"/>
      <c r="G784" s="188"/>
      <c r="H784" s="236"/>
      <c r="I784" s="237"/>
    </row>
    <row r="785" spans="2:9">
      <c r="B785" s="233"/>
      <c r="C785" s="234"/>
      <c r="D785" s="235"/>
      <c r="E785" s="234"/>
      <c r="F785" s="239"/>
      <c r="G785" s="188"/>
      <c r="H785" s="236"/>
      <c r="I785" s="237"/>
    </row>
    <row r="786" spans="2:9">
      <c r="B786" s="233"/>
      <c r="C786" s="234"/>
      <c r="D786" s="235"/>
      <c r="E786" s="234"/>
      <c r="F786" s="239"/>
      <c r="G786" s="188"/>
      <c r="H786" s="236"/>
      <c r="I786" s="237"/>
    </row>
    <row r="787" spans="2:9">
      <c r="B787" s="233"/>
      <c r="C787" s="234"/>
      <c r="D787" s="235"/>
      <c r="E787" s="234"/>
      <c r="F787" s="239"/>
      <c r="G787" s="188"/>
      <c r="H787" s="236"/>
      <c r="I787" s="237"/>
    </row>
    <row r="788" spans="2:9">
      <c r="B788" s="233"/>
      <c r="C788" s="234"/>
      <c r="D788" s="235"/>
      <c r="E788" s="234"/>
      <c r="F788" s="239"/>
      <c r="G788" s="188"/>
      <c r="H788" s="236"/>
      <c r="I788" s="237"/>
    </row>
    <row r="789" spans="2:9">
      <c r="B789" s="233"/>
      <c r="C789" s="234"/>
      <c r="D789" s="235"/>
      <c r="E789" s="234"/>
      <c r="F789" s="239"/>
      <c r="G789" s="188"/>
      <c r="H789" s="236"/>
      <c r="I789" s="237"/>
    </row>
    <row r="790" spans="2:9">
      <c r="B790" s="233"/>
      <c r="C790" s="234"/>
      <c r="D790" s="235"/>
      <c r="E790" s="234"/>
      <c r="F790" s="239"/>
      <c r="G790" s="188"/>
      <c r="H790" s="236"/>
      <c r="I790" s="237"/>
    </row>
    <row r="791" spans="2:9">
      <c r="B791" s="233"/>
      <c r="C791" s="234"/>
      <c r="D791" s="235"/>
      <c r="E791" s="234"/>
      <c r="F791" s="239"/>
      <c r="G791" s="188"/>
      <c r="H791" s="236"/>
      <c r="I791" s="237"/>
    </row>
    <row r="792" spans="2:9">
      <c r="B792" s="233"/>
      <c r="C792" s="234"/>
      <c r="D792" s="235"/>
      <c r="E792" s="234"/>
      <c r="F792" s="239"/>
      <c r="G792" s="188"/>
      <c r="H792" s="236"/>
      <c r="I792" s="237"/>
    </row>
    <row r="793" spans="2:9">
      <c r="B793" s="233"/>
      <c r="C793" s="234"/>
      <c r="D793" s="235"/>
      <c r="E793" s="234"/>
      <c r="F793" s="239"/>
      <c r="G793" s="188"/>
      <c r="H793" s="236"/>
      <c r="I793" s="237"/>
    </row>
    <row r="794" spans="2:9">
      <c r="B794" s="233"/>
      <c r="C794" s="234"/>
      <c r="D794" s="235"/>
      <c r="E794" s="234"/>
      <c r="F794" s="239"/>
      <c r="G794" s="188"/>
      <c r="H794" s="236"/>
      <c r="I794" s="237"/>
    </row>
    <row r="795" spans="2:9">
      <c r="B795" s="233"/>
      <c r="C795" s="234"/>
      <c r="D795" s="235"/>
      <c r="E795" s="234"/>
      <c r="F795" s="239"/>
      <c r="G795" s="188"/>
      <c r="H795" s="236"/>
      <c r="I795" s="237"/>
    </row>
    <row r="796" spans="2:9">
      <c r="B796" s="233"/>
      <c r="C796" s="234"/>
      <c r="D796" s="235"/>
      <c r="E796" s="234"/>
      <c r="F796" s="239"/>
      <c r="G796" s="188"/>
      <c r="H796" s="236"/>
      <c r="I796" s="237"/>
    </row>
    <row r="797" spans="2:9">
      <c r="B797" s="233"/>
      <c r="C797" s="234"/>
      <c r="D797" s="235"/>
      <c r="E797" s="234"/>
      <c r="F797" s="239"/>
      <c r="G797" s="188"/>
      <c r="H797" s="236"/>
      <c r="I797" s="237"/>
    </row>
    <row r="798" spans="2:9">
      <c r="B798" s="233"/>
      <c r="C798" s="234"/>
      <c r="D798" s="235"/>
      <c r="E798" s="234"/>
      <c r="F798" s="239"/>
      <c r="G798" s="188"/>
      <c r="H798" s="236"/>
      <c r="I798" s="237"/>
    </row>
    <row r="799" spans="2:9">
      <c r="B799" s="233"/>
      <c r="C799" s="234"/>
      <c r="D799" s="235"/>
      <c r="E799" s="234"/>
      <c r="F799" s="239"/>
      <c r="G799" s="188"/>
      <c r="H799" s="236"/>
      <c r="I799" s="237"/>
    </row>
    <row r="800" spans="2:9">
      <c r="B800" s="233"/>
      <c r="C800" s="234"/>
      <c r="D800" s="235"/>
      <c r="E800" s="234"/>
      <c r="F800" s="239"/>
      <c r="G800" s="188"/>
      <c r="H800" s="236"/>
      <c r="I800" s="237"/>
    </row>
    <row r="801" spans="2:9">
      <c r="B801" s="233"/>
      <c r="C801" s="234"/>
      <c r="D801" s="235"/>
      <c r="E801" s="234"/>
      <c r="F801" s="239"/>
      <c r="G801" s="188"/>
      <c r="H801" s="236"/>
      <c r="I801" s="237"/>
    </row>
    <row r="802" spans="2:9">
      <c r="B802" s="233"/>
      <c r="C802" s="234"/>
      <c r="D802" s="235"/>
      <c r="E802" s="234"/>
      <c r="F802" s="239"/>
      <c r="G802" s="188"/>
      <c r="H802" s="236"/>
      <c r="I802" s="237"/>
    </row>
    <row r="803" spans="2:9">
      <c r="B803" s="233"/>
      <c r="C803" s="234"/>
      <c r="D803" s="235"/>
      <c r="E803" s="234"/>
      <c r="F803" s="239"/>
      <c r="G803" s="188"/>
      <c r="H803" s="236"/>
      <c r="I803" s="237"/>
    </row>
    <row r="804" spans="2:9">
      <c r="B804" s="233"/>
      <c r="C804" s="234"/>
      <c r="D804" s="235"/>
      <c r="E804" s="234"/>
      <c r="F804" s="239"/>
      <c r="G804" s="188"/>
      <c r="H804" s="236"/>
      <c r="I804" s="237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topLeftCell="A736" zoomScale="96" zoomScaleNormal="96" workbookViewId="0">
      <selection activeCell="A762" sqref="A762:E763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57" t="s">
        <v>180</v>
      </c>
      <c r="D1" s="257" t="s">
        <v>181</v>
      </c>
    </row>
    <row r="2" spans="1:9">
      <c r="A2" s="232">
        <v>0</v>
      </c>
      <c r="B2" s="233">
        <v>45200</v>
      </c>
      <c r="C2" s="234">
        <v>130.432582</v>
      </c>
      <c r="D2" s="235">
        <v>79.14317577075542</v>
      </c>
      <c r="E2" s="234">
        <f>IF(C2&gt;D2,D2,C2)</f>
        <v>79.14317577075542</v>
      </c>
      <c r="F2" s="237">
        <f>YEAR(B2)</f>
        <v>2023</v>
      </c>
      <c r="G2" s="188"/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45201</v>
      </c>
      <c r="C3" s="234">
        <v>125.30426700000001</v>
      </c>
      <c r="D3" s="235">
        <v>79.14317577075542</v>
      </c>
      <c r="E3" s="234">
        <f>IF(C3&gt;D3,D3,C3)</f>
        <v>79.14317577075542</v>
      </c>
      <c r="F3" s="239"/>
      <c r="G3" s="188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" si="1">IF(DAY($B3)=15,TEXT(D3,"#,0"),"")</f>
        <v/>
      </c>
      <c r="I3" s="237"/>
    </row>
    <row r="4" spans="1:9">
      <c r="A4" s="232">
        <f t="shared" ref="A4:A67" si="2">+A3+1</f>
        <v>2</v>
      </c>
      <c r="B4" s="233">
        <v>45202</v>
      </c>
      <c r="C4" s="234">
        <v>118.45305400000001</v>
      </c>
      <c r="D4" s="235">
        <v>79.14317577075542</v>
      </c>
      <c r="E4" s="234">
        <f t="shared" ref="E4:E67" si="3">IF(C4&gt;D4,D4,C4)</f>
        <v>79.14317577075542</v>
      </c>
      <c r="F4" s="239"/>
      <c r="G4" s="188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36" t="str">
        <f t="shared" ref="H4:H67" si="5">IF(DAY($B4)=15,TEXT(D4,"#,0"),"")</f>
        <v/>
      </c>
      <c r="I4" s="237"/>
    </row>
    <row r="5" spans="1:9">
      <c r="A5" s="232">
        <f t="shared" si="2"/>
        <v>3</v>
      </c>
      <c r="B5" s="233">
        <v>45203</v>
      </c>
      <c r="C5" s="234">
        <v>120.91914999999999</v>
      </c>
      <c r="D5" s="235">
        <v>79.14317577075542</v>
      </c>
      <c r="E5" s="234">
        <f t="shared" si="3"/>
        <v>79.14317577075542</v>
      </c>
      <c r="F5" s="239"/>
      <c r="G5" s="188" t="str">
        <f t="shared" si="4"/>
        <v/>
      </c>
      <c r="H5" s="236" t="str">
        <f t="shared" si="5"/>
        <v/>
      </c>
      <c r="I5" s="237"/>
    </row>
    <row r="6" spans="1:9">
      <c r="A6" s="232">
        <f t="shared" si="2"/>
        <v>4</v>
      </c>
      <c r="B6" s="233">
        <v>45204</v>
      </c>
      <c r="C6" s="234">
        <v>122.44054399999999</v>
      </c>
      <c r="D6" s="235">
        <v>79.14317577075542</v>
      </c>
      <c r="E6" s="234">
        <f t="shared" si="3"/>
        <v>79.14317577075542</v>
      </c>
      <c r="F6" s="239"/>
      <c r="G6" s="188" t="str">
        <f t="shared" si="4"/>
        <v/>
      </c>
      <c r="H6" s="236" t="str">
        <f t="shared" si="5"/>
        <v/>
      </c>
      <c r="I6" s="237"/>
    </row>
    <row r="7" spans="1:9">
      <c r="A7" s="232">
        <f t="shared" si="2"/>
        <v>5</v>
      </c>
      <c r="B7" s="233">
        <v>45205</v>
      </c>
      <c r="C7" s="234">
        <v>119.07494500000001</v>
      </c>
      <c r="D7" s="235">
        <v>79.14317577075542</v>
      </c>
      <c r="E7" s="234">
        <f t="shared" si="3"/>
        <v>79.14317577075542</v>
      </c>
      <c r="F7" s="239"/>
      <c r="G7" s="188" t="str">
        <f t="shared" si="4"/>
        <v/>
      </c>
      <c r="H7" s="236" t="str">
        <f t="shared" si="5"/>
        <v/>
      </c>
      <c r="I7" s="237"/>
    </row>
    <row r="8" spans="1:9">
      <c r="A8" s="232">
        <f t="shared" si="2"/>
        <v>6</v>
      </c>
      <c r="B8" s="233">
        <v>45206</v>
      </c>
      <c r="C8" s="234">
        <v>115.845618</v>
      </c>
      <c r="D8" s="235">
        <v>79.14317577075542</v>
      </c>
      <c r="E8" s="234">
        <f t="shared" si="3"/>
        <v>79.14317577075542</v>
      </c>
      <c r="F8" s="239"/>
      <c r="G8" s="188" t="str">
        <f t="shared" si="4"/>
        <v/>
      </c>
      <c r="H8" s="236" t="str">
        <f t="shared" si="5"/>
        <v/>
      </c>
      <c r="I8" s="237"/>
    </row>
    <row r="9" spans="1:9">
      <c r="A9" s="232">
        <f t="shared" si="2"/>
        <v>7</v>
      </c>
      <c r="B9" s="233">
        <v>45207</v>
      </c>
      <c r="C9" s="234">
        <v>118.86214200000001</v>
      </c>
      <c r="D9" s="235">
        <v>79.14317577075542</v>
      </c>
      <c r="E9" s="234">
        <f t="shared" si="3"/>
        <v>79.14317577075542</v>
      </c>
      <c r="F9" s="239"/>
      <c r="G9" s="188" t="str">
        <f t="shared" si="4"/>
        <v/>
      </c>
      <c r="H9" s="236" t="str">
        <f t="shared" si="5"/>
        <v/>
      </c>
      <c r="I9" s="237"/>
    </row>
    <row r="10" spans="1:9">
      <c r="A10" s="232">
        <f t="shared" si="2"/>
        <v>8</v>
      </c>
      <c r="B10" s="233">
        <v>45208</v>
      </c>
      <c r="C10" s="234">
        <v>115.86609900000001</v>
      </c>
      <c r="D10" s="235">
        <v>79.14317577075542</v>
      </c>
      <c r="E10" s="234">
        <f t="shared" si="3"/>
        <v>79.14317577075542</v>
      </c>
      <c r="F10" s="239"/>
      <c r="G10" s="188" t="str">
        <f t="shared" si="4"/>
        <v/>
      </c>
      <c r="H10" s="236" t="str">
        <f t="shared" si="5"/>
        <v/>
      </c>
      <c r="I10" s="237"/>
    </row>
    <row r="11" spans="1:9">
      <c r="A11" s="232">
        <f t="shared" si="2"/>
        <v>9</v>
      </c>
      <c r="B11" s="233">
        <v>45209</v>
      </c>
      <c r="C11" s="234">
        <v>119.418666</v>
      </c>
      <c r="D11" s="235">
        <v>79.14317577075542</v>
      </c>
      <c r="E11" s="234">
        <f t="shared" si="3"/>
        <v>79.14317577075542</v>
      </c>
      <c r="F11" s="239"/>
      <c r="G11" s="188" t="str">
        <f t="shared" si="4"/>
        <v/>
      </c>
      <c r="H11" s="236" t="str">
        <f t="shared" si="5"/>
        <v/>
      </c>
      <c r="I11" s="237"/>
    </row>
    <row r="12" spans="1:9">
      <c r="A12" s="232">
        <f t="shared" si="2"/>
        <v>10</v>
      </c>
      <c r="B12" s="233">
        <v>45210</v>
      </c>
      <c r="C12" s="234">
        <v>120.81569999999999</v>
      </c>
      <c r="D12" s="235">
        <v>79.14317577075542</v>
      </c>
      <c r="E12" s="234">
        <f t="shared" si="3"/>
        <v>79.14317577075542</v>
      </c>
      <c r="F12" s="239"/>
      <c r="G12" s="188" t="str">
        <f t="shared" si="4"/>
        <v/>
      </c>
      <c r="H12" s="236" t="str">
        <f t="shared" si="5"/>
        <v/>
      </c>
      <c r="I12" s="237"/>
    </row>
    <row r="13" spans="1:9">
      <c r="A13" s="232">
        <f t="shared" si="2"/>
        <v>11</v>
      </c>
      <c r="B13" s="233">
        <v>45211</v>
      </c>
      <c r="C13" s="234">
        <v>117.755326</v>
      </c>
      <c r="D13" s="235">
        <v>79.14317577075542</v>
      </c>
      <c r="E13" s="234">
        <f t="shared" si="3"/>
        <v>79.14317577075542</v>
      </c>
      <c r="F13" s="239"/>
      <c r="G13" s="188" t="str">
        <f t="shared" si="4"/>
        <v/>
      </c>
      <c r="H13" s="236" t="str">
        <f t="shared" si="5"/>
        <v/>
      </c>
      <c r="I13" s="237"/>
    </row>
    <row r="14" spans="1:9">
      <c r="A14" s="232">
        <f t="shared" si="2"/>
        <v>12</v>
      </c>
      <c r="B14" s="233">
        <v>45212</v>
      </c>
      <c r="C14" s="234">
        <v>86.216619000000009</v>
      </c>
      <c r="D14" s="235">
        <v>79.14317577075542</v>
      </c>
      <c r="E14" s="234">
        <f t="shared" si="3"/>
        <v>79.14317577075542</v>
      </c>
      <c r="F14" s="239"/>
      <c r="G14" s="188" t="str">
        <f t="shared" si="4"/>
        <v/>
      </c>
      <c r="H14" s="236" t="str">
        <f t="shared" si="5"/>
        <v/>
      </c>
      <c r="I14" s="237"/>
    </row>
    <row r="15" spans="1:9">
      <c r="A15" s="232">
        <f t="shared" si="2"/>
        <v>13</v>
      </c>
      <c r="B15" s="233">
        <v>45213</v>
      </c>
      <c r="C15" s="234">
        <v>69.040951000000007</v>
      </c>
      <c r="D15" s="235">
        <v>79.14317577075542</v>
      </c>
      <c r="E15" s="234">
        <f t="shared" si="3"/>
        <v>69.040951000000007</v>
      </c>
      <c r="F15" s="239"/>
      <c r="G15" s="188" t="str">
        <f t="shared" si="4"/>
        <v/>
      </c>
      <c r="H15" s="236" t="str">
        <f t="shared" si="5"/>
        <v/>
      </c>
      <c r="I15" s="237"/>
    </row>
    <row r="16" spans="1:9">
      <c r="A16" s="232">
        <f t="shared" si="2"/>
        <v>14</v>
      </c>
      <c r="B16" s="233">
        <v>45214</v>
      </c>
      <c r="C16" s="234">
        <v>76.778490000000005</v>
      </c>
      <c r="D16" s="235">
        <v>79.14317577075542</v>
      </c>
      <c r="E16" s="234">
        <f t="shared" si="3"/>
        <v>76.778490000000005</v>
      </c>
      <c r="F16" s="239"/>
      <c r="G16" s="188" t="str">
        <f t="shared" si="4"/>
        <v>O</v>
      </c>
      <c r="H16" s="236" t="str">
        <f t="shared" si="5"/>
        <v>79,1</v>
      </c>
      <c r="I16" s="237"/>
    </row>
    <row r="17" spans="1:9">
      <c r="A17" s="232">
        <f t="shared" si="2"/>
        <v>15</v>
      </c>
      <c r="B17" s="233">
        <v>45215</v>
      </c>
      <c r="C17" s="234">
        <v>61.620069999999998</v>
      </c>
      <c r="D17" s="235">
        <v>79.14317577075542</v>
      </c>
      <c r="E17" s="234">
        <f t="shared" si="3"/>
        <v>61.620069999999998</v>
      </c>
      <c r="F17" s="239"/>
      <c r="G17" s="188" t="str">
        <f t="shared" si="4"/>
        <v/>
      </c>
      <c r="H17" s="236" t="str">
        <f t="shared" si="5"/>
        <v/>
      </c>
      <c r="I17" s="188"/>
    </row>
    <row r="18" spans="1:9">
      <c r="A18" s="232">
        <f t="shared" si="2"/>
        <v>16</v>
      </c>
      <c r="B18" s="233">
        <v>45216</v>
      </c>
      <c r="C18" s="234">
        <v>63.527481999999999</v>
      </c>
      <c r="D18" s="235">
        <v>79.14317577075542</v>
      </c>
      <c r="E18" s="234">
        <f t="shared" si="3"/>
        <v>63.527481999999999</v>
      </c>
      <c r="F18" s="239"/>
      <c r="G18" s="188" t="str">
        <f t="shared" si="4"/>
        <v/>
      </c>
      <c r="H18" s="236" t="str">
        <f t="shared" si="5"/>
        <v/>
      </c>
      <c r="I18" s="237"/>
    </row>
    <row r="19" spans="1:9">
      <c r="A19" s="232">
        <f t="shared" si="2"/>
        <v>17</v>
      </c>
      <c r="B19" s="233">
        <v>45217</v>
      </c>
      <c r="C19" s="234">
        <v>68.204227000000003</v>
      </c>
      <c r="D19" s="235">
        <v>79.14317577075542</v>
      </c>
      <c r="E19" s="234">
        <f t="shared" si="3"/>
        <v>68.204227000000003</v>
      </c>
      <c r="F19" s="239"/>
      <c r="G19" s="188" t="str">
        <f t="shared" si="4"/>
        <v/>
      </c>
      <c r="H19" s="236" t="str">
        <f t="shared" si="5"/>
        <v/>
      </c>
      <c r="I19" s="237"/>
    </row>
    <row r="20" spans="1:9">
      <c r="A20" s="232">
        <f t="shared" si="2"/>
        <v>18</v>
      </c>
      <c r="B20" s="233">
        <v>45218</v>
      </c>
      <c r="C20" s="234">
        <v>22.012518</v>
      </c>
      <c r="D20" s="235">
        <v>79.14317577075542</v>
      </c>
      <c r="E20" s="234">
        <f t="shared" si="3"/>
        <v>22.012518</v>
      </c>
      <c r="F20" s="239"/>
      <c r="G20" s="188" t="str">
        <f t="shared" si="4"/>
        <v/>
      </c>
      <c r="H20" s="236" t="str">
        <f t="shared" si="5"/>
        <v/>
      </c>
      <c r="I20" s="237"/>
    </row>
    <row r="21" spans="1:9">
      <c r="A21" s="232">
        <f t="shared" si="2"/>
        <v>19</v>
      </c>
      <c r="B21" s="233">
        <v>45219</v>
      </c>
      <c r="C21" s="234">
        <v>69.623384000000001</v>
      </c>
      <c r="D21" s="235">
        <v>79.14317577075542</v>
      </c>
      <c r="E21" s="234">
        <f t="shared" si="3"/>
        <v>69.623384000000001</v>
      </c>
      <c r="F21" s="239"/>
      <c r="G21" s="188" t="str">
        <f t="shared" si="4"/>
        <v/>
      </c>
      <c r="H21" s="236" t="str">
        <f t="shared" si="5"/>
        <v/>
      </c>
      <c r="I21" s="237"/>
    </row>
    <row r="22" spans="1:9">
      <c r="A22" s="232">
        <f t="shared" si="2"/>
        <v>20</v>
      </c>
      <c r="B22" s="233">
        <v>45220</v>
      </c>
      <c r="C22" s="234">
        <v>89.472590999999994</v>
      </c>
      <c r="D22" s="235">
        <v>79.14317577075542</v>
      </c>
      <c r="E22" s="234">
        <f t="shared" si="3"/>
        <v>79.14317577075542</v>
      </c>
      <c r="F22" s="239"/>
      <c r="G22" s="188" t="str">
        <f t="shared" si="4"/>
        <v/>
      </c>
      <c r="H22" s="236" t="str">
        <f t="shared" si="5"/>
        <v/>
      </c>
      <c r="I22" s="237"/>
    </row>
    <row r="23" spans="1:9">
      <c r="A23" s="232">
        <f t="shared" si="2"/>
        <v>21</v>
      </c>
      <c r="B23" s="233">
        <v>45221</v>
      </c>
      <c r="C23" s="234">
        <v>36.361680999999997</v>
      </c>
      <c r="D23" s="235">
        <v>79.14317577075542</v>
      </c>
      <c r="E23" s="234">
        <f t="shared" si="3"/>
        <v>36.361680999999997</v>
      </c>
      <c r="F23" s="239"/>
      <c r="G23" s="188" t="str">
        <f t="shared" si="4"/>
        <v/>
      </c>
      <c r="H23" s="236" t="str">
        <f t="shared" si="5"/>
        <v/>
      </c>
      <c r="I23" s="237"/>
    </row>
    <row r="24" spans="1:9">
      <c r="A24" s="232">
        <f t="shared" si="2"/>
        <v>22</v>
      </c>
      <c r="B24" s="233">
        <v>45222</v>
      </c>
      <c r="C24" s="234">
        <v>48.181832999999997</v>
      </c>
      <c r="D24" s="235">
        <v>79.14317577075542</v>
      </c>
      <c r="E24" s="234">
        <f t="shared" si="3"/>
        <v>48.181832999999997</v>
      </c>
      <c r="F24" s="239"/>
      <c r="G24" s="188" t="str">
        <f t="shared" si="4"/>
        <v/>
      </c>
      <c r="H24" s="236" t="str">
        <f t="shared" si="5"/>
        <v/>
      </c>
      <c r="I24" s="237"/>
    </row>
    <row r="25" spans="1:9">
      <c r="A25" s="232">
        <f t="shared" si="2"/>
        <v>23</v>
      </c>
      <c r="B25" s="233">
        <v>45223</v>
      </c>
      <c r="C25" s="234">
        <v>76.79440799999999</v>
      </c>
      <c r="D25" s="235">
        <v>79.14317577075542</v>
      </c>
      <c r="E25" s="234">
        <f t="shared" si="3"/>
        <v>76.79440799999999</v>
      </c>
      <c r="F25" s="239"/>
      <c r="G25" s="188" t="str">
        <f t="shared" si="4"/>
        <v/>
      </c>
      <c r="H25" s="236" t="str">
        <f t="shared" si="5"/>
        <v/>
      </c>
      <c r="I25" s="237"/>
    </row>
    <row r="26" spans="1:9">
      <c r="A26" s="232">
        <f t="shared" si="2"/>
        <v>24</v>
      </c>
      <c r="B26" s="233">
        <v>45224</v>
      </c>
      <c r="C26" s="234">
        <v>54.737656999999999</v>
      </c>
      <c r="D26" s="235">
        <v>79.14317577075542</v>
      </c>
      <c r="E26" s="234">
        <f t="shared" si="3"/>
        <v>54.737656999999999</v>
      </c>
      <c r="F26" s="239"/>
      <c r="G26" s="188" t="str">
        <f t="shared" si="4"/>
        <v/>
      </c>
      <c r="H26" s="236" t="str">
        <f t="shared" si="5"/>
        <v/>
      </c>
      <c r="I26" s="237"/>
    </row>
    <row r="27" spans="1:9">
      <c r="A27" s="232">
        <f t="shared" si="2"/>
        <v>25</v>
      </c>
      <c r="B27" s="233">
        <v>45225</v>
      </c>
      <c r="C27" s="234">
        <v>36.479742000000002</v>
      </c>
      <c r="D27" s="235">
        <v>79.14317577075542</v>
      </c>
      <c r="E27" s="234">
        <f t="shared" si="3"/>
        <v>36.479742000000002</v>
      </c>
      <c r="F27" s="239"/>
      <c r="G27" s="188" t="str">
        <f t="shared" si="4"/>
        <v/>
      </c>
      <c r="H27" s="236" t="str">
        <f t="shared" si="5"/>
        <v/>
      </c>
      <c r="I27" s="237"/>
    </row>
    <row r="28" spans="1:9">
      <c r="A28" s="232">
        <f t="shared" si="2"/>
        <v>26</v>
      </c>
      <c r="B28" s="233">
        <v>45226</v>
      </c>
      <c r="C28" s="234">
        <v>65.397288000000003</v>
      </c>
      <c r="D28" s="235">
        <v>79.14317577075542</v>
      </c>
      <c r="E28" s="234">
        <f t="shared" si="3"/>
        <v>65.397288000000003</v>
      </c>
      <c r="F28" s="239"/>
      <c r="G28" s="188" t="str">
        <f t="shared" si="4"/>
        <v/>
      </c>
      <c r="H28" s="236" t="str">
        <f t="shared" si="5"/>
        <v/>
      </c>
      <c r="I28" s="237"/>
    </row>
    <row r="29" spans="1:9">
      <c r="A29" s="232">
        <f t="shared" si="2"/>
        <v>27</v>
      </c>
      <c r="B29" s="233">
        <v>45227</v>
      </c>
      <c r="C29" s="234">
        <v>67.752014000000003</v>
      </c>
      <c r="D29" s="235">
        <v>79.14317577075542</v>
      </c>
      <c r="E29" s="234">
        <f t="shared" si="3"/>
        <v>67.752014000000003</v>
      </c>
      <c r="F29" s="239"/>
      <c r="G29" s="188" t="str">
        <f t="shared" si="4"/>
        <v/>
      </c>
      <c r="H29" s="236" t="str">
        <f t="shared" si="5"/>
        <v/>
      </c>
      <c r="I29" s="237"/>
    </row>
    <row r="30" spans="1:9">
      <c r="A30" s="232">
        <f t="shared" si="2"/>
        <v>28</v>
      </c>
      <c r="B30" s="233">
        <v>45228</v>
      </c>
      <c r="C30" s="234">
        <v>50.649194999999999</v>
      </c>
      <c r="D30" s="235">
        <v>79.14317577075542</v>
      </c>
      <c r="E30" s="234">
        <f t="shared" si="3"/>
        <v>50.649194999999999</v>
      </c>
      <c r="F30" s="239"/>
      <c r="G30" s="188" t="str">
        <f t="shared" si="4"/>
        <v/>
      </c>
      <c r="H30" s="236" t="str">
        <f t="shared" si="5"/>
        <v/>
      </c>
      <c r="I30" s="237"/>
    </row>
    <row r="31" spans="1:9">
      <c r="A31" s="232">
        <f t="shared" si="2"/>
        <v>29</v>
      </c>
      <c r="B31" s="233">
        <v>45229</v>
      </c>
      <c r="C31" s="234">
        <v>70.832736000000011</v>
      </c>
      <c r="D31" s="235">
        <v>79.14317577075542</v>
      </c>
      <c r="E31" s="234">
        <f t="shared" si="3"/>
        <v>70.832736000000011</v>
      </c>
      <c r="F31" s="239"/>
      <c r="G31" s="188" t="str">
        <f t="shared" si="4"/>
        <v/>
      </c>
      <c r="H31" s="236" t="str">
        <f t="shared" si="5"/>
        <v/>
      </c>
      <c r="I31" s="237"/>
    </row>
    <row r="32" spans="1:9">
      <c r="A32" s="232">
        <f t="shared" si="2"/>
        <v>30</v>
      </c>
      <c r="B32" s="233">
        <v>45230</v>
      </c>
      <c r="C32" s="234">
        <v>39.057870000000001</v>
      </c>
      <c r="D32" s="235">
        <v>79.14317577075542</v>
      </c>
      <c r="E32" s="234">
        <f t="shared" si="3"/>
        <v>39.057870000000001</v>
      </c>
      <c r="F32" s="239"/>
      <c r="G32" s="188" t="str">
        <f t="shared" si="4"/>
        <v/>
      </c>
      <c r="H32" s="236" t="str">
        <f t="shared" si="5"/>
        <v/>
      </c>
      <c r="I32" s="237"/>
    </row>
    <row r="33" spans="1:9">
      <c r="A33" s="232">
        <f t="shared" si="2"/>
        <v>31</v>
      </c>
      <c r="B33" s="233">
        <v>45231</v>
      </c>
      <c r="C33" s="234">
        <v>46.288249</v>
      </c>
      <c r="D33" s="235">
        <v>58.783394810876416</v>
      </c>
      <c r="E33" s="234">
        <f t="shared" si="3"/>
        <v>46.288249</v>
      </c>
      <c r="F33" s="237"/>
      <c r="G33" s="188" t="str">
        <f t="shared" si="4"/>
        <v/>
      </c>
      <c r="H33" s="236" t="str">
        <f t="shared" si="5"/>
        <v/>
      </c>
      <c r="I33" s="237"/>
    </row>
    <row r="34" spans="1:9">
      <c r="A34" s="232">
        <f t="shared" si="2"/>
        <v>32</v>
      </c>
      <c r="B34" s="233">
        <v>45232</v>
      </c>
      <c r="C34" s="234">
        <v>40.837874000000006</v>
      </c>
      <c r="D34" s="235">
        <v>58.783394810876416</v>
      </c>
      <c r="E34" s="234">
        <f t="shared" si="3"/>
        <v>40.837874000000006</v>
      </c>
      <c r="F34" s="239"/>
      <c r="G34" s="188" t="str">
        <f t="shared" si="4"/>
        <v/>
      </c>
      <c r="H34" s="236" t="str">
        <f t="shared" si="5"/>
        <v/>
      </c>
      <c r="I34" s="237"/>
    </row>
    <row r="35" spans="1:9">
      <c r="A35" s="232">
        <f t="shared" si="2"/>
        <v>33</v>
      </c>
      <c r="B35" s="233">
        <v>45233</v>
      </c>
      <c r="C35" s="234">
        <v>52.930858000000001</v>
      </c>
      <c r="D35" s="235">
        <v>58.783394810876416</v>
      </c>
      <c r="E35" s="234">
        <f t="shared" si="3"/>
        <v>52.930858000000001</v>
      </c>
      <c r="F35" s="239"/>
      <c r="G35" s="188" t="str">
        <f t="shared" si="4"/>
        <v/>
      </c>
      <c r="H35" s="236" t="str">
        <f t="shared" si="5"/>
        <v/>
      </c>
      <c r="I35" s="237"/>
    </row>
    <row r="36" spans="1:9">
      <c r="A36" s="232">
        <f t="shared" si="2"/>
        <v>34</v>
      </c>
      <c r="B36" s="233">
        <v>45234</v>
      </c>
      <c r="C36" s="234">
        <v>41.972282</v>
      </c>
      <c r="D36" s="235">
        <v>58.783394810876416</v>
      </c>
      <c r="E36" s="234">
        <f t="shared" si="3"/>
        <v>41.972282</v>
      </c>
      <c r="F36" s="239"/>
      <c r="G36" s="188" t="str">
        <f t="shared" si="4"/>
        <v/>
      </c>
      <c r="H36" s="236" t="str">
        <f t="shared" si="5"/>
        <v/>
      </c>
      <c r="I36" s="237"/>
    </row>
    <row r="37" spans="1:9">
      <c r="A37" s="232">
        <f t="shared" si="2"/>
        <v>35</v>
      </c>
      <c r="B37" s="233">
        <v>45235</v>
      </c>
      <c r="C37" s="234">
        <v>66.290897999999999</v>
      </c>
      <c r="D37" s="235">
        <v>58.783394810876416</v>
      </c>
      <c r="E37" s="234">
        <f t="shared" si="3"/>
        <v>58.783394810876416</v>
      </c>
      <c r="F37" s="239"/>
      <c r="G37" s="188" t="str">
        <f t="shared" si="4"/>
        <v/>
      </c>
      <c r="H37" s="236" t="str">
        <f t="shared" si="5"/>
        <v/>
      </c>
      <c r="I37" s="237"/>
    </row>
    <row r="38" spans="1:9">
      <c r="A38" s="232">
        <f t="shared" si="2"/>
        <v>36</v>
      </c>
      <c r="B38" s="233">
        <v>45236</v>
      </c>
      <c r="C38" s="234">
        <v>85.498978000000008</v>
      </c>
      <c r="D38" s="235">
        <v>58.783394810876416</v>
      </c>
      <c r="E38" s="234">
        <f t="shared" si="3"/>
        <v>58.783394810876416</v>
      </c>
      <c r="F38" s="239"/>
      <c r="G38" s="188" t="str">
        <f t="shared" si="4"/>
        <v/>
      </c>
      <c r="H38" s="236" t="str">
        <f t="shared" si="5"/>
        <v/>
      </c>
      <c r="I38" s="237"/>
    </row>
    <row r="39" spans="1:9">
      <c r="A39" s="232">
        <f t="shared" si="2"/>
        <v>37</v>
      </c>
      <c r="B39" s="233">
        <v>45237</v>
      </c>
      <c r="C39" s="234">
        <v>80.327264999999997</v>
      </c>
      <c r="D39" s="235">
        <v>58.783394810876416</v>
      </c>
      <c r="E39" s="234">
        <f t="shared" si="3"/>
        <v>58.783394810876416</v>
      </c>
      <c r="F39" s="239"/>
      <c r="G39" s="188" t="str">
        <f t="shared" si="4"/>
        <v/>
      </c>
      <c r="H39" s="236" t="str">
        <f t="shared" si="5"/>
        <v/>
      </c>
      <c r="I39" s="237"/>
    </row>
    <row r="40" spans="1:9">
      <c r="A40" s="232">
        <f t="shared" si="2"/>
        <v>38</v>
      </c>
      <c r="B40" s="233">
        <v>45238</v>
      </c>
      <c r="C40" s="234">
        <v>63.962266999999997</v>
      </c>
      <c r="D40" s="235">
        <v>58.783394810876416</v>
      </c>
      <c r="E40" s="234">
        <f t="shared" si="3"/>
        <v>58.783394810876416</v>
      </c>
      <c r="F40" s="239"/>
      <c r="G40" s="188" t="str">
        <f t="shared" si="4"/>
        <v/>
      </c>
      <c r="H40" s="236" t="str">
        <f t="shared" si="5"/>
        <v/>
      </c>
      <c r="I40" s="237"/>
    </row>
    <row r="41" spans="1:9">
      <c r="A41" s="232">
        <f t="shared" si="2"/>
        <v>39</v>
      </c>
      <c r="B41" s="233">
        <v>45239</v>
      </c>
      <c r="C41" s="234">
        <v>68.568135999999996</v>
      </c>
      <c r="D41" s="235">
        <v>58.783394810876416</v>
      </c>
      <c r="E41" s="234">
        <f t="shared" si="3"/>
        <v>58.783394810876416</v>
      </c>
      <c r="F41" s="239"/>
      <c r="G41" s="188" t="str">
        <f t="shared" si="4"/>
        <v/>
      </c>
      <c r="H41" s="236" t="str">
        <f t="shared" si="5"/>
        <v/>
      </c>
      <c r="I41" s="237"/>
    </row>
    <row r="42" spans="1:9">
      <c r="A42" s="232">
        <f t="shared" si="2"/>
        <v>40</v>
      </c>
      <c r="B42" s="233">
        <v>45240</v>
      </c>
      <c r="C42" s="234">
        <v>73.071536999999992</v>
      </c>
      <c r="D42" s="235">
        <v>58.783394810876416</v>
      </c>
      <c r="E42" s="234">
        <f t="shared" si="3"/>
        <v>58.783394810876416</v>
      </c>
      <c r="F42" s="239"/>
      <c r="G42" s="188" t="str">
        <f t="shared" si="4"/>
        <v/>
      </c>
      <c r="H42" s="236" t="str">
        <f t="shared" si="5"/>
        <v/>
      </c>
      <c r="I42" s="237"/>
    </row>
    <row r="43" spans="1:9">
      <c r="A43" s="232">
        <f t="shared" si="2"/>
        <v>41</v>
      </c>
      <c r="B43" s="233">
        <v>45241</v>
      </c>
      <c r="C43" s="234">
        <v>43.978161</v>
      </c>
      <c r="D43" s="235">
        <v>58.783394810876416</v>
      </c>
      <c r="E43" s="234">
        <f t="shared" si="3"/>
        <v>43.978161</v>
      </c>
      <c r="F43" s="239"/>
      <c r="G43" s="188" t="str">
        <f t="shared" si="4"/>
        <v/>
      </c>
      <c r="H43" s="236" t="str">
        <f t="shared" si="5"/>
        <v/>
      </c>
      <c r="I43" s="237"/>
    </row>
    <row r="44" spans="1:9">
      <c r="A44" s="232">
        <f t="shared" si="2"/>
        <v>42</v>
      </c>
      <c r="B44" s="233">
        <v>45242</v>
      </c>
      <c r="C44" s="234">
        <v>59.310703000000004</v>
      </c>
      <c r="D44" s="235">
        <v>58.783394810876416</v>
      </c>
      <c r="E44" s="234">
        <f t="shared" si="3"/>
        <v>58.783394810876416</v>
      </c>
      <c r="F44" s="239"/>
      <c r="G44" s="188" t="str">
        <f t="shared" si="4"/>
        <v/>
      </c>
      <c r="H44" s="236" t="str">
        <f t="shared" si="5"/>
        <v/>
      </c>
      <c r="I44" s="237"/>
    </row>
    <row r="45" spans="1:9">
      <c r="A45" s="232">
        <f t="shared" si="2"/>
        <v>43</v>
      </c>
      <c r="B45" s="233">
        <v>45243</v>
      </c>
      <c r="C45" s="234">
        <v>73.495080000000002</v>
      </c>
      <c r="D45" s="235">
        <v>58.783394810876416</v>
      </c>
      <c r="E45" s="234">
        <f t="shared" si="3"/>
        <v>58.783394810876416</v>
      </c>
      <c r="F45" s="239"/>
      <c r="G45" s="188" t="str">
        <f t="shared" si="4"/>
        <v/>
      </c>
      <c r="H45" s="236" t="str">
        <f t="shared" si="5"/>
        <v/>
      </c>
      <c r="I45" s="237"/>
    </row>
    <row r="46" spans="1:9">
      <c r="A46" s="232">
        <f t="shared" si="2"/>
        <v>44</v>
      </c>
      <c r="B46" s="233">
        <v>45244</v>
      </c>
      <c r="C46" s="234">
        <v>80.31173600000001</v>
      </c>
      <c r="D46" s="235">
        <v>58.783394810876416</v>
      </c>
      <c r="E46" s="234">
        <f t="shared" si="3"/>
        <v>58.783394810876416</v>
      </c>
      <c r="F46" s="239"/>
      <c r="G46" s="188" t="str">
        <f t="shared" si="4"/>
        <v/>
      </c>
      <c r="H46" s="236" t="str">
        <f t="shared" si="5"/>
        <v/>
      </c>
      <c r="I46" s="237"/>
    </row>
    <row r="47" spans="1:9">
      <c r="A47" s="232">
        <f t="shared" si="2"/>
        <v>45</v>
      </c>
      <c r="B47" s="233">
        <v>45245</v>
      </c>
      <c r="C47" s="234">
        <v>71.540275999999992</v>
      </c>
      <c r="D47" s="235">
        <v>58.783394810876416</v>
      </c>
      <c r="E47" s="234">
        <f t="shared" si="3"/>
        <v>58.783394810876416</v>
      </c>
      <c r="F47" s="239"/>
      <c r="G47" s="188" t="str">
        <f t="shared" si="4"/>
        <v>N</v>
      </c>
      <c r="H47" s="236" t="str">
        <f t="shared" si="5"/>
        <v>58,8</v>
      </c>
      <c r="I47" s="237"/>
    </row>
    <row r="48" spans="1:9">
      <c r="A48" s="232">
        <f t="shared" si="2"/>
        <v>46</v>
      </c>
      <c r="B48" s="233">
        <v>45246</v>
      </c>
      <c r="C48" s="234">
        <v>59.781014000000006</v>
      </c>
      <c r="D48" s="235">
        <v>58.783394810876416</v>
      </c>
      <c r="E48" s="234">
        <f t="shared" si="3"/>
        <v>58.783394810876416</v>
      </c>
      <c r="F48" s="239"/>
      <c r="G48" s="188" t="str">
        <f t="shared" si="4"/>
        <v/>
      </c>
      <c r="H48" s="236" t="str">
        <f t="shared" si="5"/>
        <v/>
      </c>
      <c r="I48" s="237"/>
    </row>
    <row r="49" spans="1:9">
      <c r="A49" s="232">
        <f t="shared" si="2"/>
        <v>47</v>
      </c>
      <c r="B49" s="233">
        <v>45247</v>
      </c>
      <c r="C49" s="234">
        <v>70.298204999999996</v>
      </c>
      <c r="D49" s="235">
        <v>58.783394810876416</v>
      </c>
      <c r="E49" s="234">
        <f t="shared" si="3"/>
        <v>58.783394810876416</v>
      </c>
      <c r="F49" s="239"/>
      <c r="G49" s="188" t="str">
        <f t="shared" si="4"/>
        <v/>
      </c>
      <c r="H49" s="236" t="str">
        <f t="shared" si="5"/>
        <v/>
      </c>
      <c r="I49" s="237"/>
    </row>
    <row r="50" spans="1:9">
      <c r="A50" s="232">
        <f t="shared" si="2"/>
        <v>48</v>
      </c>
      <c r="B50" s="233">
        <v>45248</v>
      </c>
      <c r="C50" s="234">
        <v>82.669778000000008</v>
      </c>
      <c r="D50" s="235">
        <v>58.783394810876416</v>
      </c>
      <c r="E50" s="234">
        <f t="shared" si="3"/>
        <v>58.783394810876416</v>
      </c>
      <c r="F50" s="239"/>
      <c r="G50" s="188" t="str">
        <f t="shared" si="4"/>
        <v/>
      </c>
      <c r="H50" s="236" t="str">
        <f t="shared" si="5"/>
        <v/>
      </c>
      <c r="I50" s="237"/>
    </row>
    <row r="51" spans="1:9">
      <c r="A51" s="232">
        <f t="shared" si="2"/>
        <v>49</v>
      </c>
      <c r="B51" s="233">
        <v>45249</v>
      </c>
      <c r="C51" s="234">
        <v>86.880585999999994</v>
      </c>
      <c r="D51" s="235">
        <v>58.783394810876416</v>
      </c>
      <c r="E51" s="234">
        <f t="shared" si="3"/>
        <v>58.783394810876416</v>
      </c>
      <c r="F51" s="239"/>
      <c r="G51" s="188" t="str">
        <f t="shared" si="4"/>
        <v/>
      </c>
      <c r="H51" s="236" t="str">
        <f t="shared" si="5"/>
        <v/>
      </c>
      <c r="I51" s="237"/>
    </row>
    <row r="52" spans="1:9">
      <c r="A52" s="232">
        <f t="shared" si="2"/>
        <v>50</v>
      </c>
      <c r="B52" s="233">
        <v>45250</v>
      </c>
      <c r="C52" s="234">
        <v>80.872427000000002</v>
      </c>
      <c r="D52" s="235">
        <v>58.783394810876416</v>
      </c>
      <c r="E52" s="234">
        <f t="shared" si="3"/>
        <v>58.783394810876416</v>
      </c>
      <c r="F52" s="239"/>
      <c r="G52" s="188" t="str">
        <f t="shared" si="4"/>
        <v/>
      </c>
      <c r="H52" s="236" t="str">
        <f t="shared" si="5"/>
        <v/>
      </c>
      <c r="I52" s="237"/>
    </row>
    <row r="53" spans="1:9">
      <c r="A53" s="232">
        <f t="shared" si="2"/>
        <v>51</v>
      </c>
      <c r="B53" s="233">
        <v>45251</v>
      </c>
      <c r="C53" s="234">
        <v>72.541214000000011</v>
      </c>
      <c r="D53" s="235">
        <v>58.783394810876416</v>
      </c>
      <c r="E53" s="234">
        <f t="shared" si="3"/>
        <v>58.783394810876416</v>
      </c>
      <c r="F53" s="239"/>
      <c r="G53" s="188" t="str">
        <f t="shared" si="4"/>
        <v/>
      </c>
      <c r="H53" s="236" t="str">
        <f t="shared" si="5"/>
        <v/>
      </c>
      <c r="I53" s="237"/>
    </row>
    <row r="54" spans="1:9">
      <c r="A54" s="232">
        <f t="shared" si="2"/>
        <v>52</v>
      </c>
      <c r="B54" s="233">
        <v>45252</v>
      </c>
      <c r="C54" s="234">
        <v>81.340116000000009</v>
      </c>
      <c r="D54" s="235">
        <v>58.783394810876416</v>
      </c>
      <c r="E54" s="234">
        <f t="shared" si="3"/>
        <v>58.783394810876416</v>
      </c>
      <c r="F54" s="239"/>
      <c r="G54" s="188" t="str">
        <f t="shared" si="4"/>
        <v/>
      </c>
      <c r="H54" s="236" t="str">
        <f t="shared" si="5"/>
        <v/>
      </c>
      <c r="I54" s="237"/>
    </row>
    <row r="55" spans="1:9">
      <c r="A55" s="232">
        <f t="shared" si="2"/>
        <v>53</v>
      </c>
      <c r="B55" s="233">
        <v>45253</v>
      </c>
      <c r="C55" s="234">
        <v>89.022942000000015</v>
      </c>
      <c r="D55" s="235">
        <v>58.783394810876416</v>
      </c>
      <c r="E55" s="234">
        <f t="shared" si="3"/>
        <v>58.783394810876416</v>
      </c>
      <c r="F55" s="239"/>
      <c r="G55" s="188" t="str">
        <f t="shared" si="4"/>
        <v/>
      </c>
      <c r="H55" s="236" t="str">
        <f t="shared" si="5"/>
        <v/>
      </c>
      <c r="I55" s="237"/>
    </row>
    <row r="56" spans="1:9">
      <c r="A56" s="232">
        <f t="shared" si="2"/>
        <v>54</v>
      </c>
      <c r="B56" s="233">
        <v>45254</v>
      </c>
      <c r="C56" s="234">
        <v>91.742438000000007</v>
      </c>
      <c r="D56" s="235">
        <v>58.783394810876416</v>
      </c>
      <c r="E56" s="234">
        <f t="shared" si="3"/>
        <v>58.783394810876416</v>
      </c>
      <c r="F56" s="239"/>
      <c r="G56" s="188" t="str">
        <f t="shared" si="4"/>
        <v/>
      </c>
      <c r="H56" s="236" t="str">
        <f t="shared" si="5"/>
        <v/>
      </c>
      <c r="I56" s="237"/>
    </row>
    <row r="57" spans="1:9">
      <c r="A57" s="232">
        <f t="shared" si="2"/>
        <v>55</v>
      </c>
      <c r="B57" s="233">
        <v>45255</v>
      </c>
      <c r="C57" s="234">
        <v>82.709311</v>
      </c>
      <c r="D57" s="235">
        <v>58.783394810876416</v>
      </c>
      <c r="E57" s="234">
        <f t="shared" si="3"/>
        <v>58.783394810876416</v>
      </c>
      <c r="F57" s="239"/>
      <c r="G57" s="188" t="str">
        <f t="shared" si="4"/>
        <v/>
      </c>
      <c r="H57" s="236" t="str">
        <f t="shared" si="5"/>
        <v/>
      </c>
      <c r="I57" s="237"/>
    </row>
    <row r="58" spans="1:9">
      <c r="A58" s="232">
        <f t="shared" si="2"/>
        <v>56</v>
      </c>
      <c r="B58" s="233">
        <v>45256</v>
      </c>
      <c r="C58" s="234">
        <v>75.970869999999991</v>
      </c>
      <c r="D58" s="235">
        <v>58.783394810876416</v>
      </c>
      <c r="E58" s="234">
        <f t="shared" si="3"/>
        <v>58.783394810876416</v>
      </c>
      <c r="F58" s="239"/>
      <c r="G58" s="188" t="str">
        <f t="shared" si="4"/>
        <v/>
      </c>
      <c r="H58" s="236" t="str">
        <f t="shared" si="5"/>
        <v/>
      </c>
      <c r="I58" s="237"/>
    </row>
    <row r="59" spans="1:9">
      <c r="A59" s="232">
        <f t="shared" si="2"/>
        <v>57</v>
      </c>
      <c r="B59" s="233">
        <v>45257</v>
      </c>
      <c r="C59" s="234">
        <v>55.906965</v>
      </c>
      <c r="D59" s="235">
        <v>58.783394810876416</v>
      </c>
      <c r="E59" s="234">
        <f t="shared" si="3"/>
        <v>55.906965</v>
      </c>
      <c r="F59" s="239"/>
      <c r="G59" s="188" t="str">
        <f t="shared" si="4"/>
        <v/>
      </c>
      <c r="H59" s="236" t="str">
        <f t="shared" si="5"/>
        <v/>
      </c>
      <c r="I59" s="237"/>
    </row>
    <row r="60" spans="1:9">
      <c r="A60" s="232">
        <f t="shared" si="2"/>
        <v>58</v>
      </c>
      <c r="B60" s="233">
        <v>45258</v>
      </c>
      <c r="C60" s="234">
        <v>29.955693</v>
      </c>
      <c r="D60" s="235">
        <v>58.783394810876416</v>
      </c>
      <c r="E60" s="234">
        <f t="shared" si="3"/>
        <v>29.955693</v>
      </c>
      <c r="F60" s="239"/>
      <c r="G60" s="188" t="str">
        <f t="shared" si="4"/>
        <v/>
      </c>
      <c r="H60" s="236" t="str">
        <f t="shared" si="5"/>
        <v/>
      </c>
      <c r="I60" s="237"/>
    </row>
    <row r="61" spans="1:9">
      <c r="A61" s="232">
        <f t="shared" si="2"/>
        <v>59</v>
      </c>
      <c r="B61" s="233">
        <v>45259</v>
      </c>
      <c r="C61" s="234">
        <v>35.317715</v>
      </c>
      <c r="D61" s="235">
        <v>58.783394810876416</v>
      </c>
      <c r="E61" s="234">
        <f t="shared" si="3"/>
        <v>35.317715</v>
      </c>
      <c r="F61" s="239"/>
      <c r="G61" s="188" t="str">
        <f t="shared" si="4"/>
        <v/>
      </c>
      <c r="H61" s="236" t="str">
        <f t="shared" si="5"/>
        <v/>
      </c>
      <c r="I61" s="237"/>
    </row>
    <row r="62" spans="1:9">
      <c r="A62" s="232">
        <f t="shared" si="2"/>
        <v>60</v>
      </c>
      <c r="B62" s="233">
        <v>45260</v>
      </c>
      <c r="C62" s="234">
        <v>25.651702</v>
      </c>
      <c r="D62" s="235">
        <v>58.783394810876416</v>
      </c>
      <c r="E62" s="234">
        <f t="shared" si="3"/>
        <v>25.651702</v>
      </c>
      <c r="F62" s="239"/>
      <c r="G62" s="188" t="str">
        <f t="shared" si="4"/>
        <v/>
      </c>
      <c r="H62" s="236" t="str">
        <f t="shared" si="5"/>
        <v/>
      </c>
      <c r="I62" s="237"/>
    </row>
    <row r="63" spans="1:9">
      <c r="A63" s="232">
        <f t="shared" si="2"/>
        <v>61</v>
      </c>
      <c r="B63" s="233">
        <v>45261</v>
      </c>
      <c r="C63" s="234">
        <v>47.024774000000001</v>
      </c>
      <c r="D63" s="235">
        <v>49.712879705084134</v>
      </c>
      <c r="E63" s="234">
        <f t="shared" si="3"/>
        <v>47.024774000000001</v>
      </c>
      <c r="F63" s="237"/>
      <c r="G63" s="188" t="str">
        <f t="shared" si="4"/>
        <v/>
      </c>
      <c r="H63" s="236" t="str">
        <f t="shared" si="5"/>
        <v/>
      </c>
      <c r="I63" s="237"/>
    </row>
    <row r="64" spans="1:9">
      <c r="A64" s="232">
        <f t="shared" si="2"/>
        <v>62</v>
      </c>
      <c r="B64" s="233">
        <v>45262</v>
      </c>
      <c r="C64" s="234">
        <v>72.391619999999989</v>
      </c>
      <c r="D64" s="235">
        <v>49.712879705084134</v>
      </c>
      <c r="E64" s="234">
        <f t="shared" si="3"/>
        <v>49.712879705084134</v>
      </c>
      <c r="F64" s="239"/>
      <c r="G64" s="188" t="str">
        <f t="shared" si="4"/>
        <v/>
      </c>
      <c r="H64" s="236" t="str">
        <f t="shared" si="5"/>
        <v/>
      </c>
      <c r="I64" s="237"/>
    </row>
    <row r="65" spans="1:9">
      <c r="A65" s="232">
        <f t="shared" si="2"/>
        <v>63</v>
      </c>
      <c r="B65" s="233">
        <v>45263</v>
      </c>
      <c r="C65" s="234">
        <v>66.101892000000007</v>
      </c>
      <c r="D65" s="235">
        <v>49.712879705084134</v>
      </c>
      <c r="E65" s="234">
        <f t="shared" si="3"/>
        <v>49.712879705084134</v>
      </c>
      <c r="F65" s="239"/>
      <c r="G65" s="188" t="str">
        <f t="shared" si="4"/>
        <v/>
      </c>
      <c r="H65" s="236" t="str">
        <f t="shared" si="5"/>
        <v/>
      </c>
      <c r="I65" s="237"/>
    </row>
    <row r="66" spans="1:9">
      <c r="A66" s="232">
        <f t="shared" si="2"/>
        <v>64</v>
      </c>
      <c r="B66" s="233">
        <v>45264</v>
      </c>
      <c r="C66" s="234">
        <v>32.806052000000001</v>
      </c>
      <c r="D66" s="235">
        <v>49.712879705084134</v>
      </c>
      <c r="E66" s="234">
        <f t="shared" si="3"/>
        <v>32.806052000000001</v>
      </c>
      <c r="F66" s="239"/>
      <c r="G66" s="188" t="str">
        <f t="shared" si="4"/>
        <v/>
      </c>
      <c r="H66" s="236" t="str">
        <f t="shared" si="5"/>
        <v/>
      </c>
      <c r="I66" s="237"/>
    </row>
    <row r="67" spans="1:9">
      <c r="A67" s="232">
        <f t="shared" si="2"/>
        <v>65</v>
      </c>
      <c r="B67" s="233">
        <v>45265</v>
      </c>
      <c r="C67" s="234">
        <v>38.519732000000005</v>
      </c>
      <c r="D67" s="235">
        <v>49.712879705084134</v>
      </c>
      <c r="E67" s="234">
        <f t="shared" si="3"/>
        <v>38.519732000000005</v>
      </c>
      <c r="F67" s="239"/>
      <c r="G67" s="188" t="str">
        <f t="shared" si="4"/>
        <v/>
      </c>
      <c r="H67" s="236" t="str">
        <f t="shared" si="5"/>
        <v/>
      </c>
      <c r="I67" s="237"/>
    </row>
    <row r="68" spans="1:9">
      <c r="A68" s="232">
        <f t="shared" ref="A68:A131" si="6">+A67+1</f>
        <v>66</v>
      </c>
      <c r="B68" s="233">
        <v>45266</v>
      </c>
      <c r="C68" s="234">
        <v>40.338355999999997</v>
      </c>
      <c r="D68" s="235">
        <v>49.712879705084134</v>
      </c>
      <c r="E68" s="234">
        <f t="shared" ref="E68:E131" si="7">IF(C68&gt;D68,D68,C68)</f>
        <v>40.338355999999997</v>
      </c>
      <c r="F68" s="239"/>
      <c r="G68" s="188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36" t="str">
        <f t="shared" ref="H68:H131" si="9">IF(DAY($B68)=15,TEXT(D68,"#,0"),"")</f>
        <v/>
      </c>
      <c r="I68" s="237"/>
    </row>
    <row r="69" spans="1:9">
      <c r="A69" s="232">
        <f t="shared" si="6"/>
        <v>67</v>
      </c>
      <c r="B69" s="233">
        <v>45267</v>
      </c>
      <c r="C69" s="234">
        <v>32.601993999999998</v>
      </c>
      <c r="D69" s="235">
        <v>49.712879705084134</v>
      </c>
      <c r="E69" s="234">
        <f t="shared" si="7"/>
        <v>32.601993999999998</v>
      </c>
      <c r="F69" s="239"/>
      <c r="G69" s="188" t="str">
        <f t="shared" si="8"/>
        <v/>
      </c>
      <c r="H69" s="236" t="str">
        <f t="shared" si="9"/>
        <v/>
      </c>
      <c r="I69" s="237"/>
    </row>
    <row r="70" spans="1:9">
      <c r="A70" s="232">
        <f t="shared" si="6"/>
        <v>68</v>
      </c>
      <c r="B70" s="233">
        <v>45268</v>
      </c>
      <c r="C70" s="234">
        <v>51.204957999999998</v>
      </c>
      <c r="D70" s="235">
        <v>49.712879705084134</v>
      </c>
      <c r="E70" s="234">
        <f t="shared" si="7"/>
        <v>49.712879705084134</v>
      </c>
      <c r="F70" s="239"/>
      <c r="G70" s="188" t="str">
        <f t="shared" si="8"/>
        <v/>
      </c>
      <c r="H70" s="236" t="str">
        <f t="shared" si="9"/>
        <v/>
      </c>
      <c r="I70" s="237"/>
    </row>
    <row r="71" spans="1:9">
      <c r="A71" s="232">
        <f t="shared" si="6"/>
        <v>69</v>
      </c>
      <c r="B71" s="233">
        <v>45269</v>
      </c>
      <c r="C71" s="234">
        <v>42.002099000000001</v>
      </c>
      <c r="D71" s="235">
        <v>49.712879705084134</v>
      </c>
      <c r="E71" s="234">
        <f t="shared" si="7"/>
        <v>42.002099000000001</v>
      </c>
      <c r="F71" s="239"/>
      <c r="G71" s="188" t="str">
        <f t="shared" si="8"/>
        <v/>
      </c>
      <c r="H71" s="236" t="str">
        <f t="shared" si="9"/>
        <v/>
      </c>
      <c r="I71" s="237"/>
    </row>
    <row r="72" spans="1:9">
      <c r="A72" s="232">
        <f t="shared" si="6"/>
        <v>70</v>
      </c>
      <c r="B72" s="233">
        <v>45270</v>
      </c>
      <c r="C72" s="234">
        <v>44.956557000000004</v>
      </c>
      <c r="D72" s="235">
        <v>49.712879705084134</v>
      </c>
      <c r="E72" s="234">
        <f t="shared" si="7"/>
        <v>44.956557000000004</v>
      </c>
      <c r="F72" s="239"/>
      <c r="G72" s="188" t="str">
        <f t="shared" si="8"/>
        <v/>
      </c>
      <c r="H72" s="236" t="str">
        <f t="shared" si="9"/>
        <v/>
      </c>
      <c r="I72" s="237"/>
    </row>
    <row r="73" spans="1:9">
      <c r="A73" s="232">
        <f t="shared" si="6"/>
        <v>71</v>
      </c>
      <c r="B73" s="233">
        <v>45271</v>
      </c>
      <c r="C73" s="234">
        <v>58.690300000000001</v>
      </c>
      <c r="D73" s="235">
        <v>49.712879705084134</v>
      </c>
      <c r="E73" s="234">
        <f t="shared" si="7"/>
        <v>49.712879705084134</v>
      </c>
      <c r="F73" s="239"/>
      <c r="G73" s="188" t="str">
        <f t="shared" si="8"/>
        <v/>
      </c>
      <c r="H73" s="236" t="str">
        <f t="shared" si="9"/>
        <v/>
      </c>
      <c r="I73" s="237"/>
    </row>
    <row r="74" spans="1:9">
      <c r="A74" s="232">
        <f t="shared" si="6"/>
        <v>72</v>
      </c>
      <c r="B74" s="233">
        <v>45272</v>
      </c>
      <c r="C74" s="234">
        <v>47.111885999999998</v>
      </c>
      <c r="D74" s="235">
        <v>49.712879705084134</v>
      </c>
      <c r="E74" s="234">
        <f t="shared" si="7"/>
        <v>47.111885999999998</v>
      </c>
      <c r="F74" s="239"/>
      <c r="G74" s="188" t="str">
        <f t="shared" si="8"/>
        <v/>
      </c>
      <c r="H74" s="236" t="str">
        <f t="shared" si="9"/>
        <v/>
      </c>
      <c r="I74" s="237"/>
    </row>
    <row r="75" spans="1:9">
      <c r="A75" s="232">
        <f t="shared" si="6"/>
        <v>73</v>
      </c>
      <c r="B75" s="233">
        <v>45273</v>
      </c>
      <c r="C75" s="234">
        <v>48.781883999999998</v>
      </c>
      <c r="D75" s="235">
        <v>49.712879705084134</v>
      </c>
      <c r="E75" s="234">
        <f t="shared" si="7"/>
        <v>48.781883999999998</v>
      </c>
      <c r="F75" s="239"/>
      <c r="G75" s="188" t="str">
        <f t="shared" si="8"/>
        <v/>
      </c>
      <c r="H75" s="236" t="str">
        <f t="shared" si="9"/>
        <v/>
      </c>
      <c r="I75" s="237"/>
    </row>
    <row r="76" spans="1:9">
      <c r="A76" s="232">
        <f t="shared" si="6"/>
        <v>74</v>
      </c>
      <c r="B76" s="233">
        <v>45274</v>
      </c>
      <c r="C76" s="234">
        <v>80.165981999999985</v>
      </c>
      <c r="D76" s="235">
        <v>49.712879705084134</v>
      </c>
      <c r="E76" s="234">
        <f t="shared" si="7"/>
        <v>49.712879705084134</v>
      </c>
      <c r="F76" s="239"/>
      <c r="G76" s="188" t="str">
        <f t="shared" si="8"/>
        <v/>
      </c>
      <c r="H76" s="236" t="str">
        <f t="shared" si="9"/>
        <v/>
      </c>
      <c r="I76" s="237"/>
    </row>
    <row r="77" spans="1:9">
      <c r="A77" s="232">
        <f t="shared" si="6"/>
        <v>75</v>
      </c>
      <c r="B77" s="233">
        <v>45275</v>
      </c>
      <c r="C77" s="234">
        <v>81.865934999999993</v>
      </c>
      <c r="D77" s="235">
        <v>49.712879705084134</v>
      </c>
      <c r="E77" s="234">
        <f t="shared" si="7"/>
        <v>49.712879705084134</v>
      </c>
      <c r="F77" s="239"/>
      <c r="G77" s="188" t="str">
        <f t="shared" si="8"/>
        <v>D</v>
      </c>
      <c r="H77" s="236" t="str">
        <f t="shared" si="9"/>
        <v>49,7</v>
      </c>
      <c r="I77" s="237"/>
    </row>
    <row r="78" spans="1:9">
      <c r="A78" s="232">
        <f t="shared" si="6"/>
        <v>76</v>
      </c>
      <c r="B78" s="233">
        <v>45276</v>
      </c>
      <c r="C78" s="234">
        <v>82.034505999999993</v>
      </c>
      <c r="D78" s="235">
        <v>49.712879705084134</v>
      </c>
      <c r="E78" s="234">
        <f t="shared" si="7"/>
        <v>49.712879705084134</v>
      </c>
      <c r="F78" s="239"/>
      <c r="G78" s="188" t="str">
        <f t="shared" si="8"/>
        <v/>
      </c>
      <c r="H78" s="236" t="str">
        <f t="shared" si="9"/>
        <v/>
      </c>
      <c r="I78" s="237"/>
    </row>
    <row r="79" spans="1:9">
      <c r="A79" s="232">
        <f t="shared" si="6"/>
        <v>77</v>
      </c>
      <c r="B79" s="233">
        <v>45277</v>
      </c>
      <c r="C79" s="234">
        <v>79.493524000000008</v>
      </c>
      <c r="D79" s="235">
        <v>49.712879705084134</v>
      </c>
      <c r="E79" s="234">
        <f t="shared" si="7"/>
        <v>49.712879705084134</v>
      </c>
      <c r="F79" s="239"/>
      <c r="G79" s="188" t="str">
        <f t="shared" si="8"/>
        <v/>
      </c>
      <c r="H79" s="236" t="str">
        <f t="shared" si="9"/>
        <v/>
      </c>
      <c r="I79" s="237"/>
    </row>
    <row r="80" spans="1:9">
      <c r="A80" s="232">
        <f t="shared" si="6"/>
        <v>78</v>
      </c>
      <c r="B80" s="233">
        <v>45278</v>
      </c>
      <c r="C80" s="234">
        <v>80.229129</v>
      </c>
      <c r="D80" s="235">
        <v>49.712879705084134</v>
      </c>
      <c r="E80" s="234">
        <f t="shared" si="7"/>
        <v>49.712879705084134</v>
      </c>
      <c r="F80" s="239"/>
      <c r="G80" s="188" t="str">
        <f t="shared" si="8"/>
        <v/>
      </c>
      <c r="H80" s="236" t="str">
        <f t="shared" si="9"/>
        <v/>
      </c>
      <c r="I80" s="237"/>
    </row>
    <row r="81" spans="1:9">
      <c r="A81" s="232">
        <f t="shared" si="6"/>
        <v>79</v>
      </c>
      <c r="B81" s="233">
        <v>45279</v>
      </c>
      <c r="C81" s="234">
        <v>79.453175000000002</v>
      </c>
      <c r="D81" s="235">
        <v>49.712879705084134</v>
      </c>
      <c r="E81" s="234">
        <f t="shared" si="7"/>
        <v>49.712879705084134</v>
      </c>
      <c r="F81" s="239"/>
      <c r="G81" s="188" t="str">
        <f t="shared" si="8"/>
        <v/>
      </c>
      <c r="H81" s="236" t="str">
        <f t="shared" si="9"/>
        <v/>
      </c>
      <c r="I81" s="237"/>
    </row>
    <row r="82" spans="1:9">
      <c r="A82" s="232">
        <f t="shared" si="6"/>
        <v>80</v>
      </c>
      <c r="B82" s="233">
        <v>45280</v>
      </c>
      <c r="C82" s="234">
        <v>47.886561</v>
      </c>
      <c r="D82" s="235">
        <v>49.712879705084134</v>
      </c>
      <c r="E82" s="234">
        <f t="shared" si="7"/>
        <v>47.886561</v>
      </c>
      <c r="F82" s="239"/>
      <c r="G82" s="188" t="str">
        <f t="shared" si="8"/>
        <v/>
      </c>
      <c r="H82" s="236" t="str">
        <f t="shared" si="9"/>
        <v/>
      </c>
      <c r="I82" s="237"/>
    </row>
    <row r="83" spans="1:9">
      <c r="A83" s="232">
        <f t="shared" si="6"/>
        <v>81</v>
      </c>
      <c r="B83" s="233">
        <v>45281</v>
      </c>
      <c r="C83" s="234">
        <v>78.245908000000014</v>
      </c>
      <c r="D83" s="235">
        <v>49.712879705084134</v>
      </c>
      <c r="E83" s="234">
        <f t="shared" si="7"/>
        <v>49.712879705084134</v>
      </c>
      <c r="F83" s="239"/>
      <c r="G83" s="188" t="str">
        <f t="shared" si="8"/>
        <v/>
      </c>
      <c r="H83" s="236" t="str">
        <f t="shared" si="9"/>
        <v/>
      </c>
      <c r="I83" s="237"/>
    </row>
    <row r="84" spans="1:9">
      <c r="A84" s="232">
        <f t="shared" si="6"/>
        <v>82</v>
      </c>
      <c r="B84" s="233">
        <v>45282</v>
      </c>
      <c r="C84" s="234">
        <v>78.925466999999998</v>
      </c>
      <c r="D84" s="235">
        <v>49.712879705084134</v>
      </c>
      <c r="E84" s="234">
        <f t="shared" si="7"/>
        <v>49.712879705084134</v>
      </c>
      <c r="F84" s="239"/>
      <c r="G84" s="188" t="str">
        <f t="shared" si="8"/>
        <v/>
      </c>
      <c r="H84" s="236" t="str">
        <f t="shared" si="9"/>
        <v/>
      </c>
      <c r="I84" s="237"/>
    </row>
    <row r="85" spans="1:9">
      <c r="A85" s="232">
        <f t="shared" si="6"/>
        <v>83</v>
      </c>
      <c r="B85" s="233">
        <v>45283</v>
      </c>
      <c r="C85" s="234">
        <v>78.612109000000004</v>
      </c>
      <c r="D85" s="235">
        <v>49.712879705084134</v>
      </c>
      <c r="E85" s="234">
        <f t="shared" si="7"/>
        <v>49.712879705084134</v>
      </c>
      <c r="F85" s="239"/>
      <c r="G85" s="188" t="str">
        <f t="shared" si="8"/>
        <v/>
      </c>
      <c r="H85" s="236" t="str">
        <f t="shared" si="9"/>
        <v/>
      </c>
      <c r="I85" s="237"/>
    </row>
    <row r="86" spans="1:9">
      <c r="A86" s="232">
        <f t="shared" si="6"/>
        <v>84</v>
      </c>
      <c r="B86" s="233">
        <v>45284</v>
      </c>
      <c r="C86" s="234">
        <v>78.176388000000003</v>
      </c>
      <c r="D86" s="235">
        <v>49.712879705084134</v>
      </c>
      <c r="E86" s="234">
        <f t="shared" si="7"/>
        <v>49.712879705084134</v>
      </c>
      <c r="F86" s="239"/>
      <c r="G86" s="188" t="str">
        <f t="shared" si="8"/>
        <v/>
      </c>
      <c r="H86" s="236" t="str">
        <f t="shared" si="9"/>
        <v/>
      </c>
      <c r="I86" s="237"/>
    </row>
    <row r="87" spans="1:9">
      <c r="A87" s="232">
        <f t="shared" si="6"/>
        <v>85</v>
      </c>
      <c r="B87" s="233">
        <v>45285</v>
      </c>
      <c r="C87" s="234">
        <v>72.253319000000005</v>
      </c>
      <c r="D87" s="235">
        <v>49.712879705084134</v>
      </c>
      <c r="E87" s="234">
        <f t="shared" si="7"/>
        <v>49.712879705084134</v>
      </c>
      <c r="F87" s="239"/>
      <c r="G87" s="188" t="str">
        <f t="shared" si="8"/>
        <v/>
      </c>
      <c r="H87" s="236" t="str">
        <f t="shared" si="9"/>
        <v/>
      </c>
      <c r="I87" s="237"/>
    </row>
    <row r="88" spans="1:9">
      <c r="A88" s="232">
        <f t="shared" si="6"/>
        <v>86</v>
      </c>
      <c r="B88" s="233">
        <v>45286</v>
      </c>
      <c r="C88" s="234">
        <v>58.556135999999995</v>
      </c>
      <c r="D88" s="235">
        <v>49.712879705084134</v>
      </c>
      <c r="E88" s="234">
        <f t="shared" si="7"/>
        <v>49.712879705084134</v>
      </c>
      <c r="F88" s="239"/>
      <c r="G88" s="188" t="str">
        <f t="shared" si="8"/>
        <v/>
      </c>
      <c r="H88" s="236" t="str">
        <f t="shared" si="9"/>
        <v/>
      </c>
      <c r="I88" s="237"/>
    </row>
    <row r="89" spans="1:9">
      <c r="A89" s="232">
        <f t="shared" si="6"/>
        <v>87</v>
      </c>
      <c r="B89" s="233">
        <v>45287</v>
      </c>
      <c r="C89" s="234">
        <v>60.355708</v>
      </c>
      <c r="D89" s="235">
        <v>49.712879705084134</v>
      </c>
      <c r="E89" s="234">
        <f t="shared" si="7"/>
        <v>49.712879705084134</v>
      </c>
      <c r="F89" s="239"/>
      <c r="G89" s="188" t="str">
        <f t="shared" si="8"/>
        <v/>
      </c>
      <c r="H89" s="236" t="str">
        <f t="shared" si="9"/>
        <v/>
      </c>
      <c r="I89" s="237"/>
    </row>
    <row r="90" spans="1:9">
      <c r="A90" s="232">
        <f t="shared" si="6"/>
        <v>88</v>
      </c>
      <c r="B90" s="233">
        <v>45288</v>
      </c>
      <c r="C90" s="234">
        <v>43.214978000000002</v>
      </c>
      <c r="D90" s="235">
        <v>49.712879705084134</v>
      </c>
      <c r="E90" s="234">
        <f t="shared" si="7"/>
        <v>43.214978000000002</v>
      </c>
      <c r="F90" s="239"/>
      <c r="G90" s="188" t="str">
        <f t="shared" si="8"/>
        <v/>
      </c>
      <c r="H90" s="236" t="str">
        <f t="shared" si="9"/>
        <v/>
      </c>
      <c r="I90" s="237"/>
    </row>
    <row r="91" spans="1:9">
      <c r="A91" s="232">
        <f t="shared" si="6"/>
        <v>89</v>
      </c>
      <c r="B91" s="233">
        <v>45289</v>
      </c>
      <c r="C91" s="234">
        <v>26.99569</v>
      </c>
      <c r="D91" s="235">
        <v>49.712879705084134</v>
      </c>
      <c r="E91" s="234">
        <f t="shared" si="7"/>
        <v>26.99569</v>
      </c>
      <c r="F91" s="239"/>
      <c r="G91" s="188" t="str">
        <f t="shared" si="8"/>
        <v/>
      </c>
      <c r="H91" s="236" t="str">
        <f t="shared" si="9"/>
        <v/>
      </c>
      <c r="I91" s="237"/>
    </row>
    <row r="92" spans="1:9">
      <c r="A92" s="232">
        <f t="shared" si="6"/>
        <v>90</v>
      </c>
      <c r="B92" s="233">
        <v>45290</v>
      </c>
      <c r="C92" s="234">
        <v>69.958248999999995</v>
      </c>
      <c r="D92" s="235">
        <v>49.712879705084134</v>
      </c>
      <c r="E92" s="234">
        <f t="shared" si="7"/>
        <v>49.712879705084134</v>
      </c>
      <c r="F92" s="239"/>
      <c r="G92" s="188" t="str">
        <f t="shared" si="8"/>
        <v/>
      </c>
      <c r="H92" s="236" t="str">
        <f t="shared" si="9"/>
        <v/>
      </c>
      <c r="I92" s="237"/>
    </row>
    <row r="93" spans="1:9">
      <c r="A93" s="232">
        <f t="shared" si="6"/>
        <v>91</v>
      </c>
      <c r="B93" s="233">
        <v>45291</v>
      </c>
      <c r="C93" s="234">
        <v>35.382241999999998</v>
      </c>
      <c r="D93" s="235">
        <v>49.712879705084134</v>
      </c>
      <c r="E93" s="234">
        <f t="shared" si="7"/>
        <v>35.382241999999998</v>
      </c>
      <c r="F93" s="239"/>
      <c r="G93" s="188" t="str">
        <f t="shared" si="8"/>
        <v/>
      </c>
      <c r="H93" s="236" t="str">
        <f t="shared" si="9"/>
        <v/>
      </c>
      <c r="I93" s="237"/>
    </row>
    <row r="94" spans="1:9">
      <c r="A94" s="232">
        <f t="shared" si="6"/>
        <v>92</v>
      </c>
      <c r="B94" s="233">
        <v>45292</v>
      </c>
      <c r="C94" s="234">
        <v>65.430025999999998</v>
      </c>
      <c r="D94" s="235">
        <v>73.936506027332229</v>
      </c>
      <c r="E94" s="234">
        <f t="shared" si="7"/>
        <v>65.430025999999998</v>
      </c>
      <c r="F94" s="237">
        <f>YEAR(B94)</f>
        <v>2024</v>
      </c>
      <c r="G94" s="188" t="str">
        <f t="shared" si="8"/>
        <v/>
      </c>
      <c r="H94" s="236" t="str">
        <f t="shared" si="9"/>
        <v/>
      </c>
      <c r="I94" s="237"/>
    </row>
    <row r="95" spans="1:9">
      <c r="A95" s="232">
        <f t="shared" si="6"/>
        <v>93</v>
      </c>
      <c r="B95" s="233">
        <v>45293</v>
      </c>
      <c r="C95" s="234">
        <v>47.960481000000001</v>
      </c>
      <c r="D95" s="235">
        <v>73.936506027332229</v>
      </c>
      <c r="E95" s="234">
        <f t="shared" si="7"/>
        <v>47.960481000000001</v>
      </c>
      <c r="F95" s="239"/>
      <c r="G95" s="188" t="str">
        <f t="shared" si="8"/>
        <v/>
      </c>
      <c r="H95" s="236" t="str">
        <f t="shared" si="9"/>
        <v/>
      </c>
      <c r="I95" s="237"/>
    </row>
    <row r="96" spans="1:9">
      <c r="A96" s="232">
        <f t="shared" si="6"/>
        <v>94</v>
      </c>
      <c r="B96" s="233">
        <v>45294</v>
      </c>
      <c r="C96" s="234">
        <v>34.651142</v>
      </c>
      <c r="D96" s="235">
        <v>73.936506027332229</v>
      </c>
      <c r="E96" s="234">
        <f t="shared" si="7"/>
        <v>34.651142</v>
      </c>
      <c r="F96" s="239"/>
      <c r="G96" s="188" t="str">
        <f t="shared" si="8"/>
        <v/>
      </c>
      <c r="H96" s="236" t="str">
        <f t="shared" si="9"/>
        <v/>
      </c>
      <c r="I96" s="237"/>
    </row>
    <row r="97" spans="1:9">
      <c r="A97" s="232">
        <f t="shared" si="6"/>
        <v>95</v>
      </c>
      <c r="B97" s="233">
        <v>45295</v>
      </c>
      <c r="C97" s="234">
        <v>24.720465000000001</v>
      </c>
      <c r="D97" s="235">
        <v>73.936506027332229</v>
      </c>
      <c r="E97" s="234">
        <f t="shared" si="7"/>
        <v>24.720465000000001</v>
      </c>
      <c r="F97" s="239"/>
      <c r="G97" s="188" t="str">
        <f t="shared" si="8"/>
        <v/>
      </c>
      <c r="H97" s="236" t="str">
        <f t="shared" si="9"/>
        <v/>
      </c>
      <c r="I97" s="237"/>
    </row>
    <row r="98" spans="1:9">
      <c r="A98" s="232">
        <f t="shared" si="6"/>
        <v>96</v>
      </c>
      <c r="B98" s="233">
        <v>45296</v>
      </c>
      <c r="C98" s="234">
        <v>60.722881999999998</v>
      </c>
      <c r="D98" s="235">
        <v>73.936506027332229</v>
      </c>
      <c r="E98" s="234">
        <f t="shared" si="7"/>
        <v>60.722881999999998</v>
      </c>
      <c r="F98" s="239"/>
      <c r="G98" s="188" t="str">
        <f t="shared" si="8"/>
        <v/>
      </c>
      <c r="H98" s="236" t="str">
        <f t="shared" si="9"/>
        <v/>
      </c>
      <c r="I98" s="237"/>
    </row>
    <row r="99" spans="1:9">
      <c r="A99" s="232">
        <f t="shared" si="6"/>
        <v>97</v>
      </c>
      <c r="B99" s="233">
        <v>45297</v>
      </c>
      <c r="C99" s="234">
        <v>76.909234999999995</v>
      </c>
      <c r="D99" s="235">
        <v>73.936506027332229</v>
      </c>
      <c r="E99" s="234">
        <f t="shared" si="7"/>
        <v>73.936506027332229</v>
      </c>
      <c r="F99" s="239"/>
      <c r="G99" s="188" t="str">
        <f t="shared" si="8"/>
        <v/>
      </c>
      <c r="H99" s="236" t="str">
        <f t="shared" si="9"/>
        <v/>
      </c>
      <c r="I99" s="237"/>
    </row>
    <row r="100" spans="1:9">
      <c r="A100" s="232">
        <f t="shared" si="6"/>
        <v>98</v>
      </c>
      <c r="B100" s="233">
        <v>45298</v>
      </c>
      <c r="C100" s="234">
        <v>83.36531699999999</v>
      </c>
      <c r="D100" s="235">
        <v>73.936506027332229</v>
      </c>
      <c r="E100" s="234">
        <f t="shared" si="7"/>
        <v>73.936506027332229</v>
      </c>
      <c r="F100" s="239"/>
      <c r="G100" s="188" t="str">
        <f t="shared" si="8"/>
        <v/>
      </c>
      <c r="H100" s="236" t="str">
        <f t="shared" si="9"/>
        <v/>
      </c>
      <c r="I100" s="237"/>
    </row>
    <row r="101" spans="1:9">
      <c r="A101" s="232">
        <f t="shared" si="6"/>
        <v>99</v>
      </c>
      <c r="B101" s="233">
        <v>45299</v>
      </c>
      <c r="C101" s="234">
        <v>63.771609000000005</v>
      </c>
      <c r="D101" s="235">
        <v>73.936506027332229</v>
      </c>
      <c r="E101" s="234">
        <f t="shared" si="7"/>
        <v>63.771609000000005</v>
      </c>
      <c r="F101" s="239"/>
      <c r="G101" s="188" t="str">
        <f t="shared" si="8"/>
        <v/>
      </c>
      <c r="H101" s="236" t="str">
        <f t="shared" si="9"/>
        <v/>
      </c>
      <c r="I101" s="237"/>
    </row>
    <row r="102" spans="1:9">
      <c r="A102" s="232">
        <f t="shared" si="6"/>
        <v>100</v>
      </c>
      <c r="B102" s="233">
        <v>45300</v>
      </c>
      <c r="C102" s="234">
        <v>36.002093000000002</v>
      </c>
      <c r="D102" s="235">
        <v>73.936506027332229</v>
      </c>
      <c r="E102" s="234">
        <f t="shared" si="7"/>
        <v>36.002093000000002</v>
      </c>
      <c r="F102" s="239"/>
      <c r="G102" s="188" t="str">
        <f t="shared" si="8"/>
        <v/>
      </c>
      <c r="H102" s="236" t="str">
        <f t="shared" si="9"/>
        <v/>
      </c>
      <c r="I102" s="237"/>
    </row>
    <row r="103" spans="1:9">
      <c r="A103" s="232">
        <f t="shared" si="6"/>
        <v>101</v>
      </c>
      <c r="B103" s="233">
        <v>45301</v>
      </c>
      <c r="C103" s="234">
        <v>32.02693</v>
      </c>
      <c r="D103" s="235">
        <v>73.936506027332229</v>
      </c>
      <c r="E103" s="234">
        <f t="shared" si="7"/>
        <v>32.02693</v>
      </c>
      <c r="F103" s="239"/>
      <c r="G103" s="188" t="str">
        <f t="shared" si="8"/>
        <v/>
      </c>
      <c r="H103" s="236" t="str">
        <f t="shared" si="9"/>
        <v/>
      </c>
      <c r="I103" s="237"/>
    </row>
    <row r="104" spans="1:9">
      <c r="A104" s="232">
        <f t="shared" si="6"/>
        <v>102</v>
      </c>
      <c r="B104" s="233">
        <v>45302</v>
      </c>
      <c r="C104" s="234">
        <v>61.908797</v>
      </c>
      <c r="D104" s="235">
        <v>73.936506027332229</v>
      </c>
      <c r="E104" s="234">
        <f t="shared" si="7"/>
        <v>61.908797</v>
      </c>
      <c r="F104" s="239"/>
      <c r="G104" s="188" t="str">
        <f t="shared" si="8"/>
        <v/>
      </c>
      <c r="H104" s="236" t="str">
        <f t="shared" si="9"/>
        <v/>
      </c>
      <c r="I104" s="237"/>
    </row>
    <row r="105" spans="1:9">
      <c r="A105" s="232">
        <f t="shared" si="6"/>
        <v>103</v>
      </c>
      <c r="B105" s="233">
        <v>45303</v>
      </c>
      <c r="C105" s="234">
        <v>70.377947000000006</v>
      </c>
      <c r="D105" s="235">
        <v>73.936506027332229</v>
      </c>
      <c r="E105" s="234">
        <f t="shared" si="7"/>
        <v>70.377947000000006</v>
      </c>
      <c r="F105" s="239"/>
      <c r="G105" s="188" t="str">
        <f t="shared" si="8"/>
        <v/>
      </c>
      <c r="H105" s="236" t="str">
        <f t="shared" si="9"/>
        <v/>
      </c>
      <c r="I105" s="237"/>
    </row>
    <row r="106" spans="1:9">
      <c r="A106" s="232">
        <f t="shared" si="6"/>
        <v>104</v>
      </c>
      <c r="B106" s="233">
        <v>45304</v>
      </c>
      <c r="C106" s="234">
        <v>43.785226999999999</v>
      </c>
      <c r="D106" s="235">
        <v>73.936506027332229</v>
      </c>
      <c r="E106" s="234">
        <f t="shared" si="7"/>
        <v>43.785226999999999</v>
      </c>
      <c r="F106" s="239"/>
      <c r="G106" s="188" t="str">
        <f t="shared" si="8"/>
        <v/>
      </c>
      <c r="H106" s="236" t="str">
        <f t="shared" si="9"/>
        <v/>
      </c>
      <c r="I106" s="237"/>
    </row>
    <row r="107" spans="1:9">
      <c r="A107" s="232">
        <f t="shared" si="6"/>
        <v>105</v>
      </c>
      <c r="B107" s="233">
        <v>45305</v>
      </c>
      <c r="C107" s="234">
        <v>44.072997000000001</v>
      </c>
      <c r="D107" s="235">
        <v>73.936506027332229</v>
      </c>
      <c r="E107" s="234">
        <f t="shared" si="7"/>
        <v>44.072997000000001</v>
      </c>
      <c r="F107" s="239"/>
      <c r="G107" s="188" t="str">
        <f t="shared" si="8"/>
        <v/>
      </c>
      <c r="H107" s="236" t="str">
        <f t="shared" si="9"/>
        <v/>
      </c>
      <c r="I107" s="237"/>
    </row>
    <row r="108" spans="1:9">
      <c r="A108" s="232">
        <f t="shared" si="6"/>
        <v>106</v>
      </c>
      <c r="B108" s="233">
        <v>45306</v>
      </c>
      <c r="C108" s="234">
        <v>22.149871999999998</v>
      </c>
      <c r="D108" s="235">
        <v>73.936506027332229</v>
      </c>
      <c r="E108" s="234">
        <f t="shared" si="7"/>
        <v>22.149871999999998</v>
      </c>
      <c r="F108" s="239"/>
      <c r="G108" s="188" t="str">
        <f t="shared" si="8"/>
        <v>E</v>
      </c>
      <c r="H108" s="236" t="str">
        <f t="shared" si="9"/>
        <v>73,9</v>
      </c>
      <c r="I108" s="237"/>
    </row>
    <row r="109" spans="1:9">
      <c r="A109" s="232">
        <f t="shared" si="6"/>
        <v>107</v>
      </c>
      <c r="B109" s="233">
        <v>45307</v>
      </c>
      <c r="C109" s="234">
        <v>32.080852999999998</v>
      </c>
      <c r="D109" s="235">
        <v>73.936506027332229</v>
      </c>
      <c r="E109" s="234">
        <f t="shared" si="7"/>
        <v>32.080852999999998</v>
      </c>
      <c r="F109" s="239"/>
      <c r="G109" s="188" t="str">
        <f t="shared" si="8"/>
        <v/>
      </c>
      <c r="H109" s="236" t="str">
        <f t="shared" si="9"/>
        <v/>
      </c>
      <c r="I109" s="237"/>
    </row>
    <row r="110" spans="1:9">
      <c r="A110" s="232">
        <f t="shared" si="6"/>
        <v>108</v>
      </c>
      <c r="B110" s="233">
        <v>45308</v>
      </c>
      <c r="C110" s="234">
        <v>44.327406000000003</v>
      </c>
      <c r="D110" s="235">
        <v>73.936506027332229</v>
      </c>
      <c r="E110" s="234">
        <f t="shared" si="7"/>
        <v>44.327406000000003</v>
      </c>
      <c r="F110" s="239"/>
      <c r="G110" s="188" t="str">
        <f t="shared" si="8"/>
        <v/>
      </c>
      <c r="H110" s="236" t="str">
        <f t="shared" si="9"/>
        <v/>
      </c>
      <c r="I110" s="237"/>
    </row>
    <row r="111" spans="1:9">
      <c r="A111" s="232">
        <f t="shared" si="6"/>
        <v>109</v>
      </c>
      <c r="B111" s="233">
        <v>45309</v>
      </c>
      <c r="C111" s="234">
        <v>43.507561000000003</v>
      </c>
      <c r="D111" s="235">
        <v>73.936506027332229</v>
      </c>
      <c r="E111" s="234">
        <f t="shared" si="7"/>
        <v>43.507561000000003</v>
      </c>
      <c r="F111" s="239"/>
      <c r="G111" s="188" t="str">
        <f t="shared" si="8"/>
        <v/>
      </c>
      <c r="H111" s="236" t="str">
        <f t="shared" si="9"/>
        <v/>
      </c>
      <c r="I111" s="237"/>
    </row>
    <row r="112" spans="1:9">
      <c r="A112" s="232">
        <f t="shared" si="6"/>
        <v>110</v>
      </c>
      <c r="B112" s="233">
        <v>45310</v>
      </c>
      <c r="C112" s="234">
        <v>21.147915000000001</v>
      </c>
      <c r="D112" s="235">
        <v>73.936506027332229</v>
      </c>
      <c r="E112" s="234">
        <f t="shared" si="7"/>
        <v>21.147915000000001</v>
      </c>
      <c r="F112" s="239"/>
      <c r="G112" s="188" t="str">
        <f t="shared" si="8"/>
        <v/>
      </c>
      <c r="H112" s="236" t="str">
        <f t="shared" si="9"/>
        <v/>
      </c>
      <c r="I112" s="237"/>
    </row>
    <row r="113" spans="1:9">
      <c r="A113" s="232">
        <f t="shared" si="6"/>
        <v>111</v>
      </c>
      <c r="B113" s="233">
        <v>45311</v>
      </c>
      <c r="C113" s="234">
        <v>71.517696000000001</v>
      </c>
      <c r="D113" s="235">
        <v>73.936506027332229</v>
      </c>
      <c r="E113" s="234">
        <f t="shared" si="7"/>
        <v>71.517696000000001</v>
      </c>
      <c r="F113" s="239"/>
      <c r="G113" s="188" t="str">
        <f t="shared" si="8"/>
        <v/>
      </c>
      <c r="H113" s="236" t="str">
        <f t="shared" si="9"/>
        <v/>
      </c>
      <c r="I113" s="237"/>
    </row>
    <row r="114" spans="1:9">
      <c r="A114" s="232">
        <f t="shared" si="6"/>
        <v>112</v>
      </c>
      <c r="B114" s="233">
        <v>45312</v>
      </c>
      <c r="C114" s="234">
        <v>81.185708000000005</v>
      </c>
      <c r="D114" s="235">
        <v>73.936506027332229</v>
      </c>
      <c r="E114" s="234">
        <f t="shared" si="7"/>
        <v>73.936506027332229</v>
      </c>
      <c r="F114" s="239"/>
      <c r="G114" s="188" t="str">
        <f t="shared" si="8"/>
        <v/>
      </c>
      <c r="H114" s="236" t="str">
        <f t="shared" si="9"/>
        <v/>
      </c>
      <c r="I114" s="237"/>
    </row>
    <row r="115" spans="1:9">
      <c r="A115" s="232">
        <f t="shared" si="6"/>
        <v>113</v>
      </c>
      <c r="B115" s="233">
        <v>45313</v>
      </c>
      <c r="C115" s="234">
        <v>80.471592000000001</v>
      </c>
      <c r="D115" s="235">
        <v>73.936506027332229</v>
      </c>
      <c r="E115" s="234">
        <f t="shared" si="7"/>
        <v>73.936506027332229</v>
      </c>
      <c r="F115" s="239"/>
      <c r="G115" s="188" t="str">
        <f t="shared" si="8"/>
        <v/>
      </c>
      <c r="H115" s="236" t="str">
        <f t="shared" si="9"/>
        <v/>
      </c>
      <c r="I115" s="237"/>
    </row>
    <row r="116" spans="1:9">
      <c r="A116" s="232">
        <f t="shared" si="6"/>
        <v>114</v>
      </c>
      <c r="B116" s="233">
        <v>45314</v>
      </c>
      <c r="C116" s="234">
        <v>87.804777999999999</v>
      </c>
      <c r="D116" s="235">
        <v>73.936506027332229</v>
      </c>
      <c r="E116" s="234">
        <f t="shared" si="7"/>
        <v>73.936506027332229</v>
      </c>
      <c r="F116" s="239"/>
      <c r="G116" s="188" t="str">
        <f t="shared" si="8"/>
        <v/>
      </c>
      <c r="H116" s="236" t="str">
        <f t="shared" si="9"/>
        <v/>
      </c>
      <c r="I116" s="237"/>
    </row>
    <row r="117" spans="1:9">
      <c r="A117" s="232">
        <f t="shared" si="6"/>
        <v>115</v>
      </c>
      <c r="B117" s="233">
        <v>45315</v>
      </c>
      <c r="C117" s="234">
        <v>91.826278000000002</v>
      </c>
      <c r="D117" s="235">
        <v>73.936506027332229</v>
      </c>
      <c r="E117" s="234">
        <f t="shared" si="7"/>
        <v>73.936506027332229</v>
      </c>
      <c r="F117" s="239"/>
      <c r="G117" s="188" t="str">
        <f t="shared" si="8"/>
        <v/>
      </c>
      <c r="H117" s="236" t="str">
        <f t="shared" si="9"/>
        <v/>
      </c>
      <c r="I117" s="237"/>
    </row>
    <row r="118" spans="1:9">
      <c r="A118" s="232">
        <f t="shared" si="6"/>
        <v>116</v>
      </c>
      <c r="B118" s="233">
        <v>45316</v>
      </c>
      <c r="C118" s="234">
        <v>91.982301000000007</v>
      </c>
      <c r="D118" s="235">
        <v>73.936506027332229</v>
      </c>
      <c r="E118" s="234">
        <f t="shared" si="7"/>
        <v>73.936506027332229</v>
      </c>
      <c r="F118" s="239"/>
      <c r="G118" s="188" t="str">
        <f t="shared" si="8"/>
        <v/>
      </c>
      <c r="H118" s="236" t="str">
        <f t="shared" si="9"/>
        <v/>
      </c>
      <c r="I118" s="237"/>
    </row>
    <row r="119" spans="1:9">
      <c r="A119" s="232">
        <f t="shared" si="6"/>
        <v>117</v>
      </c>
      <c r="B119" s="233">
        <v>45317</v>
      </c>
      <c r="C119" s="234">
        <v>87.342753999999999</v>
      </c>
      <c r="D119" s="235">
        <v>73.936506027332229</v>
      </c>
      <c r="E119" s="234">
        <f t="shared" si="7"/>
        <v>73.936506027332229</v>
      </c>
      <c r="F119" s="239"/>
      <c r="G119" s="188" t="str">
        <f t="shared" si="8"/>
        <v/>
      </c>
      <c r="H119" s="236" t="str">
        <f t="shared" si="9"/>
        <v/>
      </c>
      <c r="I119" s="237"/>
    </row>
    <row r="120" spans="1:9">
      <c r="A120" s="232">
        <f t="shared" si="6"/>
        <v>118</v>
      </c>
      <c r="B120" s="233">
        <v>45318</v>
      </c>
      <c r="C120" s="234">
        <v>86.535828999999993</v>
      </c>
      <c r="D120" s="235">
        <v>73.936506027332229</v>
      </c>
      <c r="E120" s="234">
        <f t="shared" si="7"/>
        <v>73.936506027332229</v>
      </c>
      <c r="F120" s="239"/>
      <c r="G120" s="188" t="str">
        <f t="shared" si="8"/>
        <v/>
      </c>
      <c r="H120" s="236" t="str">
        <f t="shared" si="9"/>
        <v/>
      </c>
      <c r="I120" s="237"/>
    </row>
    <row r="121" spans="1:9">
      <c r="A121" s="232">
        <f t="shared" si="6"/>
        <v>119</v>
      </c>
      <c r="B121" s="233">
        <v>45319</v>
      </c>
      <c r="C121" s="234">
        <v>79.319478000000004</v>
      </c>
      <c r="D121" s="235">
        <v>73.936506027332229</v>
      </c>
      <c r="E121" s="234">
        <f t="shared" si="7"/>
        <v>73.936506027332229</v>
      </c>
      <c r="F121" s="239"/>
      <c r="G121" s="188" t="str">
        <f t="shared" si="8"/>
        <v/>
      </c>
      <c r="H121" s="236" t="str">
        <f t="shared" si="9"/>
        <v/>
      </c>
      <c r="I121" s="237"/>
    </row>
    <row r="122" spans="1:9">
      <c r="A122" s="232">
        <f t="shared" si="6"/>
        <v>120</v>
      </c>
      <c r="B122" s="233">
        <v>45320</v>
      </c>
      <c r="C122" s="234">
        <v>58.766905000000001</v>
      </c>
      <c r="D122" s="235">
        <v>73.936506027332229</v>
      </c>
      <c r="E122" s="234">
        <f t="shared" si="7"/>
        <v>58.766905000000001</v>
      </c>
      <c r="F122" s="239"/>
      <c r="G122" s="188" t="str">
        <f t="shared" si="8"/>
        <v/>
      </c>
      <c r="H122" s="236" t="str">
        <f t="shared" si="9"/>
        <v/>
      </c>
      <c r="I122" s="237"/>
    </row>
    <row r="123" spans="1:9">
      <c r="A123" s="232">
        <f t="shared" si="6"/>
        <v>121</v>
      </c>
      <c r="B123" s="233">
        <v>45321</v>
      </c>
      <c r="C123" s="234">
        <v>73.831197000000003</v>
      </c>
      <c r="D123" s="235">
        <v>73.936506027332229</v>
      </c>
      <c r="E123" s="234">
        <f t="shared" si="7"/>
        <v>73.831197000000003</v>
      </c>
      <c r="F123" s="239"/>
      <c r="G123" s="188" t="str">
        <f t="shared" si="8"/>
        <v/>
      </c>
      <c r="H123" s="236" t="str">
        <f t="shared" si="9"/>
        <v/>
      </c>
      <c r="I123" s="237"/>
    </row>
    <row r="124" spans="1:9">
      <c r="A124" s="232">
        <f t="shared" si="6"/>
        <v>122</v>
      </c>
      <c r="B124" s="233">
        <v>45322</v>
      </c>
      <c r="C124" s="234">
        <v>84.655586999999997</v>
      </c>
      <c r="D124" s="235">
        <v>73.936506027332229</v>
      </c>
      <c r="E124" s="234">
        <f t="shared" si="7"/>
        <v>73.936506027332229</v>
      </c>
      <c r="F124" s="237"/>
      <c r="G124" s="188" t="str">
        <f t="shared" si="8"/>
        <v/>
      </c>
      <c r="H124" s="236" t="str">
        <f t="shared" si="9"/>
        <v/>
      </c>
      <c r="I124" s="237"/>
    </row>
    <row r="125" spans="1:9">
      <c r="A125" s="232">
        <f t="shared" si="6"/>
        <v>123</v>
      </c>
      <c r="B125" s="233">
        <v>45323</v>
      </c>
      <c r="C125" s="234">
        <v>104.493128</v>
      </c>
      <c r="D125" s="235">
        <v>90.863466611013806</v>
      </c>
      <c r="E125" s="234">
        <f t="shared" si="7"/>
        <v>90.863466611013806</v>
      </c>
      <c r="F125" s="239"/>
      <c r="G125" s="188" t="str">
        <f t="shared" si="8"/>
        <v/>
      </c>
      <c r="H125" s="236" t="str">
        <f t="shared" si="9"/>
        <v/>
      </c>
      <c r="I125" s="237"/>
    </row>
    <row r="126" spans="1:9">
      <c r="A126" s="232">
        <f t="shared" si="6"/>
        <v>124</v>
      </c>
      <c r="B126" s="233">
        <v>45324</v>
      </c>
      <c r="C126" s="234">
        <v>107.70524899999999</v>
      </c>
      <c r="D126" s="235">
        <v>90.863466611013806</v>
      </c>
      <c r="E126" s="234">
        <f t="shared" si="7"/>
        <v>90.863466611013806</v>
      </c>
      <c r="F126" s="239"/>
      <c r="G126" s="188" t="str">
        <f t="shared" si="8"/>
        <v/>
      </c>
      <c r="H126" s="236" t="str">
        <f t="shared" si="9"/>
        <v/>
      </c>
      <c r="I126" s="237"/>
    </row>
    <row r="127" spans="1:9">
      <c r="A127" s="232">
        <f t="shared" si="6"/>
        <v>125</v>
      </c>
      <c r="B127" s="233">
        <v>45325</v>
      </c>
      <c r="C127" s="234">
        <v>105.820611</v>
      </c>
      <c r="D127" s="235">
        <v>90.863466611013806</v>
      </c>
      <c r="E127" s="234">
        <f t="shared" si="7"/>
        <v>90.863466611013806</v>
      </c>
      <c r="F127" s="239"/>
      <c r="G127" s="188" t="str">
        <f t="shared" si="8"/>
        <v/>
      </c>
      <c r="H127" s="236" t="str">
        <f t="shared" si="9"/>
        <v/>
      </c>
      <c r="I127" s="237"/>
    </row>
    <row r="128" spans="1:9">
      <c r="A128" s="232">
        <f t="shared" si="6"/>
        <v>126</v>
      </c>
      <c r="B128" s="233">
        <v>45326</v>
      </c>
      <c r="C128" s="234">
        <v>107.220388</v>
      </c>
      <c r="D128" s="235">
        <v>90.863466611013806</v>
      </c>
      <c r="E128" s="234">
        <f t="shared" si="7"/>
        <v>90.863466611013806</v>
      </c>
      <c r="F128" s="239"/>
      <c r="G128" s="188" t="str">
        <f t="shared" si="8"/>
        <v/>
      </c>
      <c r="H128" s="236" t="str">
        <f t="shared" si="9"/>
        <v/>
      </c>
      <c r="I128" s="237"/>
    </row>
    <row r="129" spans="1:9">
      <c r="A129" s="232">
        <f t="shared" si="6"/>
        <v>127</v>
      </c>
      <c r="B129" s="233">
        <v>45327</v>
      </c>
      <c r="C129" s="234">
        <v>85.764502999999991</v>
      </c>
      <c r="D129" s="235">
        <v>90.863466611013806</v>
      </c>
      <c r="E129" s="234">
        <f t="shared" si="7"/>
        <v>85.764502999999991</v>
      </c>
      <c r="F129" s="239"/>
      <c r="G129" s="188" t="str">
        <f t="shared" si="8"/>
        <v/>
      </c>
      <c r="H129" s="236" t="str">
        <f t="shared" si="9"/>
        <v/>
      </c>
      <c r="I129" s="237"/>
    </row>
    <row r="130" spans="1:9">
      <c r="A130" s="232">
        <f t="shared" si="6"/>
        <v>128</v>
      </c>
      <c r="B130" s="233">
        <v>45328</v>
      </c>
      <c r="C130" s="234">
        <v>83.446739999999991</v>
      </c>
      <c r="D130" s="235">
        <v>90.863466611013806</v>
      </c>
      <c r="E130" s="234">
        <f t="shared" si="7"/>
        <v>83.446739999999991</v>
      </c>
      <c r="F130" s="239"/>
      <c r="G130" s="188" t="str">
        <f t="shared" si="8"/>
        <v/>
      </c>
      <c r="H130" s="236" t="str">
        <f t="shared" si="9"/>
        <v/>
      </c>
      <c r="I130" s="237"/>
    </row>
    <row r="131" spans="1:9">
      <c r="A131" s="232">
        <f t="shared" si="6"/>
        <v>129</v>
      </c>
      <c r="B131" s="233">
        <v>45329</v>
      </c>
      <c r="C131" s="234">
        <v>61.497343000000001</v>
      </c>
      <c r="D131" s="235">
        <v>90.863466611013806</v>
      </c>
      <c r="E131" s="234">
        <f t="shared" si="7"/>
        <v>61.497343000000001</v>
      </c>
      <c r="F131" s="239"/>
      <c r="G131" s="188" t="str">
        <f t="shared" si="8"/>
        <v/>
      </c>
      <c r="H131" s="236" t="str">
        <f t="shared" si="9"/>
        <v/>
      </c>
      <c r="I131" s="237"/>
    </row>
    <row r="132" spans="1:9">
      <c r="A132" s="232">
        <f t="shared" ref="A132:A195" si="10">+A131+1</f>
        <v>130</v>
      </c>
      <c r="B132" s="233">
        <v>45330</v>
      </c>
      <c r="C132" s="234">
        <v>37.377444000000004</v>
      </c>
      <c r="D132" s="235">
        <v>90.863466611013806</v>
      </c>
      <c r="E132" s="234">
        <f t="shared" ref="E132:E195" si="11">IF(C132&gt;D132,D132,C132)</f>
        <v>37.377444000000004</v>
      </c>
      <c r="F132" s="239"/>
      <c r="G132" s="188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36" t="str">
        <f t="shared" ref="H132:H195" si="13">IF(DAY($B132)=15,TEXT(D132,"#,0"),"")</f>
        <v/>
      </c>
      <c r="I132" s="237"/>
    </row>
    <row r="133" spans="1:9">
      <c r="A133" s="232">
        <f t="shared" si="10"/>
        <v>131</v>
      </c>
      <c r="B133" s="233">
        <v>45331</v>
      </c>
      <c r="C133" s="234">
        <v>29.317591</v>
      </c>
      <c r="D133" s="235">
        <v>90.863466611013806</v>
      </c>
      <c r="E133" s="234">
        <f t="shared" si="11"/>
        <v>29.317591</v>
      </c>
      <c r="F133" s="239"/>
      <c r="G133" s="188" t="str">
        <f t="shared" si="12"/>
        <v/>
      </c>
      <c r="H133" s="236" t="str">
        <f t="shared" si="13"/>
        <v/>
      </c>
      <c r="I133" s="237"/>
    </row>
    <row r="134" spans="1:9">
      <c r="A134" s="232">
        <f t="shared" si="10"/>
        <v>132</v>
      </c>
      <c r="B134" s="233">
        <v>45332</v>
      </c>
      <c r="C134" s="234">
        <v>76.884963999999997</v>
      </c>
      <c r="D134" s="235">
        <v>90.863466611013806</v>
      </c>
      <c r="E134" s="234">
        <f t="shared" si="11"/>
        <v>76.884963999999997</v>
      </c>
      <c r="F134" s="239"/>
      <c r="G134" s="188" t="str">
        <f t="shared" si="12"/>
        <v/>
      </c>
      <c r="H134" s="236" t="str">
        <f t="shared" si="13"/>
        <v/>
      </c>
      <c r="I134" s="237"/>
    </row>
    <row r="135" spans="1:9">
      <c r="A135" s="232">
        <f t="shared" si="10"/>
        <v>133</v>
      </c>
      <c r="B135" s="233">
        <v>45333</v>
      </c>
      <c r="C135" s="234">
        <v>40.164586999999997</v>
      </c>
      <c r="D135" s="235">
        <v>90.863466611013806</v>
      </c>
      <c r="E135" s="234">
        <f t="shared" si="11"/>
        <v>40.164586999999997</v>
      </c>
      <c r="F135" s="239"/>
      <c r="G135" s="188" t="str">
        <f t="shared" si="12"/>
        <v/>
      </c>
      <c r="H135" s="236" t="str">
        <f t="shared" si="13"/>
        <v/>
      </c>
      <c r="I135" s="237"/>
    </row>
    <row r="136" spans="1:9">
      <c r="A136" s="232">
        <f t="shared" si="10"/>
        <v>134</v>
      </c>
      <c r="B136" s="233">
        <v>45334</v>
      </c>
      <c r="C136" s="234">
        <v>85.811510000000013</v>
      </c>
      <c r="D136" s="235">
        <v>90.863466611013806</v>
      </c>
      <c r="E136" s="234">
        <f t="shared" si="11"/>
        <v>85.811510000000013</v>
      </c>
      <c r="F136" s="239"/>
      <c r="G136" s="188" t="str">
        <f t="shared" si="12"/>
        <v/>
      </c>
      <c r="H136" s="236" t="str">
        <f t="shared" si="13"/>
        <v/>
      </c>
      <c r="I136" s="237"/>
    </row>
    <row r="137" spans="1:9">
      <c r="A137" s="232">
        <f t="shared" si="10"/>
        <v>135</v>
      </c>
      <c r="B137" s="233">
        <v>45335</v>
      </c>
      <c r="C137" s="234">
        <v>78.004092</v>
      </c>
      <c r="D137" s="235">
        <v>90.863466611013806</v>
      </c>
      <c r="E137" s="234">
        <f t="shared" si="11"/>
        <v>78.004092</v>
      </c>
      <c r="F137" s="239"/>
      <c r="G137" s="188" t="str">
        <f t="shared" si="12"/>
        <v/>
      </c>
      <c r="H137" s="236" t="str">
        <f t="shared" si="13"/>
        <v/>
      </c>
      <c r="I137" s="237"/>
    </row>
    <row r="138" spans="1:9">
      <c r="A138" s="232">
        <f t="shared" si="10"/>
        <v>136</v>
      </c>
      <c r="B138" s="233">
        <v>45336</v>
      </c>
      <c r="C138" s="234">
        <v>75.42201</v>
      </c>
      <c r="D138" s="235">
        <v>90.863466611013806</v>
      </c>
      <c r="E138" s="234">
        <f t="shared" si="11"/>
        <v>75.42201</v>
      </c>
      <c r="F138" s="239"/>
      <c r="G138" s="188" t="str">
        <f t="shared" si="12"/>
        <v/>
      </c>
      <c r="H138" s="236" t="str">
        <f t="shared" si="13"/>
        <v/>
      </c>
      <c r="I138" s="237"/>
    </row>
    <row r="139" spans="1:9">
      <c r="A139" s="232">
        <f t="shared" si="10"/>
        <v>137</v>
      </c>
      <c r="B139" s="233">
        <v>45337</v>
      </c>
      <c r="C139" s="234">
        <v>40.57085</v>
      </c>
      <c r="D139" s="235">
        <v>90.863466611013806</v>
      </c>
      <c r="E139" s="234">
        <f t="shared" si="11"/>
        <v>40.57085</v>
      </c>
      <c r="F139" s="239"/>
      <c r="G139" s="188" t="str">
        <f t="shared" si="12"/>
        <v>F</v>
      </c>
      <c r="H139" s="236" t="str">
        <f t="shared" si="13"/>
        <v>90,9</v>
      </c>
      <c r="I139" s="237"/>
    </row>
    <row r="140" spans="1:9">
      <c r="A140" s="232">
        <f t="shared" si="10"/>
        <v>138</v>
      </c>
      <c r="B140" s="233">
        <v>45338</v>
      </c>
      <c r="C140" s="234">
        <v>91.467905000000002</v>
      </c>
      <c r="D140" s="235">
        <v>90.863466611013806</v>
      </c>
      <c r="E140" s="234">
        <f t="shared" si="11"/>
        <v>90.863466611013806</v>
      </c>
      <c r="F140" s="239"/>
      <c r="G140" s="188" t="str">
        <f t="shared" si="12"/>
        <v/>
      </c>
      <c r="H140" s="236" t="str">
        <f t="shared" si="13"/>
        <v/>
      </c>
      <c r="I140" s="237"/>
    </row>
    <row r="141" spans="1:9">
      <c r="A141" s="232">
        <f t="shared" si="10"/>
        <v>139</v>
      </c>
      <c r="B141" s="233">
        <v>45339</v>
      </c>
      <c r="C141" s="234">
        <v>125.382549</v>
      </c>
      <c r="D141" s="235">
        <v>90.863466611013806</v>
      </c>
      <c r="E141" s="234">
        <f t="shared" si="11"/>
        <v>90.863466611013806</v>
      </c>
      <c r="F141" s="239"/>
      <c r="G141" s="188" t="str">
        <f t="shared" si="12"/>
        <v/>
      </c>
      <c r="H141" s="236" t="str">
        <f t="shared" si="13"/>
        <v/>
      </c>
      <c r="I141" s="237"/>
    </row>
    <row r="142" spans="1:9">
      <c r="A142" s="232">
        <f t="shared" si="10"/>
        <v>140</v>
      </c>
      <c r="B142" s="233">
        <v>45340</v>
      </c>
      <c r="C142" s="234">
        <v>116.10747099999999</v>
      </c>
      <c r="D142" s="235">
        <v>90.863466611013806</v>
      </c>
      <c r="E142" s="234">
        <f t="shared" si="11"/>
        <v>90.863466611013806</v>
      </c>
      <c r="F142" s="239"/>
      <c r="G142" s="188" t="str">
        <f t="shared" si="12"/>
        <v/>
      </c>
      <c r="H142" s="236" t="str">
        <f t="shared" si="13"/>
        <v/>
      </c>
      <c r="I142" s="237"/>
    </row>
    <row r="143" spans="1:9">
      <c r="A143" s="232">
        <f t="shared" si="10"/>
        <v>141</v>
      </c>
      <c r="B143" s="233">
        <v>45341</v>
      </c>
      <c r="C143" s="234">
        <v>123.768477</v>
      </c>
      <c r="D143" s="235">
        <v>90.863466611013806</v>
      </c>
      <c r="E143" s="234">
        <f t="shared" si="11"/>
        <v>90.863466611013806</v>
      </c>
      <c r="F143" s="239"/>
      <c r="G143" s="188" t="str">
        <f t="shared" si="12"/>
        <v/>
      </c>
      <c r="H143" s="236" t="str">
        <f t="shared" si="13"/>
        <v/>
      </c>
      <c r="I143" s="237"/>
    </row>
    <row r="144" spans="1:9">
      <c r="A144" s="232">
        <f t="shared" si="10"/>
        <v>142</v>
      </c>
      <c r="B144" s="233">
        <v>45342</v>
      </c>
      <c r="C144" s="234">
        <v>124.062955</v>
      </c>
      <c r="D144" s="235">
        <v>90.863466611013806</v>
      </c>
      <c r="E144" s="234">
        <f t="shared" si="11"/>
        <v>90.863466611013806</v>
      </c>
      <c r="F144" s="239"/>
      <c r="G144" s="188" t="str">
        <f t="shared" si="12"/>
        <v/>
      </c>
      <c r="H144" s="236" t="str">
        <f t="shared" si="13"/>
        <v/>
      </c>
      <c r="I144" s="237"/>
    </row>
    <row r="145" spans="1:9">
      <c r="A145" s="232">
        <f t="shared" si="10"/>
        <v>143</v>
      </c>
      <c r="B145" s="233">
        <v>45343</v>
      </c>
      <c r="C145" s="234">
        <v>104.024736</v>
      </c>
      <c r="D145" s="235">
        <v>90.863466611013806</v>
      </c>
      <c r="E145" s="234">
        <f t="shared" si="11"/>
        <v>90.863466611013806</v>
      </c>
      <c r="F145" s="239"/>
      <c r="G145" s="188" t="str">
        <f t="shared" si="12"/>
        <v/>
      </c>
      <c r="H145" s="236" t="str">
        <f t="shared" si="13"/>
        <v/>
      </c>
      <c r="I145" s="237"/>
    </row>
    <row r="146" spans="1:9">
      <c r="A146" s="232">
        <f t="shared" si="10"/>
        <v>144</v>
      </c>
      <c r="B146" s="233">
        <v>45344</v>
      </c>
      <c r="C146" s="234">
        <v>70.729303000000002</v>
      </c>
      <c r="D146" s="235">
        <v>90.863466611013806</v>
      </c>
      <c r="E146" s="234">
        <f t="shared" si="11"/>
        <v>70.729303000000002</v>
      </c>
      <c r="F146" s="239"/>
      <c r="G146" s="188" t="str">
        <f t="shared" si="12"/>
        <v/>
      </c>
      <c r="H146" s="236" t="str">
        <f t="shared" si="13"/>
        <v/>
      </c>
      <c r="I146" s="237"/>
    </row>
    <row r="147" spans="1:9">
      <c r="A147" s="232">
        <f t="shared" si="10"/>
        <v>145</v>
      </c>
      <c r="B147" s="233">
        <v>45345</v>
      </c>
      <c r="C147" s="234">
        <v>97.341922999999994</v>
      </c>
      <c r="D147" s="235">
        <v>90.863466611013806</v>
      </c>
      <c r="E147" s="234">
        <f t="shared" si="11"/>
        <v>90.863466611013806</v>
      </c>
      <c r="F147" s="239"/>
      <c r="G147" s="188" t="str">
        <f t="shared" si="12"/>
        <v/>
      </c>
      <c r="H147" s="236" t="str">
        <f t="shared" si="13"/>
        <v/>
      </c>
      <c r="I147" s="237"/>
    </row>
    <row r="148" spans="1:9">
      <c r="A148" s="232">
        <f t="shared" si="10"/>
        <v>146</v>
      </c>
      <c r="B148" s="233">
        <v>45346</v>
      </c>
      <c r="C148" s="234">
        <v>96.952414000000005</v>
      </c>
      <c r="D148" s="235">
        <v>90.863466611013806</v>
      </c>
      <c r="E148" s="234">
        <f t="shared" si="11"/>
        <v>90.863466611013806</v>
      </c>
      <c r="F148" s="239"/>
      <c r="G148" s="188" t="str">
        <f t="shared" si="12"/>
        <v/>
      </c>
      <c r="H148" s="236" t="str">
        <f t="shared" si="13"/>
        <v/>
      </c>
      <c r="I148" s="237"/>
    </row>
    <row r="149" spans="1:9">
      <c r="A149" s="232">
        <f t="shared" si="10"/>
        <v>147</v>
      </c>
      <c r="B149" s="233">
        <v>45347</v>
      </c>
      <c r="C149" s="234">
        <v>51.158391999999999</v>
      </c>
      <c r="D149" s="235">
        <v>90.863466611013806</v>
      </c>
      <c r="E149" s="234">
        <f t="shared" si="11"/>
        <v>51.158391999999999</v>
      </c>
      <c r="F149" s="239"/>
      <c r="G149" s="188" t="str">
        <f t="shared" si="12"/>
        <v/>
      </c>
      <c r="H149" s="236" t="str">
        <f t="shared" si="13"/>
        <v/>
      </c>
      <c r="I149" s="237"/>
    </row>
    <row r="150" spans="1:9">
      <c r="A150" s="232">
        <f t="shared" si="10"/>
        <v>148</v>
      </c>
      <c r="B150" s="233">
        <v>45348</v>
      </c>
      <c r="C150" s="234">
        <v>84.87567</v>
      </c>
      <c r="D150" s="235">
        <v>90.863466611013806</v>
      </c>
      <c r="E150" s="234">
        <f t="shared" si="11"/>
        <v>84.87567</v>
      </c>
      <c r="F150" s="239"/>
      <c r="G150" s="188" t="str">
        <f t="shared" si="12"/>
        <v/>
      </c>
      <c r="H150" s="236" t="str">
        <f t="shared" si="13"/>
        <v/>
      </c>
      <c r="I150" s="237"/>
    </row>
    <row r="151" spans="1:9">
      <c r="A151" s="232">
        <f t="shared" si="10"/>
        <v>149</v>
      </c>
      <c r="B151" s="233">
        <v>45349</v>
      </c>
      <c r="C151" s="234">
        <v>101.70175399999999</v>
      </c>
      <c r="D151" s="235">
        <v>90.863466611013806</v>
      </c>
      <c r="E151" s="234">
        <f t="shared" si="11"/>
        <v>90.863466611013806</v>
      </c>
      <c r="F151" s="239"/>
      <c r="G151" s="188" t="str">
        <f t="shared" si="12"/>
        <v/>
      </c>
      <c r="H151" s="236" t="str">
        <f t="shared" si="13"/>
        <v/>
      </c>
      <c r="I151" s="237"/>
    </row>
    <row r="152" spans="1:9">
      <c r="A152" s="232">
        <f t="shared" si="10"/>
        <v>150</v>
      </c>
      <c r="B152" s="233">
        <v>45350</v>
      </c>
      <c r="C152" s="234">
        <v>126.59962</v>
      </c>
      <c r="D152" s="235">
        <v>90.863466611013806</v>
      </c>
      <c r="E152" s="234">
        <f t="shared" si="11"/>
        <v>90.863466611013806</v>
      </c>
      <c r="F152" s="239"/>
      <c r="G152" s="188" t="str">
        <f t="shared" si="12"/>
        <v/>
      </c>
      <c r="H152" s="236" t="str">
        <f t="shared" si="13"/>
        <v/>
      </c>
      <c r="I152" s="237"/>
    </row>
    <row r="153" spans="1:9">
      <c r="A153" s="232">
        <f t="shared" si="10"/>
        <v>151</v>
      </c>
      <c r="B153" s="233">
        <v>45351</v>
      </c>
      <c r="C153" s="234">
        <v>119.143816</v>
      </c>
      <c r="D153" s="235">
        <v>90.863466611013806</v>
      </c>
      <c r="E153" s="234">
        <f t="shared" si="11"/>
        <v>90.863466611013806</v>
      </c>
      <c r="F153" s="239"/>
      <c r="G153" s="188" t="str">
        <f t="shared" si="12"/>
        <v/>
      </c>
      <c r="H153" s="236" t="str">
        <f t="shared" si="13"/>
        <v/>
      </c>
      <c r="I153" s="237"/>
    </row>
    <row r="154" spans="1:9">
      <c r="A154" s="232">
        <f t="shared" si="10"/>
        <v>152</v>
      </c>
      <c r="B154" s="233">
        <v>45352</v>
      </c>
      <c r="C154" s="234">
        <v>122.11869899999999</v>
      </c>
      <c r="D154" s="235">
        <v>114.57273351038378</v>
      </c>
      <c r="E154" s="234">
        <f t="shared" si="11"/>
        <v>114.57273351038378</v>
      </c>
      <c r="F154" s="239"/>
      <c r="G154" s="188" t="str">
        <f t="shared" si="12"/>
        <v/>
      </c>
      <c r="H154" s="236" t="str">
        <f t="shared" si="13"/>
        <v/>
      </c>
      <c r="I154" s="237"/>
    </row>
    <row r="155" spans="1:9">
      <c r="A155" s="232">
        <f t="shared" si="10"/>
        <v>153</v>
      </c>
      <c r="B155" s="233">
        <v>45353</v>
      </c>
      <c r="C155" s="234">
        <v>55.567951000000001</v>
      </c>
      <c r="D155" s="235">
        <v>114.57273351038378</v>
      </c>
      <c r="E155" s="234">
        <f t="shared" si="11"/>
        <v>55.567951000000001</v>
      </c>
      <c r="F155" s="237"/>
      <c r="G155" s="188" t="str">
        <f t="shared" si="12"/>
        <v/>
      </c>
      <c r="H155" s="236" t="str">
        <f t="shared" si="13"/>
        <v/>
      </c>
      <c r="I155" s="237"/>
    </row>
    <row r="156" spans="1:9">
      <c r="A156" s="232">
        <f t="shared" si="10"/>
        <v>154</v>
      </c>
      <c r="B156" s="233">
        <v>45354</v>
      </c>
      <c r="C156" s="234">
        <v>96.701739000000003</v>
      </c>
      <c r="D156" s="235">
        <v>114.57273351038378</v>
      </c>
      <c r="E156" s="234">
        <f t="shared" si="11"/>
        <v>96.701739000000003</v>
      </c>
      <c r="F156" s="239"/>
      <c r="G156" s="188" t="str">
        <f t="shared" si="12"/>
        <v/>
      </c>
      <c r="H156" s="236" t="str">
        <f t="shared" si="13"/>
        <v/>
      </c>
      <c r="I156" s="237"/>
    </row>
    <row r="157" spans="1:9">
      <c r="A157" s="232">
        <f t="shared" si="10"/>
        <v>155</v>
      </c>
      <c r="B157" s="233">
        <v>45355</v>
      </c>
      <c r="C157" s="234">
        <v>72.520445000000009</v>
      </c>
      <c r="D157" s="235">
        <v>114.57273351038378</v>
      </c>
      <c r="E157" s="234">
        <f t="shared" si="11"/>
        <v>72.520445000000009</v>
      </c>
      <c r="F157" s="239"/>
      <c r="G157" s="188" t="str">
        <f t="shared" si="12"/>
        <v/>
      </c>
      <c r="H157" s="236" t="str">
        <f t="shared" si="13"/>
        <v/>
      </c>
      <c r="I157" s="237"/>
    </row>
    <row r="158" spans="1:9">
      <c r="A158" s="232">
        <f t="shared" si="10"/>
        <v>156</v>
      </c>
      <c r="B158" s="233">
        <v>45356</v>
      </c>
      <c r="C158" s="234">
        <v>141.51600299999998</v>
      </c>
      <c r="D158" s="235">
        <v>114.57273351038378</v>
      </c>
      <c r="E158" s="234">
        <f t="shared" si="11"/>
        <v>114.57273351038378</v>
      </c>
      <c r="F158" s="239"/>
      <c r="G158" s="188" t="str">
        <f t="shared" si="12"/>
        <v/>
      </c>
      <c r="H158" s="236" t="str">
        <f t="shared" si="13"/>
        <v/>
      </c>
      <c r="I158" s="237"/>
    </row>
    <row r="159" spans="1:9">
      <c r="A159" s="232">
        <f t="shared" si="10"/>
        <v>157</v>
      </c>
      <c r="B159" s="233">
        <v>45357</v>
      </c>
      <c r="C159" s="234">
        <v>139.885141</v>
      </c>
      <c r="D159" s="235">
        <v>114.57273351038378</v>
      </c>
      <c r="E159" s="234">
        <f t="shared" si="11"/>
        <v>114.57273351038378</v>
      </c>
      <c r="F159" s="239"/>
      <c r="G159" s="188" t="str">
        <f t="shared" si="12"/>
        <v/>
      </c>
      <c r="H159" s="236" t="str">
        <f t="shared" si="13"/>
        <v/>
      </c>
      <c r="I159" s="237"/>
    </row>
    <row r="160" spans="1:9">
      <c r="A160" s="232">
        <f t="shared" si="10"/>
        <v>158</v>
      </c>
      <c r="B160" s="233">
        <v>45358</v>
      </c>
      <c r="C160" s="234">
        <v>72.104758000000004</v>
      </c>
      <c r="D160" s="235">
        <v>114.57273351038378</v>
      </c>
      <c r="E160" s="234">
        <f t="shared" si="11"/>
        <v>72.104758000000004</v>
      </c>
      <c r="F160" s="239"/>
      <c r="G160" s="188" t="str">
        <f t="shared" si="12"/>
        <v/>
      </c>
      <c r="H160" s="236" t="str">
        <f t="shared" si="13"/>
        <v/>
      </c>
      <c r="I160" s="237"/>
    </row>
    <row r="161" spans="1:9">
      <c r="A161" s="232">
        <f t="shared" si="10"/>
        <v>159</v>
      </c>
      <c r="B161" s="233">
        <v>45359</v>
      </c>
      <c r="C161" s="234">
        <v>82.392664000000011</v>
      </c>
      <c r="D161" s="235">
        <v>114.57273351038378</v>
      </c>
      <c r="E161" s="234">
        <f t="shared" si="11"/>
        <v>82.392664000000011</v>
      </c>
      <c r="F161" s="239"/>
      <c r="G161" s="188" t="str">
        <f t="shared" si="12"/>
        <v/>
      </c>
      <c r="H161" s="236" t="str">
        <f t="shared" si="13"/>
        <v/>
      </c>
      <c r="I161" s="237"/>
    </row>
    <row r="162" spans="1:9">
      <c r="A162" s="232">
        <f t="shared" si="10"/>
        <v>160</v>
      </c>
      <c r="B162" s="233">
        <v>45360</v>
      </c>
      <c r="C162" s="234">
        <v>47.828806999999998</v>
      </c>
      <c r="D162" s="235">
        <v>114.57273351038378</v>
      </c>
      <c r="E162" s="234">
        <f t="shared" si="11"/>
        <v>47.828806999999998</v>
      </c>
      <c r="F162" s="239"/>
      <c r="G162" s="188" t="str">
        <f t="shared" si="12"/>
        <v/>
      </c>
      <c r="H162" s="236" t="str">
        <f t="shared" si="13"/>
        <v/>
      </c>
      <c r="I162" s="237"/>
    </row>
    <row r="163" spans="1:9">
      <c r="A163" s="232">
        <f t="shared" si="10"/>
        <v>161</v>
      </c>
      <c r="B163" s="233">
        <v>45361</v>
      </c>
      <c r="C163" s="234">
        <v>72.627145999999996</v>
      </c>
      <c r="D163" s="235">
        <v>114.57273351038378</v>
      </c>
      <c r="E163" s="234">
        <f t="shared" si="11"/>
        <v>72.627145999999996</v>
      </c>
      <c r="F163" s="239"/>
      <c r="G163" s="188" t="str">
        <f t="shared" si="12"/>
        <v/>
      </c>
      <c r="H163" s="236" t="str">
        <f t="shared" si="13"/>
        <v/>
      </c>
      <c r="I163" s="237"/>
    </row>
    <row r="164" spans="1:9">
      <c r="A164" s="232">
        <f t="shared" si="10"/>
        <v>162</v>
      </c>
      <c r="B164" s="233">
        <v>45362</v>
      </c>
      <c r="C164" s="234">
        <v>120.249878</v>
      </c>
      <c r="D164" s="235">
        <v>114.57273351038378</v>
      </c>
      <c r="E164" s="234">
        <f t="shared" si="11"/>
        <v>114.57273351038378</v>
      </c>
      <c r="F164" s="239"/>
      <c r="G164" s="188" t="str">
        <f t="shared" si="12"/>
        <v/>
      </c>
      <c r="H164" s="236" t="str">
        <f t="shared" si="13"/>
        <v/>
      </c>
      <c r="I164" s="237"/>
    </row>
    <row r="165" spans="1:9">
      <c r="A165" s="232">
        <f t="shared" si="10"/>
        <v>163</v>
      </c>
      <c r="B165" s="233">
        <v>45363</v>
      </c>
      <c r="C165" s="234">
        <v>148.35287700000001</v>
      </c>
      <c r="D165" s="235">
        <v>114.57273351038378</v>
      </c>
      <c r="E165" s="234">
        <f t="shared" si="11"/>
        <v>114.57273351038378</v>
      </c>
      <c r="F165" s="239"/>
      <c r="G165" s="188" t="str">
        <f t="shared" si="12"/>
        <v/>
      </c>
      <c r="H165" s="236" t="str">
        <f t="shared" si="13"/>
        <v/>
      </c>
      <c r="I165" s="237"/>
    </row>
    <row r="166" spans="1:9">
      <c r="A166" s="232">
        <f t="shared" si="10"/>
        <v>164</v>
      </c>
      <c r="B166" s="233">
        <v>45364</v>
      </c>
      <c r="C166" s="234">
        <v>142.369595</v>
      </c>
      <c r="D166" s="235">
        <v>114.57273351038378</v>
      </c>
      <c r="E166" s="234">
        <f t="shared" si="11"/>
        <v>114.57273351038378</v>
      </c>
      <c r="F166" s="239"/>
      <c r="G166" s="188" t="str">
        <f t="shared" si="12"/>
        <v/>
      </c>
      <c r="H166" s="236" t="str">
        <f t="shared" si="13"/>
        <v/>
      </c>
      <c r="I166" s="237"/>
    </row>
    <row r="167" spans="1:9">
      <c r="A167" s="232">
        <f t="shared" si="10"/>
        <v>165</v>
      </c>
      <c r="B167" s="233">
        <v>45365</v>
      </c>
      <c r="C167" s="234">
        <v>116.08085000000001</v>
      </c>
      <c r="D167" s="235">
        <v>114.57273351038378</v>
      </c>
      <c r="E167" s="234">
        <f t="shared" si="11"/>
        <v>114.57273351038378</v>
      </c>
      <c r="F167" s="239"/>
      <c r="G167" s="188" t="str">
        <f t="shared" si="12"/>
        <v/>
      </c>
      <c r="H167" s="236" t="str">
        <f t="shared" si="13"/>
        <v/>
      </c>
      <c r="I167" s="237"/>
    </row>
    <row r="168" spans="1:9">
      <c r="A168" s="232">
        <f t="shared" si="10"/>
        <v>166</v>
      </c>
      <c r="B168" s="233">
        <v>45366</v>
      </c>
      <c r="C168" s="234">
        <v>121.48374000000001</v>
      </c>
      <c r="D168" s="235">
        <v>114.57273351038378</v>
      </c>
      <c r="E168" s="234">
        <f t="shared" si="11"/>
        <v>114.57273351038378</v>
      </c>
      <c r="F168" s="239"/>
      <c r="G168" s="188" t="str">
        <f t="shared" si="12"/>
        <v>M</v>
      </c>
      <c r="H168" s="236" t="str">
        <f t="shared" si="13"/>
        <v>114,6</v>
      </c>
      <c r="I168" s="237"/>
    </row>
    <row r="169" spans="1:9">
      <c r="A169" s="232">
        <f t="shared" si="10"/>
        <v>167</v>
      </c>
      <c r="B169" s="233">
        <v>45367</v>
      </c>
      <c r="C169" s="234">
        <v>130.81258299999999</v>
      </c>
      <c r="D169" s="235">
        <v>114.57273351038378</v>
      </c>
      <c r="E169" s="234">
        <f t="shared" si="11"/>
        <v>114.57273351038378</v>
      </c>
      <c r="F169" s="239"/>
      <c r="G169" s="188" t="str">
        <f t="shared" si="12"/>
        <v/>
      </c>
      <c r="H169" s="236" t="str">
        <f t="shared" si="13"/>
        <v/>
      </c>
      <c r="I169" s="237"/>
    </row>
    <row r="170" spans="1:9">
      <c r="A170" s="232">
        <f t="shared" si="10"/>
        <v>168</v>
      </c>
      <c r="B170" s="233">
        <v>45368</v>
      </c>
      <c r="C170" s="234">
        <v>124.90538599999999</v>
      </c>
      <c r="D170" s="235">
        <v>114.57273351038378</v>
      </c>
      <c r="E170" s="234">
        <f t="shared" si="11"/>
        <v>114.57273351038378</v>
      </c>
      <c r="F170" s="239"/>
      <c r="G170" s="188" t="str">
        <f t="shared" si="12"/>
        <v/>
      </c>
      <c r="H170" s="236" t="str">
        <f t="shared" si="13"/>
        <v/>
      </c>
      <c r="I170" s="237"/>
    </row>
    <row r="171" spans="1:9">
      <c r="A171" s="232">
        <f t="shared" si="10"/>
        <v>169</v>
      </c>
      <c r="B171" s="233">
        <v>45369</v>
      </c>
      <c r="C171" s="234">
        <v>105.00185400000001</v>
      </c>
      <c r="D171" s="235">
        <v>114.57273351038378</v>
      </c>
      <c r="E171" s="234">
        <f t="shared" si="11"/>
        <v>105.00185400000001</v>
      </c>
      <c r="F171" s="239"/>
      <c r="G171" s="188" t="str">
        <f t="shared" si="12"/>
        <v/>
      </c>
      <c r="H171" s="236" t="str">
        <f t="shared" si="13"/>
        <v/>
      </c>
      <c r="I171" s="237"/>
    </row>
    <row r="172" spans="1:9">
      <c r="A172" s="232">
        <f t="shared" si="10"/>
        <v>170</v>
      </c>
      <c r="B172" s="233">
        <v>45370</v>
      </c>
      <c r="C172" s="234">
        <v>123.37160399999999</v>
      </c>
      <c r="D172" s="235">
        <v>114.57273351038378</v>
      </c>
      <c r="E172" s="234">
        <f t="shared" si="11"/>
        <v>114.57273351038378</v>
      </c>
      <c r="F172" s="239"/>
      <c r="G172" s="188" t="str">
        <f t="shared" si="12"/>
        <v/>
      </c>
      <c r="H172" s="236" t="str">
        <f t="shared" si="13"/>
        <v/>
      </c>
      <c r="I172" s="237"/>
    </row>
    <row r="173" spans="1:9">
      <c r="A173" s="232">
        <f t="shared" si="10"/>
        <v>171</v>
      </c>
      <c r="B173" s="233">
        <v>45371</v>
      </c>
      <c r="C173" s="234">
        <v>105.09590799999999</v>
      </c>
      <c r="D173" s="235">
        <v>114.57273351038378</v>
      </c>
      <c r="E173" s="234">
        <f t="shared" si="11"/>
        <v>105.09590799999999</v>
      </c>
      <c r="F173" s="239"/>
      <c r="G173" s="188" t="str">
        <f t="shared" si="12"/>
        <v/>
      </c>
      <c r="H173" s="236" t="str">
        <f t="shared" si="13"/>
        <v/>
      </c>
      <c r="I173" s="237"/>
    </row>
    <row r="174" spans="1:9">
      <c r="A174" s="232">
        <f t="shared" si="10"/>
        <v>172</v>
      </c>
      <c r="B174" s="233">
        <v>45372</v>
      </c>
      <c r="C174" s="234">
        <v>98.39542999999999</v>
      </c>
      <c r="D174" s="235">
        <v>114.57273351038378</v>
      </c>
      <c r="E174" s="234">
        <f t="shared" si="11"/>
        <v>98.39542999999999</v>
      </c>
      <c r="F174" s="239"/>
      <c r="G174" s="188" t="str">
        <f t="shared" si="12"/>
        <v/>
      </c>
      <c r="H174" s="236" t="str">
        <f t="shared" si="13"/>
        <v/>
      </c>
      <c r="I174" s="237"/>
    </row>
    <row r="175" spans="1:9">
      <c r="A175" s="232">
        <f t="shared" si="10"/>
        <v>173</v>
      </c>
      <c r="B175" s="233">
        <v>45373</v>
      </c>
      <c r="C175" s="234">
        <v>110.21183000000001</v>
      </c>
      <c r="D175" s="235">
        <v>114.57273351038378</v>
      </c>
      <c r="E175" s="234">
        <f t="shared" si="11"/>
        <v>110.21183000000001</v>
      </c>
      <c r="F175" s="239"/>
      <c r="G175" s="188" t="str">
        <f t="shared" si="12"/>
        <v/>
      </c>
      <c r="H175" s="236" t="str">
        <f t="shared" si="13"/>
        <v/>
      </c>
      <c r="I175" s="237"/>
    </row>
    <row r="176" spans="1:9">
      <c r="A176" s="232">
        <f t="shared" si="10"/>
        <v>174</v>
      </c>
      <c r="B176" s="233">
        <v>45374</v>
      </c>
      <c r="C176" s="234">
        <v>86.283113999999998</v>
      </c>
      <c r="D176" s="235">
        <v>114.57273351038378</v>
      </c>
      <c r="E176" s="234">
        <f t="shared" si="11"/>
        <v>86.283113999999998</v>
      </c>
      <c r="F176" s="239"/>
      <c r="G176" s="188" t="str">
        <f t="shared" si="12"/>
        <v/>
      </c>
      <c r="H176" s="236" t="str">
        <f t="shared" si="13"/>
        <v/>
      </c>
      <c r="I176" s="237"/>
    </row>
    <row r="177" spans="1:9">
      <c r="A177" s="232">
        <f t="shared" si="10"/>
        <v>175</v>
      </c>
      <c r="B177" s="233">
        <v>45375</v>
      </c>
      <c r="C177" s="234">
        <v>70.281137000000001</v>
      </c>
      <c r="D177" s="235">
        <v>114.57273351038378</v>
      </c>
      <c r="E177" s="234">
        <f t="shared" si="11"/>
        <v>70.281137000000001</v>
      </c>
      <c r="F177" s="239"/>
      <c r="G177" s="188" t="str">
        <f t="shared" si="12"/>
        <v/>
      </c>
      <c r="H177" s="236" t="str">
        <f t="shared" si="13"/>
        <v/>
      </c>
      <c r="I177" s="237"/>
    </row>
    <row r="178" spans="1:9">
      <c r="A178" s="232">
        <f t="shared" si="10"/>
        <v>176</v>
      </c>
      <c r="B178" s="233">
        <v>45376</v>
      </c>
      <c r="C178" s="234">
        <v>51.423927999999997</v>
      </c>
      <c r="D178" s="235">
        <v>114.57273351038378</v>
      </c>
      <c r="E178" s="234">
        <f t="shared" si="11"/>
        <v>51.423927999999997</v>
      </c>
      <c r="F178" s="239"/>
      <c r="G178" s="188" t="str">
        <f t="shared" si="12"/>
        <v/>
      </c>
      <c r="H178" s="236" t="str">
        <f t="shared" si="13"/>
        <v/>
      </c>
      <c r="I178" s="237"/>
    </row>
    <row r="179" spans="1:9">
      <c r="A179" s="232">
        <f t="shared" si="10"/>
        <v>177</v>
      </c>
      <c r="B179" s="233">
        <v>45377</v>
      </c>
      <c r="C179" s="234">
        <v>95.094104000000002</v>
      </c>
      <c r="D179" s="235">
        <v>114.57273351038378</v>
      </c>
      <c r="E179" s="234">
        <f t="shared" si="11"/>
        <v>95.094104000000002</v>
      </c>
      <c r="F179" s="239"/>
      <c r="G179" s="188" t="str">
        <f t="shared" si="12"/>
        <v/>
      </c>
      <c r="H179" s="236" t="str">
        <f t="shared" si="13"/>
        <v/>
      </c>
      <c r="I179" s="237"/>
    </row>
    <row r="180" spans="1:9">
      <c r="A180" s="232">
        <f t="shared" si="10"/>
        <v>178</v>
      </c>
      <c r="B180" s="233">
        <v>45378</v>
      </c>
      <c r="C180" s="234">
        <v>71.113115999999991</v>
      </c>
      <c r="D180" s="235">
        <v>114.57273351038378</v>
      </c>
      <c r="E180" s="234">
        <f t="shared" si="11"/>
        <v>71.113115999999991</v>
      </c>
      <c r="F180" s="239"/>
      <c r="G180" s="188" t="str">
        <f t="shared" si="12"/>
        <v/>
      </c>
      <c r="H180" s="236" t="str">
        <f t="shared" si="13"/>
        <v/>
      </c>
      <c r="I180" s="237"/>
    </row>
    <row r="181" spans="1:9">
      <c r="A181" s="232">
        <f t="shared" si="10"/>
        <v>179</v>
      </c>
      <c r="B181" s="233">
        <v>45379</v>
      </c>
      <c r="C181" s="234">
        <v>72.591762000000003</v>
      </c>
      <c r="D181" s="235">
        <v>114.57273351038378</v>
      </c>
      <c r="E181" s="234">
        <f t="shared" si="11"/>
        <v>72.591762000000003</v>
      </c>
      <c r="F181" s="239"/>
      <c r="G181" s="188" t="str">
        <f t="shared" si="12"/>
        <v/>
      </c>
      <c r="H181" s="236" t="str">
        <f t="shared" si="13"/>
        <v/>
      </c>
      <c r="I181" s="237"/>
    </row>
    <row r="182" spans="1:9">
      <c r="A182" s="232">
        <f t="shared" si="10"/>
        <v>180</v>
      </c>
      <c r="B182" s="233">
        <v>45380</v>
      </c>
      <c r="C182" s="234">
        <v>70.004452000000001</v>
      </c>
      <c r="D182" s="235">
        <v>114.57273351038378</v>
      </c>
      <c r="E182" s="234">
        <f t="shared" si="11"/>
        <v>70.004452000000001</v>
      </c>
      <c r="F182" s="239"/>
      <c r="G182" s="188" t="str">
        <f t="shared" si="12"/>
        <v/>
      </c>
      <c r="H182" s="236" t="str">
        <f t="shared" si="13"/>
        <v/>
      </c>
      <c r="I182" s="237"/>
    </row>
    <row r="183" spans="1:9">
      <c r="A183" s="232">
        <f t="shared" si="10"/>
        <v>181</v>
      </c>
      <c r="B183" s="233">
        <v>45381</v>
      </c>
      <c r="C183" s="234">
        <v>73.258577000000002</v>
      </c>
      <c r="D183" s="235">
        <v>114.57273351038378</v>
      </c>
      <c r="E183" s="234">
        <f t="shared" si="11"/>
        <v>73.258577000000002</v>
      </c>
      <c r="F183" s="239"/>
      <c r="G183" s="188" t="str">
        <f t="shared" si="12"/>
        <v/>
      </c>
      <c r="H183" s="236" t="str">
        <f t="shared" si="13"/>
        <v/>
      </c>
      <c r="I183" s="237"/>
    </row>
    <row r="184" spans="1:9">
      <c r="A184" s="232">
        <f t="shared" si="10"/>
        <v>182</v>
      </c>
      <c r="B184" s="233">
        <v>45382</v>
      </c>
      <c r="C184" s="234">
        <v>56.576115999999999</v>
      </c>
      <c r="D184" s="235">
        <v>114.57273351038378</v>
      </c>
      <c r="E184" s="234">
        <f t="shared" si="11"/>
        <v>56.576115999999999</v>
      </c>
      <c r="F184" s="239"/>
      <c r="G184" s="188" t="str">
        <f t="shared" si="12"/>
        <v/>
      </c>
      <c r="H184" s="236" t="str">
        <f t="shared" si="13"/>
        <v/>
      </c>
      <c r="I184" s="237"/>
    </row>
    <row r="185" spans="1:9">
      <c r="A185" s="232">
        <f t="shared" si="10"/>
        <v>183</v>
      </c>
      <c r="B185" s="233">
        <v>45383</v>
      </c>
      <c r="C185" s="234">
        <v>110.617662</v>
      </c>
      <c r="D185" s="235">
        <v>130.5495232264862</v>
      </c>
      <c r="E185" s="234">
        <f t="shared" si="11"/>
        <v>110.617662</v>
      </c>
      <c r="F185" s="239"/>
      <c r="G185" s="188" t="str">
        <f t="shared" si="12"/>
        <v/>
      </c>
      <c r="H185" s="236" t="str">
        <f t="shared" si="13"/>
        <v/>
      </c>
      <c r="I185" s="237"/>
    </row>
    <row r="186" spans="1:9">
      <c r="A186" s="232">
        <f t="shared" si="10"/>
        <v>184</v>
      </c>
      <c r="B186" s="233">
        <v>45384</v>
      </c>
      <c r="C186" s="234">
        <v>100.563721</v>
      </c>
      <c r="D186" s="235">
        <v>130.5495232264862</v>
      </c>
      <c r="E186" s="234">
        <f t="shared" si="11"/>
        <v>100.563721</v>
      </c>
      <c r="F186" s="237"/>
      <c r="G186" s="188" t="str">
        <f t="shared" si="12"/>
        <v/>
      </c>
      <c r="H186" s="236" t="str">
        <f t="shared" si="13"/>
        <v/>
      </c>
      <c r="I186" s="237"/>
    </row>
    <row r="187" spans="1:9">
      <c r="A187" s="232">
        <f t="shared" si="10"/>
        <v>185</v>
      </c>
      <c r="B187" s="233">
        <v>45385</v>
      </c>
      <c r="C187" s="234">
        <v>127.454972</v>
      </c>
      <c r="D187" s="235">
        <v>130.5495232264862</v>
      </c>
      <c r="E187" s="234">
        <f t="shared" si="11"/>
        <v>127.454972</v>
      </c>
      <c r="F187" s="239"/>
      <c r="G187" s="188" t="str">
        <f t="shared" si="12"/>
        <v/>
      </c>
      <c r="H187" s="236" t="str">
        <f t="shared" si="13"/>
        <v/>
      </c>
      <c r="I187" s="237"/>
    </row>
    <row r="188" spans="1:9">
      <c r="A188" s="232">
        <f t="shared" si="10"/>
        <v>186</v>
      </c>
      <c r="B188" s="233">
        <v>45386</v>
      </c>
      <c r="C188" s="234">
        <v>133.29243599999998</v>
      </c>
      <c r="D188" s="235">
        <v>130.5495232264862</v>
      </c>
      <c r="E188" s="234">
        <f t="shared" si="11"/>
        <v>130.5495232264862</v>
      </c>
      <c r="F188" s="239"/>
      <c r="G188" s="188" t="str">
        <f t="shared" si="12"/>
        <v/>
      </c>
      <c r="H188" s="236" t="str">
        <f t="shared" si="13"/>
        <v/>
      </c>
      <c r="I188" s="237"/>
    </row>
    <row r="189" spans="1:9">
      <c r="A189" s="232">
        <f t="shared" si="10"/>
        <v>187</v>
      </c>
      <c r="B189" s="233">
        <v>45387</v>
      </c>
      <c r="C189" s="234">
        <v>129.717265</v>
      </c>
      <c r="D189" s="235">
        <v>130.5495232264862</v>
      </c>
      <c r="E189" s="234">
        <f t="shared" si="11"/>
        <v>129.717265</v>
      </c>
      <c r="F189" s="239"/>
      <c r="G189" s="188" t="str">
        <f t="shared" si="12"/>
        <v/>
      </c>
      <c r="H189" s="236" t="str">
        <f t="shared" si="13"/>
        <v/>
      </c>
      <c r="I189" s="237"/>
    </row>
    <row r="190" spans="1:9">
      <c r="A190" s="232">
        <f t="shared" si="10"/>
        <v>188</v>
      </c>
      <c r="B190" s="233">
        <v>45388</v>
      </c>
      <c r="C190" s="234">
        <v>67.144410000000008</v>
      </c>
      <c r="D190" s="235">
        <v>130.5495232264862</v>
      </c>
      <c r="E190" s="234">
        <f t="shared" si="11"/>
        <v>67.144410000000008</v>
      </c>
      <c r="F190" s="239"/>
      <c r="G190" s="188" t="str">
        <f t="shared" si="12"/>
        <v/>
      </c>
      <c r="H190" s="236" t="str">
        <f t="shared" si="13"/>
        <v/>
      </c>
      <c r="I190" s="237"/>
    </row>
    <row r="191" spans="1:9">
      <c r="A191" s="232">
        <f t="shared" si="10"/>
        <v>189</v>
      </c>
      <c r="B191" s="233">
        <v>45389</v>
      </c>
      <c r="C191" s="234">
        <v>87.659811000000005</v>
      </c>
      <c r="D191" s="235">
        <v>130.5495232264862</v>
      </c>
      <c r="E191" s="234">
        <f t="shared" si="11"/>
        <v>87.659811000000005</v>
      </c>
      <c r="F191" s="239"/>
      <c r="G191" s="188" t="str">
        <f t="shared" si="12"/>
        <v/>
      </c>
      <c r="H191" s="236" t="str">
        <f t="shared" si="13"/>
        <v/>
      </c>
      <c r="I191" s="237"/>
    </row>
    <row r="192" spans="1:9">
      <c r="A192" s="232">
        <f t="shared" si="10"/>
        <v>190</v>
      </c>
      <c r="B192" s="233">
        <v>45390</v>
      </c>
      <c r="C192" s="234">
        <v>102.884333</v>
      </c>
      <c r="D192" s="235">
        <v>130.5495232264862</v>
      </c>
      <c r="E192" s="234">
        <f t="shared" si="11"/>
        <v>102.884333</v>
      </c>
      <c r="F192" s="239"/>
      <c r="G192" s="188" t="str">
        <f t="shared" si="12"/>
        <v/>
      </c>
      <c r="H192" s="236" t="str">
        <f t="shared" si="13"/>
        <v/>
      </c>
      <c r="I192" s="237"/>
    </row>
    <row r="193" spans="1:9">
      <c r="A193" s="232">
        <f t="shared" si="10"/>
        <v>191</v>
      </c>
      <c r="B193" s="233">
        <v>45391</v>
      </c>
      <c r="C193" s="234">
        <v>139.20560200000003</v>
      </c>
      <c r="D193" s="235">
        <v>130.5495232264862</v>
      </c>
      <c r="E193" s="234">
        <f t="shared" si="11"/>
        <v>130.5495232264862</v>
      </c>
      <c r="F193" s="239"/>
      <c r="G193" s="188" t="str">
        <f t="shared" si="12"/>
        <v/>
      </c>
      <c r="H193" s="236" t="str">
        <f t="shared" si="13"/>
        <v/>
      </c>
      <c r="I193" s="237"/>
    </row>
    <row r="194" spans="1:9">
      <c r="A194" s="232">
        <f t="shared" si="10"/>
        <v>192</v>
      </c>
      <c r="B194" s="233">
        <v>45392</v>
      </c>
      <c r="C194" s="234">
        <v>135.94129100000001</v>
      </c>
      <c r="D194" s="235">
        <v>130.5495232264862</v>
      </c>
      <c r="E194" s="234">
        <f t="shared" si="11"/>
        <v>130.5495232264862</v>
      </c>
      <c r="F194" s="239"/>
      <c r="G194" s="188" t="str">
        <f t="shared" si="12"/>
        <v/>
      </c>
      <c r="H194" s="236" t="str">
        <f t="shared" si="13"/>
        <v/>
      </c>
      <c r="I194" s="237"/>
    </row>
    <row r="195" spans="1:9">
      <c r="A195" s="232">
        <f t="shared" si="10"/>
        <v>193</v>
      </c>
      <c r="B195" s="233">
        <v>45393</v>
      </c>
      <c r="C195" s="234">
        <v>145.73245600000001</v>
      </c>
      <c r="D195" s="235">
        <v>130.5495232264862</v>
      </c>
      <c r="E195" s="234">
        <f t="shared" si="11"/>
        <v>130.5495232264862</v>
      </c>
      <c r="F195" s="239"/>
      <c r="G195" s="188" t="str">
        <f t="shared" si="12"/>
        <v/>
      </c>
      <c r="H195" s="236" t="str">
        <f t="shared" si="13"/>
        <v/>
      </c>
      <c r="I195" s="237"/>
    </row>
    <row r="196" spans="1:9">
      <c r="A196" s="232">
        <f t="shared" ref="A196:A259" si="14">+A195+1</f>
        <v>194</v>
      </c>
      <c r="B196" s="233">
        <v>45394</v>
      </c>
      <c r="C196" s="234">
        <v>153.19438</v>
      </c>
      <c r="D196" s="235">
        <v>130.5495232264862</v>
      </c>
      <c r="E196" s="234">
        <f t="shared" ref="E196:E259" si="15">IF(C196&gt;D196,D196,C196)</f>
        <v>130.5495232264862</v>
      </c>
      <c r="F196" s="239"/>
      <c r="G196" s="188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36" t="str">
        <f t="shared" ref="H196:H259" si="17">IF(DAY($B196)=15,TEXT(D196,"#,0"),"")</f>
        <v/>
      </c>
      <c r="I196" s="237"/>
    </row>
    <row r="197" spans="1:9">
      <c r="A197" s="232">
        <f t="shared" si="14"/>
        <v>195</v>
      </c>
      <c r="B197" s="233">
        <v>45395</v>
      </c>
      <c r="C197" s="234">
        <v>131.437084</v>
      </c>
      <c r="D197" s="235">
        <v>130.5495232264862</v>
      </c>
      <c r="E197" s="234">
        <f t="shared" si="15"/>
        <v>130.5495232264862</v>
      </c>
      <c r="F197" s="239"/>
      <c r="G197" s="188" t="str">
        <f t="shared" si="16"/>
        <v/>
      </c>
      <c r="H197" s="236" t="str">
        <f t="shared" si="17"/>
        <v/>
      </c>
      <c r="I197" s="237"/>
    </row>
    <row r="198" spans="1:9">
      <c r="A198" s="232">
        <f t="shared" si="14"/>
        <v>196</v>
      </c>
      <c r="B198" s="233">
        <v>45396</v>
      </c>
      <c r="C198" s="234">
        <v>121.77601799999999</v>
      </c>
      <c r="D198" s="235">
        <v>130.5495232264862</v>
      </c>
      <c r="E198" s="234">
        <f t="shared" si="15"/>
        <v>121.77601799999999</v>
      </c>
      <c r="F198" s="239"/>
      <c r="G198" s="188" t="str">
        <f t="shared" si="16"/>
        <v/>
      </c>
      <c r="H198" s="236" t="str">
        <f t="shared" si="17"/>
        <v/>
      </c>
      <c r="I198" s="237"/>
    </row>
    <row r="199" spans="1:9">
      <c r="A199" s="232">
        <f t="shared" si="14"/>
        <v>197</v>
      </c>
      <c r="B199" s="233">
        <v>45397</v>
      </c>
      <c r="C199" s="234">
        <v>139.22938199999999</v>
      </c>
      <c r="D199" s="235">
        <v>130.5495232264862</v>
      </c>
      <c r="E199" s="234">
        <f t="shared" si="15"/>
        <v>130.5495232264862</v>
      </c>
      <c r="F199" s="239"/>
      <c r="G199" s="188" t="str">
        <f t="shared" si="16"/>
        <v>A</v>
      </c>
      <c r="H199" s="236" t="str">
        <f t="shared" si="17"/>
        <v>130,5</v>
      </c>
      <c r="I199" s="237"/>
    </row>
    <row r="200" spans="1:9">
      <c r="A200" s="232">
        <f t="shared" si="14"/>
        <v>198</v>
      </c>
      <c r="B200" s="233">
        <v>45398</v>
      </c>
      <c r="C200" s="234">
        <v>146.43443600000001</v>
      </c>
      <c r="D200" s="235">
        <v>130.5495232264862</v>
      </c>
      <c r="E200" s="234">
        <f t="shared" si="15"/>
        <v>130.5495232264862</v>
      </c>
      <c r="F200" s="239"/>
      <c r="G200" s="188" t="str">
        <f t="shared" si="16"/>
        <v/>
      </c>
      <c r="H200" s="236" t="str">
        <f t="shared" si="17"/>
        <v/>
      </c>
      <c r="I200" s="237"/>
    </row>
    <row r="201" spans="1:9">
      <c r="A201" s="232">
        <f t="shared" si="14"/>
        <v>199</v>
      </c>
      <c r="B201" s="233">
        <v>45399</v>
      </c>
      <c r="C201" s="234">
        <v>145.45671999999999</v>
      </c>
      <c r="D201" s="235">
        <v>130.5495232264862</v>
      </c>
      <c r="E201" s="234">
        <f t="shared" si="15"/>
        <v>130.5495232264862</v>
      </c>
      <c r="F201" s="239"/>
      <c r="G201" s="188" t="str">
        <f t="shared" si="16"/>
        <v/>
      </c>
      <c r="H201" s="236" t="str">
        <f t="shared" si="17"/>
        <v/>
      </c>
      <c r="I201" s="237"/>
    </row>
    <row r="202" spans="1:9">
      <c r="A202" s="232">
        <f t="shared" si="14"/>
        <v>200</v>
      </c>
      <c r="B202" s="233">
        <v>45400</v>
      </c>
      <c r="C202" s="234">
        <v>149.47644099999999</v>
      </c>
      <c r="D202" s="235">
        <v>130.5495232264862</v>
      </c>
      <c r="E202" s="234">
        <f t="shared" si="15"/>
        <v>130.5495232264862</v>
      </c>
      <c r="F202" s="239"/>
      <c r="G202" s="188" t="str">
        <f t="shared" si="16"/>
        <v/>
      </c>
      <c r="H202" s="236" t="str">
        <f t="shared" si="17"/>
        <v/>
      </c>
      <c r="I202" s="237"/>
    </row>
    <row r="203" spans="1:9">
      <c r="A203" s="232">
        <f t="shared" si="14"/>
        <v>201</v>
      </c>
      <c r="B203" s="233">
        <v>45401</v>
      </c>
      <c r="C203" s="234">
        <v>156.89545799999999</v>
      </c>
      <c r="D203" s="235">
        <v>130.5495232264862</v>
      </c>
      <c r="E203" s="234">
        <f t="shared" si="15"/>
        <v>130.5495232264862</v>
      </c>
      <c r="F203" s="239"/>
      <c r="G203" s="188" t="str">
        <f t="shared" si="16"/>
        <v/>
      </c>
      <c r="H203" s="236" t="str">
        <f t="shared" si="17"/>
        <v/>
      </c>
      <c r="I203" s="237"/>
    </row>
    <row r="204" spans="1:9">
      <c r="A204" s="232">
        <f t="shared" si="14"/>
        <v>202</v>
      </c>
      <c r="B204" s="233">
        <v>45402</v>
      </c>
      <c r="C204" s="234">
        <v>138.89298000000002</v>
      </c>
      <c r="D204" s="235">
        <v>130.5495232264862</v>
      </c>
      <c r="E204" s="234">
        <f t="shared" si="15"/>
        <v>130.5495232264862</v>
      </c>
      <c r="F204" s="239"/>
      <c r="G204" s="188" t="str">
        <f t="shared" si="16"/>
        <v/>
      </c>
      <c r="H204" s="236" t="str">
        <f t="shared" si="17"/>
        <v/>
      </c>
      <c r="I204" s="237"/>
    </row>
    <row r="205" spans="1:9">
      <c r="A205" s="232">
        <f t="shared" si="14"/>
        <v>203</v>
      </c>
      <c r="B205" s="233">
        <v>45403</v>
      </c>
      <c r="C205" s="234">
        <v>134.99850499999999</v>
      </c>
      <c r="D205" s="235">
        <v>130.5495232264862</v>
      </c>
      <c r="E205" s="234">
        <f t="shared" si="15"/>
        <v>130.5495232264862</v>
      </c>
      <c r="F205" s="239"/>
      <c r="G205" s="188" t="str">
        <f t="shared" si="16"/>
        <v/>
      </c>
      <c r="H205" s="236" t="str">
        <f t="shared" si="17"/>
        <v/>
      </c>
      <c r="I205" s="237"/>
    </row>
    <row r="206" spans="1:9">
      <c r="A206" s="232">
        <f t="shared" si="14"/>
        <v>204</v>
      </c>
      <c r="B206" s="233">
        <v>45404</v>
      </c>
      <c r="C206" s="234">
        <v>143.62547400000003</v>
      </c>
      <c r="D206" s="235">
        <v>130.5495232264862</v>
      </c>
      <c r="E206" s="234">
        <f t="shared" si="15"/>
        <v>130.5495232264862</v>
      </c>
      <c r="F206" s="239"/>
      <c r="G206" s="188" t="str">
        <f t="shared" si="16"/>
        <v/>
      </c>
      <c r="H206" s="236" t="str">
        <f t="shared" si="17"/>
        <v/>
      </c>
      <c r="I206" s="237"/>
    </row>
    <row r="207" spans="1:9">
      <c r="A207" s="232">
        <f t="shared" si="14"/>
        <v>205</v>
      </c>
      <c r="B207" s="233">
        <v>45405</v>
      </c>
      <c r="C207" s="234">
        <v>159.20101200000002</v>
      </c>
      <c r="D207" s="235">
        <v>130.5495232264862</v>
      </c>
      <c r="E207" s="234">
        <f t="shared" si="15"/>
        <v>130.5495232264862</v>
      </c>
      <c r="F207" s="239"/>
      <c r="G207" s="188" t="str">
        <f t="shared" si="16"/>
        <v/>
      </c>
      <c r="H207" s="236" t="str">
        <f t="shared" si="17"/>
        <v/>
      </c>
      <c r="I207" s="237"/>
    </row>
    <row r="208" spans="1:9">
      <c r="A208" s="232">
        <f t="shared" si="14"/>
        <v>206</v>
      </c>
      <c r="B208" s="233">
        <v>45406</v>
      </c>
      <c r="C208" s="234">
        <v>181.02885599999999</v>
      </c>
      <c r="D208" s="235">
        <v>130.5495232264862</v>
      </c>
      <c r="E208" s="234">
        <f t="shared" si="15"/>
        <v>130.5495232264862</v>
      </c>
      <c r="F208" s="239"/>
      <c r="G208" s="188" t="str">
        <f t="shared" si="16"/>
        <v/>
      </c>
      <c r="H208" s="236" t="str">
        <f t="shared" si="17"/>
        <v/>
      </c>
      <c r="I208" s="237"/>
    </row>
    <row r="209" spans="1:9">
      <c r="A209" s="232">
        <f t="shared" si="14"/>
        <v>207</v>
      </c>
      <c r="B209" s="233">
        <v>45407</v>
      </c>
      <c r="C209" s="234">
        <v>141.17770400000001</v>
      </c>
      <c r="D209" s="235">
        <v>130.5495232264862</v>
      </c>
      <c r="E209" s="234">
        <f t="shared" si="15"/>
        <v>130.5495232264862</v>
      </c>
      <c r="F209" s="239"/>
      <c r="G209" s="188" t="str">
        <f t="shared" si="16"/>
        <v/>
      </c>
      <c r="H209" s="236" t="str">
        <f t="shared" si="17"/>
        <v/>
      </c>
      <c r="I209" s="237"/>
    </row>
    <row r="210" spans="1:9">
      <c r="A210" s="232">
        <f t="shared" si="14"/>
        <v>208</v>
      </c>
      <c r="B210" s="233">
        <v>45408</v>
      </c>
      <c r="C210" s="234">
        <v>127.54322500000001</v>
      </c>
      <c r="D210" s="235">
        <v>130.5495232264862</v>
      </c>
      <c r="E210" s="234">
        <f t="shared" si="15"/>
        <v>127.54322500000001</v>
      </c>
      <c r="F210" s="239"/>
      <c r="G210" s="188" t="str">
        <f t="shared" si="16"/>
        <v/>
      </c>
      <c r="H210" s="236" t="str">
        <f t="shared" si="17"/>
        <v/>
      </c>
      <c r="I210" s="237"/>
    </row>
    <row r="211" spans="1:9">
      <c r="A211" s="232">
        <f t="shared" si="14"/>
        <v>209</v>
      </c>
      <c r="B211" s="233">
        <v>45409</v>
      </c>
      <c r="C211" s="234">
        <v>109.72990300000001</v>
      </c>
      <c r="D211" s="235">
        <v>130.5495232264862</v>
      </c>
      <c r="E211" s="234">
        <f t="shared" si="15"/>
        <v>109.72990300000001</v>
      </c>
      <c r="F211" s="239"/>
      <c r="G211" s="188" t="str">
        <f t="shared" si="16"/>
        <v/>
      </c>
      <c r="H211" s="236" t="str">
        <f t="shared" si="17"/>
        <v/>
      </c>
      <c r="I211" s="237"/>
    </row>
    <row r="212" spans="1:9">
      <c r="A212" s="232">
        <f t="shared" si="14"/>
        <v>210</v>
      </c>
      <c r="B212" s="233">
        <v>45410</v>
      </c>
      <c r="C212" s="234">
        <v>136.06989300000001</v>
      </c>
      <c r="D212" s="235">
        <v>130.5495232264862</v>
      </c>
      <c r="E212" s="234">
        <f t="shared" si="15"/>
        <v>130.5495232264862</v>
      </c>
      <c r="F212" s="239"/>
      <c r="G212" s="188" t="str">
        <f t="shared" si="16"/>
        <v/>
      </c>
      <c r="H212" s="236" t="str">
        <f t="shared" si="17"/>
        <v/>
      </c>
      <c r="I212" s="237"/>
    </row>
    <row r="213" spans="1:9">
      <c r="A213" s="232">
        <f t="shared" si="14"/>
        <v>211</v>
      </c>
      <c r="B213" s="233">
        <v>45411</v>
      </c>
      <c r="C213" s="234">
        <v>129.36293000000001</v>
      </c>
      <c r="D213" s="235">
        <v>130.5495232264862</v>
      </c>
      <c r="E213" s="234">
        <f t="shared" si="15"/>
        <v>129.36293000000001</v>
      </c>
      <c r="F213" s="239"/>
      <c r="G213" s="188" t="str">
        <f t="shared" si="16"/>
        <v/>
      </c>
      <c r="H213" s="236" t="str">
        <f t="shared" si="17"/>
        <v/>
      </c>
      <c r="I213" s="237"/>
    </row>
    <row r="214" spans="1:9">
      <c r="A214" s="232">
        <f t="shared" si="14"/>
        <v>212</v>
      </c>
      <c r="B214" s="233">
        <v>45412</v>
      </c>
      <c r="C214" s="234">
        <v>128.55420799999999</v>
      </c>
      <c r="D214" s="235">
        <v>130.5495232264862</v>
      </c>
      <c r="E214" s="234">
        <f t="shared" si="15"/>
        <v>128.55420799999999</v>
      </c>
      <c r="F214" s="239"/>
      <c r="G214" s="188" t="str">
        <f t="shared" si="16"/>
        <v/>
      </c>
      <c r="H214" s="236" t="str">
        <f t="shared" si="17"/>
        <v/>
      </c>
      <c r="I214" s="237"/>
    </row>
    <row r="215" spans="1:9">
      <c r="A215" s="232">
        <f t="shared" si="14"/>
        <v>213</v>
      </c>
      <c r="B215" s="233">
        <v>45413</v>
      </c>
      <c r="C215" s="234">
        <v>109.82363700000001</v>
      </c>
      <c r="D215" s="235">
        <v>151.43081667939495</v>
      </c>
      <c r="E215" s="234">
        <f t="shared" si="15"/>
        <v>109.82363700000001</v>
      </c>
      <c r="F215" s="239"/>
      <c r="G215" s="188" t="str">
        <f t="shared" si="16"/>
        <v/>
      </c>
      <c r="H215" s="236" t="str">
        <f t="shared" si="17"/>
        <v/>
      </c>
      <c r="I215" s="237"/>
    </row>
    <row r="216" spans="1:9">
      <c r="A216" s="232">
        <f t="shared" si="14"/>
        <v>214</v>
      </c>
      <c r="B216" s="233">
        <v>45414</v>
      </c>
      <c r="C216" s="234">
        <v>161.784434</v>
      </c>
      <c r="D216" s="235">
        <v>151.43081667939495</v>
      </c>
      <c r="E216" s="234">
        <f t="shared" si="15"/>
        <v>151.43081667939495</v>
      </c>
      <c r="F216" s="237"/>
      <c r="G216" s="188" t="str">
        <f t="shared" si="16"/>
        <v/>
      </c>
      <c r="H216" s="236" t="str">
        <f t="shared" si="17"/>
        <v/>
      </c>
      <c r="I216" s="237"/>
    </row>
    <row r="217" spans="1:9">
      <c r="A217" s="232">
        <f t="shared" si="14"/>
        <v>215</v>
      </c>
      <c r="B217" s="233">
        <v>45415</v>
      </c>
      <c r="C217" s="234">
        <v>178.44599199999999</v>
      </c>
      <c r="D217" s="235">
        <v>151.43081667939495</v>
      </c>
      <c r="E217" s="234">
        <f t="shared" si="15"/>
        <v>151.43081667939495</v>
      </c>
      <c r="F217" s="239"/>
      <c r="G217" s="188" t="str">
        <f t="shared" si="16"/>
        <v/>
      </c>
      <c r="H217" s="236" t="str">
        <f t="shared" si="17"/>
        <v/>
      </c>
      <c r="I217" s="237"/>
    </row>
    <row r="218" spans="1:9">
      <c r="A218" s="232">
        <f t="shared" si="14"/>
        <v>216</v>
      </c>
      <c r="B218" s="233">
        <v>45416</v>
      </c>
      <c r="C218" s="234">
        <v>158.96108800000002</v>
      </c>
      <c r="D218" s="235">
        <v>151.43081667939495</v>
      </c>
      <c r="E218" s="234">
        <f t="shared" si="15"/>
        <v>151.43081667939495</v>
      </c>
      <c r="F218" s="239"/>
      <c r="G218" s="188" t="str">
        <f t="shared" si="16"/>
        <v/>
      </c>
      <c r="H218" s="236" t="str">
        <f t="shared" si="17"/>
        <v/>
      </c>
      <c r="I218" s="237"/>
    </row>
    <row r="219" spans="1:9">
      <c r="A219" s="232">
        <f t="shared" si="14"/>
        <v>217</v>
      </c>
      <c r="B219" s="233">
        <v>45417</v>
      </c>
      <c r="C219" s="234">
        <v>117.60462600000001</v>
      </c>
      <c r="D219" s="235">
        <v>151.43081667939495</v>
      </c>
      <c r="E219" s="234">
        <f t="shared" si="15"/>
        <v>117.60462600000001</v>
      </c>
      <c r="F219" s="239"/>
      <c r="G219" s="188" t="str">
        <f t="shared" si="16"/>
        <v/>
      </c>
      <c r="H219" s="236" t="str">
        <f t="shared" si="17"/>
        <v/>
      </c>
      <c r="I219" s="237"/>
    </row>
    <row r="220" spans="1:9">
      <c r="A220" s="232">
        <f t="shared" si="14"/>
        <v>218</v>
      </c>
      <c r="B220" s="233">
        <v>45418</v>
      </c>
      <c r="C220" s="234">
        <v>148.74340700000002</v>
      </c>
      <c r="D220" s="235">
        <v>151.43081667939495</v>
      </c>
      <c r="E220" s="234">
        <f t="shared" si="15"/>
        <v>148.74340700000002</v>
      </c>
      <c r="F220" s="239"/>
      <c r="G220" s="188" t="str">
        <f t="shared" si="16"/>
        <v/>
      </c>
      <c r="H220" s="236" t="str">
        <f t="shared" si="17"/>
        <v/>
      </c>
      <c r="I220" s="237"/>
    </row>
    <row r="221" spans="1:9">
      <c r="A221" s="232">
        <f t="shared" si="14"/>
        <v>219</v>
      </c>
      <c r="B221" s="233">
        <v>45419</v>
      </c>
      <c r="C221" s="234">
        <v>180.023889</v>
      </c>
      <c r="D221" s="235">
        <v>151.43081667939495</v>
      </c>
      <c r="E221" s="234">
        <f t="shared" si="15"/>
        <v>151.43081667939495</v>
      </c>
      <c r="F221" s="239"/>
      <c r="G221" s="188" t="str">
        <f t="shared" si="16"/>
        <v/>
      </c>
      <c r="H221" s="236" t="str">
        <f t="shared" si="17"/>
        <v/>
      </c>
      <c r="I221" s="237"/>
    </row>
    <row r="222" spans="1:9">
      <c r="A222" s="232">
        <f t="shared" si="14"/>
        <v>220</v>
      </c>
      <c r="B222" s="233">
        <v>45420</v>
      </c>
      <c r="C222" s="234">
        <v>180.497052</v>
      </c>
      <c r="D222" s="235">
        <v>151.43081667939495</v>
      </c>
      <c r="E222" s="234">
        <f t="shared" si="15"/>
        <v>151.43081667939495</v>
      </c>
      <c r="F222" s="239"/>
      <c r="G222" s="188" t="str">
        <f t="shared" si="16"/>
        <v/>
      </c>
      <c r="H222" s="236" t="str">
        <f t="shared" si="17"/>
        <v/>
      </c>
      <c r="I222" s="237"/>
    </row>
    <row r="223" spans="1:9">
      <c r="A223" s="232">
        <f t="shared" si="14"/>
        <v>221</v>
      </c>
      <c r="B223" s="233">
        <v>45421</v>
      </c>
      <c r="C223" s="234">
        <v>170.38241500000001</v>
      </c>
      <c r="D223" s="235">
        <v>151.43081667939495</v>
      </c>
      <c r="E223" s="234">
        <f t="shared" si="15"/>
        <v>151.43081667939495</v>
      </c>
      <c r="F223" s="239"/>
      <c r="G223" s="188" t="str">
        <f t="shared" si="16"/>
        <v/>
      </c>
      <c r="H223" s="236" t="str">
        <f t="shared" si="17"/>
        <v/>
      </c>
      <c r="I223" s="237"/>
    </row>
    <row r="224" spans="1:9">
      <c r="A224" s="232">
        <f t="shared" si="14"/>
        <v>222</v>
      </c>
      <c r="B224" s="233">
        <v>45422</v>
      </c>
      <c r="C224" s="234">
        <v>172.83320599999999</v>
      </c>
      <c r="D224" s="235">
        <v>151.43081667939495</v>
      </c>
      <c r="E224" s="234">
        <f t="shared" si="15"/>
        <v>151.43081667939495</v>
      </c>
      <c r="F224" s="239"/>
      <c r="G224" s="188" t="str">
        <f t="shared" si="16"/>
        <v/>
      </c>
      <c r="H224" s="236" t="str">
        <f t="shared" si="17"/>
        <v/>
      </c>
      <c r="I224" s="237"/>
    </row>
    <row r="225" spans="1:9">
      <c r="A225" s="232">
        <f t="shared" si="14"/>
        <v>223</v>
      </c>
      <c r="B225" s="233">
        <v>45423</v>
      </c>
      <c r="C225" s="234">
        <v>141.24041</v>
      </c>
      <c r="D225" s="235">
        <v>151.43081667939495</v>
      </c>
      <c r="E225" s="234">
        <f t="shared" si="15"/>
        <v>141.24041</v>
      </c>
      <c r="F225" s="239"/>
      <c r="G225" s="188" t="str">
        <f t="shared" si="16"/>
        <v/>
      </c>
      <c r="H225" s="236" t="str">
        <f t="shared" si="17"/>
        <v/>
      </c>
      <c r="I225" s="237"/>
    </row>
    <row r="226" spans="1:9">
      <c r="A226" s="232">
        <f t="shared" si="14"/>
        <v>224</v>
      </c>
      <c r="B226" s="233">
        <v>45424</v>
      </c>
      <c r="C226" s="234">
        <v>132.454678</v>
      </c>
      <c r="D226" s="235">
        <v>151.43081667939495</v>
      </c>
      <c r="E226" s="234">
        <f t="shared" si="15"/>
        <v>132.454678</v>
      </c>
      <c r="F226" s="239"/>
      <c r="G226" s="188" t="str">
        <f t="shared" si="16"/>
        <v/>
      </c>
      <c r="H226" s="236" t="str">
        <f t="shared" si="17"/>
        <v/>
      </c>
      <c r="I226" s="237"/>
    </row>
    <row r="227" spans="1:9">
      <c r="A227" s="232">
        <f t="shared" si="14"/>
        <v>225</v>
      </c>
      <c r="B227" s="233">
        <v>45425</v>
      </c>
      <c r="C227" s="234">
        <v>159.569872</v>
      </c>
      <c r="D227" s="235">
        <v>151.43081667939495</v>
      </c>
      <c r="E227" s="234">
        <f t="shared" si="15"/>
        <v>151.43081667939495</v>
      </c>
      <c r="F227" s="239"/>
      <c r="G227" s="188" t="str">
        <f t="shared" si="16"/>
        <v/>
      </c>
      <c r="H227" s="236" t="str">
        <f t="shared" si="17"/>
        <v/>
      </c>
      <c r="I227" s="237"/>
    </row>
    <row r="228" spans="1:9">
      <c r="A228" s="232">
        <f t="shared" si="14"/>
        <v>226</v>
      </c>
      <c r="B228" s="233">
        <v>45426</v>
      </c>
      <c r="C228" s="234">
        <v>150.03524900000002</v>
      </c>
      <c r="D228" s="235">
        <v>151.43081667939495</v>
      </c>
      <c r="E228" s="234">
        <f t="shared" si="15"/>
        <v>150.03524900000002</v>
      </c>
      <c r="F228" s="239"/>
      <c r="G228" s="188" t="str">
        <f t="shared" si="16"/>
        <v/>
      </c>
      <c r="H228" s="236" t="str">
        <f t="shared" si="17"/>
        <v/>
      </c>
      <c r="I228" s="237"/>
    </row>
    <row r="229" spans="1:9">
      <c r="A229" s="232">
        <f t="shared" si="14"/>
        <v>227</v>
      </c>
      <c r="B229" s="233">
        <v>45427</v>
      </c>
      <c r="C229" s="234">
        <v>166.33568300000002</v>
      </c>
      <c r="D229" s="235">
        <v>151.43081667939495</v>
      </c>
      <c r="E229" s="234">
        <f t="shared" si="15"/>
        <v>151.43081667939495</v>
      </c>
      <c r="F229" s="239"/>
      <c r="G229" s="188" t="str">
        <f t="shared" si="16"/>
        <v>M</v>
      </c>
      <c r="H229" s="236" t="str">
        <f t="shared" si="17"/>
        <v>151,4</v>
      </c>
      <c r="I229" s="237"/>
    </row>
    <row r="230" spans="1:9">
      <c r="A230" s="232">
        <f t="shared" si="14"/>
        <v>228</v>
      </c>
      <c r="B230" s="233">
        <v>45428</v>
      </c>
      <c r="C230" s="234">
        <v>152.46536600000002</v>
      </c>
      <c r="D230" s="235">
        <v>151.43081667939495</v>
      </c>
      <c r="E230" s="234">
        <f t="shared" si="15"/>
        <v>151.43081667939495</v>
      </c>
      <c r="F230" s="239"/>
      <c r="G230" s="188" t="str">
        <f t="shared" si="16"/>
        <v/>
      </c>
      <c r="H230" s="236" t="str">
        <f t="shared" si="17"/>
        <v/>
      </c>
      <c r="I230" s="237"/>
    </row>
    <row r="231" spans="1:9">
      <c r="A231" s="232">
        <f t="shared" si="14"/>
        <v>229</v>
      </c>
      <c r="B231" s="233">
        <v>45429</v>
      </c>
      <c r="C231" s="234">
        <v>144.41933300000002</v>
      </c>
      <c r="D231" s="235">
        <v>151.43081667939495</v>
      </c>
      <c r="E231" s="234">
        <f t="shared" si="15"/>
        <v>144.41933300000002</v>
      </c>
      <c r="F231" s="239"/>
      <c r="G231" s="188" t="str">
        <f t="shared" si="16"/>
        <v/>
      </c>
      <c r="H231" s="236" t="str">
        <f t="shared" si="17"/>
        <v/>
      </c>
      <c r="I231" s="237"/>
    </row>
    <row r="232" spans="1:9">
      <c r="A232" s="232">
        <f t="shared" si="14"/>
        <v>230</v>
      </c>
      <c r="B232" s="233">
        <v>45430</v>
      </c>
      <c r="C232" s="234">
        <v>174.23653200000001</v>
      </c>
      <c r="D232" s="235">
        <v>151.43081667939495</v>
      </c>
      <c r="E232" s="234">
        <f t="shared" si="15"/>
        <v>151.43081667939495</v>
      </c>
      <c r="F232" s="239"/>
      <c r="G232" s="188" t="str">
        <f t="shared" si="16"/>
        <v/>
      </c>
      <c r="H232" s="236" t="str">
        <f t="shared" si="17"/>
        <v/>
      </c>
      <c r="I232" s="237"/>
    </row>
    <row r="233" spans="1:9">
      <c r="A233" s="232">
        <f t="shared" si="14"/>
        <v>231</v>
      </c>
      <c r="B233" s="233">
        <v>45431</v>
      </c>
      <c r="C233" s="234">
        <v>139.01047399999999</v>
      </c>
      <c r="D233" s="235">
        <v>151.43081667939495</v>
      </c>
      <c r="E233" s="234">
        <f t="shared" si="15"/>
        <v>139.01047399999999</v>
      </c>
      <c r="F233" s="239"/>
      <c r="G233" s="188" t="str">
        <f t="shared" si="16"/>
        <v/>
      </c>
      <c r="H233" s="236" t="str">
        <f t="shared" si="17"/>
        <v/>
      </c>
      <c r="I233" s="237"/>
    </row>
    <row r="234" spans="1:9">
      <c r="A234" s="232">
        <f t="shared" si="14"/>
        <v>232</v>
      </c>
      <c r="B234" s="233">
        <v>45432</v>
      </c>
      <c r="C234" s="234">
        <v>161.96756500000001</v>
      </c>
      <c r="D234" s="235">
        <v>151.43081667939495</v>
      </c>
      <c r="E234" s="234">
        <f t="shared" si="15"/>
        <v>151.43081667939495</v>
      </c>
      <c r="F234" s="239"/>
      <c r="G234" s="188" t="str">
        <f t="shared" si="16"/>
        <v/>
      </c>
      <c r="H234" s="236" t="str">
        <f t="shared" si="17"/>
        <v/>
      </c>
      <c r="I234" s="237"/>
    </row>
    <row r="235" spans="1:9">
      <c r="A235" s="232">
        <f t="shared" si="14"/>
        <v>233</v>
      </c>
      <c r="B235" s="233">
        <v>45433</v>
      </c>
      <c r="C235" s="234">
        <v>162.45104500000002</v>
      </c>
      <c r="D235" s="235">
        <v>151.43081667939495</v>
      </c>
      <c r="E235" s="234">
        <f t="shared" si="15"/>
        <v>151.43081667939495</v>
      </c>
      <c r="F235" s="239"/>
      <c r="G235" s="188" t="str">
        <f t="shared" si="16"/>
        <v/>
      </c>
      <c r="H235" s="236" t="str">
        <f t="shared" si="17"/>
        <v/>
      </c>
      <c r="I235" s="237"/>
    </row>
    <row r="236" spans="1:9">
      <c r="A236" s="232">
        <f t="shared" si="14"/>
        <v>234</v>
      </c>
      <c r="B236" s="233">
        <v>45434</v>
      </c>
      <c r="C236" s="234">
        <v>178.88222200000001</v>
      </c>
      <c r="D236" s="235">
        <v>151.43081667939495</v>
      </c>
      <c r="E236" s="234">
        <f t="shared" si="15"/>
        <v>151.43081667939495</v>
      </c>
      <c r="F236" s="239"/>
      <c r="G236" s="188" t="str">
        <f t="shared" si="16"/>
        <v/>
      </c>
      <c r="H236" s="236" t="str">
        <f t="shared" si="17"/>
        <v/>
      </c>
      <c r="I236" s="237"/>
    </row>
    <row r="237" spans="1:9">
      <c r="A237" s="232">
        <f t="shared" si="14"/>
        <v>235</v>
      </c>
      <c r="B237" s="233">
        <v>45435</v>
      </c>
      <c r="C237" s="234">
        <v>181.39443499999999</v>
      </c>
      <c r="D237" s="235">
        <v>151.43081667939495</v>
      </c>
      <c r="E237" s="234">
        <f t="shared" si="15"/>
        <v>151.43081667939495</v>
      </c>
      <c r="F237" s="239"/>
      <c r="G237" s="188" t="str">
        <f t="shared" si="16"/>
        <v/>
      </c>
      <c r="H237" s="236" t="str">
        <f t="shared" si="17"/>
        <v/>
      </c>
      <c r="I237" s="237"/>
    </row>
    <row r="238" spans="1:9">
      <c r="A238" s="232">
        <f t="shared" si="14"/>
        <v>236</v>
      </c>
      <c r="B238" s="233">
        <v>45436</v>
      </c>
      <c r="C238" s="234">
        <v>198.83987200000001</v>
      </c>
      <c r="D238" s="235">
        <v>151.43081667939495</v>
      </c>
      <c r="E238" s="234">
        <f t="shared" si="15"/>
        <v>151.43081667939495</v>
      </c>
      <c r="F238" s="239"/>
      <c r="G238" s="188" t="str">
        <f t="shared" si="16"/>
        <v/>
      </c>
      <c r="H238" s="236" t="str">
        <f t="shared" si="17"/>
        <v/>
      </c>
      <c r="I238" s="237"/>
    </row>
    <row r="239" spans="1:9">
      <c r="A239" s="232">
        <f t="shared" si="14"/>
        <v>237</v>
      </c>
      <c r="B239" s="233">
        <v>45437</v>
      </c>
      <c r="C239" s="234">
        <v>179.37997000000001</v>
      </c>
      <c r="D239" s="235">
        <v>151.43081667939495</v>
      </c>
      <c r="E239" s="234">
        <f t="shared" si="15"/>
        <v>151.43081667939495</v>
      </c>
      <c r="F239" s="239"/>
      <c r="G239" s="188" t="str">
        <f t="shared" si="16"/>
        <v/>
      </c>
      <c r="H239" s="236" t="str">
        <f t="shared" si="17"/>
        <v/>
      </c>
      <c r="I239" s="237"/>
    </row>
    <row r="240" spans="1:9">
      <c r="A240" s="232">
        <f t="shared" si="14"/>
        <v>238</v>
      </c>
      <c r="B240" s="233">
        <v>45438</v>
      </c>
      <c r="C240" s="234">
        <v>145.327631</v>
      </c>
      <c r="D240" s="235">
        <v>151.43081667939495</v>
      </c>
      <c r="E240" s="234">
        <f t="shared" si="15"/>
        <v>145.327631</v>
      </c>
      <c r="F240" s="239"/>
      <c r="G240" s="188" t="str">
        <f t="shared" si="16"/>
        <v/>
      </c>
      <c r="H240" s="236" t="str">
        <f t="shared" si="17"/>
        <v/>
      </c>
      <c r="I240" s="237"/>
    </row>
    <row r="241" spans="1:9">
      <c r="A241" s="232">
        <f t="shared" si="14"/>
        <v>239</v>
      </c>
      <c r="B241" s="233">
        <v>45439</v>
      </c>
      <c r="C241" s="234">
        <v>184.18776599999998</v>
      </c>
      <c r="D241" s="235">
        <v>151.43081667939495</v>
      </c>
      <c r="E241" s="234">
        <f t="shared" si="15"/>
        <v>151.43081667939495</v>
      </c>
      <c r="F241" s="239"/>
      <c r="G241" s="188" t="str">
        <f t="shared" si="16"/>
        <v/>
      </c>
      <c r="H241" s="236" t="str">
        <f t="shared" si="17"/>
        <v/>
      </c>
      <c r="I241" s="237"/>
    </row>
    <row r="242" spans="1:9">
      <c r="A242" s="232">
        <f t="shared" si="14"/>
        <v>240</v>
      </c>
      <c r="B242" s="233">
        <v>45440</v>
      </c>
      <c r="C242" s="234">
        <v>184.26521700000001</v>
      </c>
      <c r="D242" s="235">
        <v>151.43081667939495</v>
      </c>
      <c r="E242" s="234">
        <f t="shared" si="15"/>
        <v>151.43081667939495</v>
      </c>
      <c r="F242" s="239"/>
      <c r="G242" s="188" t="str">
        <f t="shared" si="16"/>
        <v/>
      </c>
      <c r="H242" s="236" t="str">
        <f t="shared" si="17"/>
        <v/>
      </c>
      <c r="I242" s="237"/>
    </row>
    <row r="243" spans="1:9">
      <c r="A243" s="232">
        <f t="shared" si="14"/>
        <v>241</v>
      </c>
      <c r="B243" s="233">
        <v>45441</v>
      </c>
      <c r="C243" s="234">
        <v>190.60167899999999</v>
      </c>
      <c r="D243" s="235">
        <v>151.43081667939495</v>
      </c>
      <c r="E243" s="234">
        <f t="shared" si="15"/>
        <v>151.43081667939495</v>
      </c>
      <c r="F243" s="239"/>
      <c r="G243" s="188" t="str">
        <f t="shared" si="16"/>
        <v/>
      </c>
      <c r="H243" s="236" t="str">
        <f t="shared" si="17"/>
        <v/>
      </c>
      <c r="I243" s="237"/>
    </row>
    <row r="244" spans="1:9">
      <c r="A244" s="232">
        <f t="shared" si="14"/>
        <v>242</v>
      </c>
      <c r="B244" s="233">
        <v>45442</v>
      </c>
      <c r="C244" s="234">
        <v>177.76068900000001</v>
      </c>
      <c r="D244" s="235">
        <v>151.43081667939495</v>
      </c>
      <c r="E244" s="234">
        <f t="shared" si="15"/>
        <v>151.43081667939495</v>
      </c>
      <c r="F244" s="239"/>
      <c r="G244" s="188" t="str">
        <f t="shared" si="16"/>
        <v/>
      </c>
      <c r="H244" s="236" t="str">
        <f t="shared" si="17"/>
        <v/>
      </c>
      <c r="I244" s="237"/>
    </row>
    <row r="245" spans="1:9">
      <c r="A245" s="232">
        <f t="shared" si="14"/>
        <v>243</v>
      </c>
      <c r="B245" s="233">
        <v>45443</v>
      </c>
      <c r="C245" s="234">
        <v>158.66071700000001</v>
      </c>
      <c r="D245" s="235">
        <v>151.43081667939495</v>
      </c>
      <c r="E245" s="234">
        <f t="shared" si="15"/>
        <v>151.43081667939495</v>
      </c>
      <c r="F245" s="239"/>
      <c r="G245" s="188" t="str">
        <f t="shared" si="16"/>
        <v/>
      </c>
      <c r="H245" s="236" t="str">
        <f t="shared" si="17"/>
        <v/>
      </c>
      <c r="I245" s="237"/>
    </row>
    <row r="246" spans="1:9">
      <c r="A246" s="232">
        <f t="shared" si="14"/>
        <v>244</v>
      </c>
      <c r="B246" s="233">
        <v>45444</v>
      </c>
      <c r="C246" s="234">
        <v>147.87666700000003</v>
      </c>
      <c r="D246" s="235">
        <v>156.45076420643238</v>
      </c>
      <c r="E246" s="234">
        <f t="shared" si="15"/>
        <v>147.87666700000003</v>
      </c>
      <c r="F246" s="239"/>
      <c r="G246" s="188" t="str">
        <f t="shared" si="16"/>
        <v/>
      </c>
      <c r="H246" s="236" t="str">
        <f t="shared" si="17"/>
        <v/>
      </c>
      <c r="I246" s="237"/>
    </row>
    <row r="247" spans="1:9">
      <c r="A247" s="232">
        <f t="shared" si="14"/>
        <v>245</v>
      </c>
      <c r="B247" s="233">
        <v>45445</v>
      </c>
      <c r="C247" s="234">
        <v>151.50779699999998</v>
      </c>
      <c r="D247" s="235">
        <v>156.45076420643238</v>
      </c>
      <c r="E247" s="234">
        <f t="shared" si="15"/>
        <v>151.50779699999998</v>
      </c>
      <c r="F247" s="237"/>
      <c r="G247" s="188" t="str">
        <f t="shared" si="16"/>
        <v/>
      </c>
      <c r="H247" s="236" t="str">
        <f t="shared" si="17"/>
        <v/>
      </c>
      <c r="I247" s="237"/>
    </row>
    <row r="248" spans="1:9">
      <c r="A248" s="232">
        <f t="shared" si="14"/>
        <v>246</v>
      </c>
      <c r="B248" s="233">
        <v>45446</v>
      </c>
      <c r="C248" s="234">
        <v>176.83338599999999</v>
      </c>
      <c r="D248" s="235">
        <v>156.45076420643238</v>
      </c>
      <c r="E248" s="234">
        <f t="shared" si="15"/>
        <v>156.45076420643238</v>
      </c>
      <c r="F248" s="239"/>
      <c r="G248" s="188" t="str">
        <f t="shared" si="16"/>
        <v/>
      </c>
      <c r="H248" s="236" t="str">
        <f t="shared" si="17"/>
        <v/>
      </c>
      <c r="I248" s="237"/>
    </row>
    <row r="249" spans="1:9">
      <c r="A249" s="232">
        <f t="shared" si="14"/>
        <v>247</v>
      </c>
      <c r="B249" s="233">
        <v>45447</v>
      </c>
      <c r="C249" s="234">
        <v>189.30363900000003</v>
      </c>
      <c r="D249" s="235">
        <v>156.45076420643238</v>
      </c>
      <c r="E249" s="234">
        <f t="shared" si="15"/>
        <v>156.45076420643238</v>
      </c>
      <c r="F249" s="239"/>
      <c r="G249" s="188" t="str">
        <f t="shared" si="16"/>
        <v/>
      </c>
      <c r="H249" s="236" t="str">
        <f t="shared" si="17"/>
        <v/>
      </c>
      <c r="I249" s="237"/>
    </row>
    <row r="250" spans="1:9">
      <c r="A250" s="232">
        <f t="shared" si="14"/>
        <v>248</v>
      </c>
      <c r="B250" s="233">
        <v>45448</v>
      </c>
      <c r="C250" s="234">
        <v>184.41141099999999</v>
      </c>
      <c r="D250" s="235">
        <v>156.45076420643238</v>
      </c>
      <c r="E250" s="234">
        <f t="shared" si="15"/>
        <v>156.45076420643238</v>
      </c>
      <c r="F250" s="239"/>
      <c r="G250" s="188" t="str">
        <f t="shared" si="16"/>
        <v/>
      </c>
      <c r="H250" s="236" t="str">
        <f t="shared" si="17"/>
        <v/>
      </c>
      <c r="I250" s="237"/>
    </row>
    <row r="251" spans="1:9">
      <c r="A251" s="232">
        <f t="shared" si="14"/>
        <v>249</v>
      </c>
      <c r="B251" s="233">
        <v>45449</v>
      </c>
      <c r="C251" s="234">
        <v>163.438928</v>
      </c>
      <c r="D251" s="235">
        <v>156.45076420643238</v>
      </c>
      <c r="E251" s="234">
        <f t="shared" si="15"/>
        <v>156.45076420643238</v>
      </c>
      <c r="F251" s="239"/>
      <c r="G251" s="188" t="str">
        <f t="shared" si="16"/>
        <v/>
      </c>
      <c r="H251" s="236" t="str">
        <f t="shared" si="17"/>
        <v/>
      </c>
      <c r="I251" s="237"/>
    </row>
    <row r="252" spans="1:9">
      <c r="A252" s="232">
        <f t="shared" si="14"/>
        <v>250</v>
      </c>
      <c r="B252" s="233">
        <v>45450</v>
      </c>
      <c r="C252" s="234">
        <v>133.16868500000001</v>
      </c>
      <c r="D252" s="235">
        <v>156.45076420643238</v>
      </c>
      <c r="E252" s="234">
        <f t="shared" si="15"/>
        <v>133.16868500000001</v>
      </c>
      <c r="F252" s="239"/>
      <c r="G252" s="188" t="str">
        <f t="shared" si="16"/>
        <v/>
      </c>
      <c r="H252" s="236" t="str">
        <f t="shared" si="17"/>
        <v/>
      </c>
      <c r="I252" s="237"/>
    </row>
    <row r="253" spans="1:9">
      <c r="A253" s="232">
        <f t="shared" si="14"/>
        <v>251</v>
      </c>
      <c r="B253" s="233">
        <v>45451</v>
      </c>
      <c r="C253" s="234">
        <v>123.673928</v>
      </c>
      <c r="D253" s="235">
        <v>156.45076420643238</v>
      </c>
      <c r="E253" s="234">
        <f t="shared" si="15"/>
        <v>123.673928</v>
      </c>
      <c r="F253" s="239"/>
      <c r="G253" s="188" t="str">
        <f t="shared" si="16"/>
        <v/>
      </c>
      <c r="H253" s="236" t="str">
        <f t="shared" si="17"/>
        <v/>
      </c>
      <c r="I253" s="237"/>
    </row>
    <row r="254" spans="1:9">
      <c r="A254" s="232">
        <f t="shared" si="14"/>
        <v>252</v>
      </c>
      <c r="B254" s="233">
        <v>45452</v>
      </c>
      <c r="C254" s="234">
        <v>112.13243199999998</v>
      </c>
      <c r="D254" s="235">
        <v>156.45076420643238</v>
      </c>
      <c r="E254" s="234">
        <f t="shared" si="15"/>
        <v>112.13243199999998</v>
      </c>
      <c r="F254" s="239"/>
      <c r="G254" s="188" t="str">
        <f t="shared" si="16"/>
        <v/>
      </c>
      <c r="H254" s="236" t="str">
        <f t="shared" si="17"/>
        <v/>
      </c>
      <c r="I254" s="237"/>
    </row>
    <row r="255" spans="1:9">
      <c r="A255" s="232">
        <f t="shared" si="14"/>
        <v>253</v>
      </c>
      <c r="B255" s="233">
        <v>45453</v>
      </c>
      <c r="C255" s="234">
        <v>123.059034</v>
      </c>
      <c r="D255" s="235">
        <v>156.45076420643238</v>
      </c>
      <c r="E255" s="234">
        <f t="shared" si="15"/>
        <v>123.059034</v>
      </c>
      <c r="F255" s="239"/>
      <c r="G255" s="188" t="str">
        <f t="shared" si="16"/>
        <v/>
      </c>
      <c r="H255" s="236" t="str">
        <f t="shared" si="17"/>
        <v/>
      </c>
      <c r="I255" s="237"/>
    </row>
    <row r="256" spans="1:9">
      <c r="A256" s="232">
        <f t="shared" si="14"/>
        <v>254</v>
      </c>
      <c r="B256" s="233">
        <v>45454</v>
      </c>
      <c r="C256" s="234">
        <v>157.393722</v>
      </c>
      <c r="D256" s="235">
        <v>156.45076420643238</v>
      </c>
      <c r="E256" s="234">
        <f t="shared" si="15"/>
        <v>156.45076420643238</v>
      </c>
      <c r="F256" s="239"/>
      <c r="G256" s="188" t="str">
        <f t="shared" si="16"/>
        <v/>
      </c>
      <c r="H256" s="236" t="str">
        <f t="shared" si="17"/>
        <v/>
      </c>
      <c r="I256" s="237"/>
    </row>
    <row r="257" spans="1:9">
      <c r="A257" s="232">
        <f t="shared" si="14"/>
        <v>255</v>
      </c>
      <c r="B257" s="233">
        <v>45455</v>
      </c>
      <c r="C257" s="234">
        <v>153.54156099999997</v>
      </c>
      <c r="D257" s="235">
        <v>156.45076420643238</v>
      </c>
      <c r="E257" s="234">
        <f t="shared" si="15"/>
        <v>153.54156099999997</v>
      </c>
      <c r="F257" s="239"/>
      <c r="G257" s="188" t="str">
        <f t="shared" si="16"/>
        <v/>
      </c>
      <c r="H257" s="236" t="str">
        <f t="shared" si="17"/>
        <v/>
      </c>
      <c r="I257" s="237"/>
    </row>
    <row r="258" spans="1:9">
      <c r="A258" s="232">
        <f t="shared" si="14"/>
        <v>256</v>
      </c>
      <c r="B258" s="233">
        <v>45456</v>
      </c>
      <c r="C258" s="234">
        <v>178.42045999999999</v>
      </c>
      <c r="D258" s="235">
        <v>156.45076420643238</v>
      </c>
      <c r="E258" s="234">
        <f t="shared" si="15"/>
        <v>156.45076420643238</v>
      </c>
      <c r="F258" s="239"/>
      <c r="G258" s="188" t="str">
        <f t="shared" si="16"/>
        <v/>
      </c>
      <c r="H258" s="236" t="str">
        <f t="shared" si="17"/>
        <v/>
      </c>
      <c r="I258" s="237"/>
    </row>
    <row r="259" spans="1:9">
      <c r="A259" s="232">
        <f t="shared" si="14"/>
        <v>257</v>
      </c>
      <c r="B259" s="233">
        <v>45457</v>
      </c>
      <c r="C259" s="234">
        <v>185.63656800000001</v>
      </c>
      <c r="D259" s="235">
        <v>156.45076420643238</v>
      </c>
      <c r="E259" s="234">
        <f t="shared" si="15"/>
        <v>156.45076420643238</v>
      </c>
      <c r="F259" s="239"/>
      <c r="G259" s="188" t="str">
        <f t="shared" si="16"/>
        <v/>
      </c>
      <c r="H259" s="236" t="str">
        <f t="shared" si="17"/>
        <v/>
      </c>
      <c r="I259" s="237"/>
    </row>
    <row r="260" spans="1:9">
      <c r="A260" s="232">
        <f t="shared" ref="A260:A323" si="18">+A259+1</f>
        <v>258</v>
      </c>
      <c r="B260" s="233">
        <v>45458</v>
      </c>
      <c r="C260" s="234">
        <v>156.48865700000002</v>
      </c>
      <c r="D260" s="235">
        <v>156.45076420643238</v>
      </c>
      <c r="E260" s="234">
        <f t="shared" ref="E260:E323" si="19">IF(C260&gt;D260,D260,C260)</f>
        <v>156.45076420643238</v>
      </c>
      <c r="F260" s="239"/>
      <c r="G260" s="188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>J</v>
      </c>
      <c r="H260" s="236" t="str">
        <f t="shared" ref="H260:H323" si="21">IF(DAY($B260)=15,TEXT(D260,"#,0"),"")</f>
        <v>156,5</v>
      </c>
      <c r="I260" s="237"/>
    </row>
    <row r="261" spans="1:9">
      <c r="A261" s="232">
        <f t="shared" si="18"/>
        <v>259</v>
      </c>
      <c r="B261" s="233">
        <v>45459</v>
      </c>
      <c r="C261" s="234">
        <v>146.635043</v>
      </c>
      <c r="D261" s="235">
        <v>156.45076420643238</v>
      </c>
      <c r="E261" s="234">
        <f t="shared" si="19"/>
        <v>146.635043</v>
      </c>
      <c r="F261" s="239"/>
      <c r="G261" s="188" t="str">
        <f t="shared" si="20"/>
        <v/>
      </c>
      <c r="H261" s="236" t="str">
        <f t="shared" si="21"/>
        <v/>
      </c>
      <c r="I261" s="237"/>
    </row>
    <row r="262" spans="1:9">
      <c r="A262" s="232">
        <f t="shared" si="18"/>
        <v>260</v>
      </c>
      <c r="B262" s="233">
        <v>45460</v>
      </c>
      <c r="C262" s="234">
        <v>198.71553900000001</v>
      </c>
      <c r="D262" s="235">
        <v>156.45076420643238</v>
      </c>
      <c r="E262" s="234">
        <f t="shared" si="19"/>
        <v>156.45076420643238</v>
      </c>
      <c r="F262" s="239"/>
      <c r="G262" s="188" t="str">
        <f t="shared" si="20"/>
        <v/>
      </c>
      <c r="H262" s="236" t="str">
        <f t="shared" si="21"/>
        <v/>
      </c>
      <c r="I262" s="237"/>
    </row>
    <row r="263" spans="1:9">
      <c r="A263" s="232">
        <f t="shared" si="18"/>
        <v>261</v>
      </c>
      <c r="B263" s="233">
        <v>45461</v>
      </c>
      <c r="C263" s="234">
        <v>143.64317499999999</v>
      </c>
      <c r="D263" s="235">
        <v>156.45076420643238</v>
      </c>
      <c r="E263" s="234">
        <f t="shared" si="19"/>
        <v>143.64317499999999</v>
      </c>
      <c r="F263" s="239"/>
      <c r="G263" s="188" t="str">
        <f t="shared" si="20"/>
        <v/>
      </c>
      <c r="H263" s="236" t="str">
        <f t="shared" si="21"/>
        <v/>
      </c>
      <c r="I263" s="237"/>
    </row>
    <row r="264" spans="1:9">
      <c r="A264" s="232">
        <f t="shared" si="18"/>
        <v>262</v>
      </c>
      <c r="B264" s="233">
        <v>45462</v>
      </c>
      <c r="C264" s="234">
        <v>139.86172399999998</v>
      </c>
      <c r="D264" s="235">
        <v>156.45076420643238</v>
      </c>
      <c r="E264" s="234">
        <f t="shared" si="19"/>
        <v>139.86172399999998</v>
      </c>
      <c r="F264" s="239"/>
      <c r="G264" s="188" t="str">
        <f t="shared" si="20"/>
        <v/>
      </c>
      <c r="H264" s="236" t="str">
        <f t="shared" si="21"/>
        <v/>
      </c>
      <c r="I264" s="237"/>
    </row>
    <row r="265" spans="1:9">
      <c r="A265" s="232">
        <f t="shared" si="18"/>
        <v>263</v>
      </c>
      <c r="B265" s="233">
        <v>45463</v>
      </c>
      <c r="C265" s="234">
        <v>153.71248399999999</v>
      </c>
      <c r="D265" s="235">
        <v>156.45076420643238</v>
      </c>
      <c r="E265" s="234">
        <f t="shared" si="19"/>
        <v>153.71248399999999</v>
      </c>
      <c r="F265" s="239"/>
      <c r="G265" s="188" t="str">
        <f t="shared" si="20"/>
        <v/>
      </c>
      <c r="H265" s="236" t="str">
        <f t="shared" si="21"/>
        <v/>
      </c>
      <c r="I265" s="237"/>
    </row>
    <row r="266" spans="1:9">
      <c r="A266" s="232">
        <f t="shared" si="18"/>
        <v>264</v>
      </c>
      <c r="B266" s="233">
        <v>45464</v>
      </c>
      <c r="C266" s="234">
        <v>201.16819099999998</v>
      </c>
      <c r="D266" s="235">
        <v>156.45076420643238</v>
      </c>
      <c r="E266" s="234">
        <f t="shared" si="19"/>
        <v>156.45076420643238</v>
      </c>
      <c r="F266" s="239"/>
      <c r="G266" s="188" t="str">
        <f t="shared" si="20"/>
        <v/>
      </c>
      <c r="H266" s="236" t="str">
        <f t="shared" si="21"/>
        <v/>
      </c>
      <c r="I266" s="237"/>
    </row>
    <row r="267" spans="1:9">
      <c r="A267" s="232">
        <f t="shared" si="18"/>
        <v>265</v>
      </c>
      <c r="B267" s="233">
        <v>45465</v>
      </c>
      <c r="C267" s="234">
        <v>173.846226</v>
      </c>
      <c r="D267" s="235">
        <v>156.45076420643238</v>
      </c>
      <c r="E267" s="234">
        <f t="shared" si="19"/>
        <v>156.45076420643238</v>
      </c>
      <c r="F267" s="239"/>
      <c r="G267" s="188" t="str">
        <f t="shared" si="20"/>
        <v/>
      </c>
      <c r="H267" s="236" t="str">
        <f t="shared" si="21"/>
        <v/>
      </c>
      <c r="I267" s="237"/>
    </row>
    <row r="268" spans="1:9">
      <c r="A268" s="232">
        <f t="shared" si="18"/>
        <v>266</v>
      </c>
      <c r="B268" s="233">
        <v>45466</v>
      </c>
      <c r="C268" s="234">
        <v>149.951358</v>
      </c>
      <c r="D268" s="235">
        <v>156.45076420643238</v>
      </c>
      <c r="E268" s="234">
        <f t="shared" si="19"/>
        <v>149.951358</v>
      </c>
      <c r="F268" s="239"/>
      <c r="G268" s="188" t="str">
        <f t="shared" si="20"/>
        <v/>
      </c>
      <c r="H268" s="236" t="str">
        <f t="shared" si="21"/>
        <v/>
      </c>
      <c r="I268" s="237"/>
    </row>
    <row r="269" spans="1:9">
      <c r="A269" s="232">
        <f t="shared" si="18"/>
        <v>267</v>
      </c>
      <c r="B269" s="233">
        <v>45467</v>
      </c>
      <c r="C269" s="234">
        <v>191.35134299999999</v>
      </c>
      <c r="D269" s="235">
        <v>156.45076420643238</v>
      </c>
      <c r="E269" s="234">
        <f t="shared" si="19"/>
        <v>156.45076420643238</v>
      </c>
      <c r="F269" s="239"/>
      <c r="G269" s="188" t="str">
        <f t="shared" si="20"/>
        <v/>
      </c>
      <c r="H269" s="236" t="str">
        <f t="shared" si="21"/>
        <v/>
      </c>
      <c r="I269" s="237"/>
    </row>
    <row r="270" spans="1:9">
      <c r="A270" s="232">
        <f t="shared" si="18"/>
        <v>268</v>
      </c>
      <c r="B270" s="233">
        <v>45468</v>
      </c>
      <c r="C270" s="234">
        <v>191.65865400000001</v>
      </c>
      <c r="D270" s="235">
        <v>156.45076420643238</v>
      </c>
      <c r="E270" s="234">
        <f t="shared" si="19"/>
        <v>156.45076420643238</v>
      </c>
      <c r="F270" s="239"/>
      <c r="G270" s="188" t="str">
        <f t="shared" si="20"/>
        <v/>
      </c>
      <c r="H270" s="236" t="str">
        <f t="shared" si="21"/>
        <v/>
      </c>
      <c r="I270" s="237"/>
    </row>
    <row r="271" spans="1:9">
      <c r="A271" s="232">
        <f t="shared" si="18"/>
        <v>269</v>
      </c>
      <c r="B271" s="233">
        <v>45469</v>
      </c>
      <c r="C271" s="234">
        <v>153.04221900000002</v>
      </c>
      <c r="D271" s="235">
        <v>156.45076420643238</v>
      </c>
      <c r="E271" s="234">
        <f t="shared" si="19"/>
        <v>153.04221900000002</v>
      </c>
      <c r="F271" s="239"/>
      <c r="G271" s="188" t="str">
        <f t="shared" si="20"/>
        <v/>
      </c>
      <c r="H271" s="236" t="str">
        <f t="shared" si="21"/>
        <v/>
      </c>
      <c r="I271" s="237"/>
    </row>
    <row r="272" spans="1:9">
      <c r="A272" s="232">
        <f t="shared" si="18"/>
        <v>270</v>
      </c>
      <c r="B272" s="233">
        <v>45470</v>
      </c>
      <c r="C272" s="234">
        <v>143.51155800000001</v>
      </c>
      <c r="D272" s="235">
        <v>156.45076420643238</v>
      </c>
      <c r="E272" s="234">
        <f t="shared" si="19"/>
        <v>143.51155800000001</v>
      </c>
      <c r="F272" s="239"/>
      <c r="G272" s="188" t="str">
        <f t="shared" si="20"/>
        <v/>
      </c>
      <c r="H272" s="236" t="str">
        <f t="shared" si="21"/>
        <v/>
      </c>
      <c r="I272" s="237"/>
    </row>
    <row r="273" spans="1:9">
      <c r="A273" s="232">
        <f t="shared" si="18"/>
        <v>271</v>
      </c>
      <c r="B273" s="233">
        <v>45471</v>
      </c>
      <c r="C273" s="234">
        <v>121.09355000000001</v>
      </c>
      <c r="D273" s="235">
        <v>156.45076420643238</v>
      </c>
      <c r="E273" s="234">
        <f t="shared" si="19"/>
        <v>121.09355000000001</v>
      </c>
      <c r="F273" s="239"/>
      <c r="G273" s="188" t="str">
        <f t="shared" si="20"/>
        <v/>
      </c>
      <c r="H273" s="236" t="str">
        <f t="shared" si="21"/>
        <v/>
      </c>
      <c r="I273" s="237"/>
    </row>
    <row r="274" spans="1:9">
      <c r="A274" s="232">
        <f t="shared" si="18"/>
        <v>272</v>
      </c>
      <c r="B274" s="233">
        <v>45472</v>
      </c>
      <c r="C274" s="234">
        <v>102.74132399999999</v>
      </c>
      <c r="D274" s="235">
        <v>156.45076420643238</v>
      </c>
      <c r="E274" s="234">
        <f t="shared" si="19"/>
        <v>102.74132399999999</v>
      </c>
      <c r="F274" s="239"/>
      <c r="G274" s="188" t="str">
        <f t="shared" si="20"/>
        <v/>
      </c>
      <c r="H274" s="236" t="str">
        <f t="shared" si="21"/>
        <v/>
      </c>
      <c r="I274" s="237"/>
    </row>
    <row r="275" spans="1:9">
      <c r="A275" s="232">
        <f t="shared" si="18"/>
        <v>273</v>
      </c>
      <c r="B275" s="233">
        <v>45473</v>
      </c>
      <c r="C275" s="234">
        <v>152.093672</v>
      </c>
      <c r="D275" s="235">
        <v>156.45076420643238</v>
      </c>
      <c r="E275" s="234">
        <f t="shared" si="19"/>
        <v>152.093672</v>
      </c>
      <c r="F275" s="239"/>
      <c r="G275" s="188" t="str">
        <f t="shared" si="20"/>
        <v/>
      </c>
      <c r="H275" s="236" t="str">
        <f t="shared" si="21"/>
        <v/>
      </c>
      <c r="I275" s="237"/>
    </row>
    <row r="276" spans="1:9">
      <c r="A276" s="232">
        <f t="shared" si="18"/>
        <v>274</v>
      </c>
      <c r="B276" s="233">
        <v>45474</v>
      </c>
      <c r="C276" s="234">
        <v>176.68966500000002</v>
      </c>
      <c r="D276" s="235">
        <v>160.12487071676725</v>
      </c>
      <c r="E276" s="234">
        <f t="shared" si="19"/>
        <v>160.12487071676725</v>
      </c>
      <c r="F276" s="239"/>
      <c r="G276" s="188" t="str">
        <f t="shared" si="20"/>
        <v/>
      </c>
      <c r="H276" s="236" t="str">
        <f t="shared" si="21"/>
        <v/>
      </c>
      <c r="I276" s="237"/>
    </row>
    <row r="277" spans="1:9">
      <c r="A277" s="232">
        <f t="shared" si="18"/>
        <v>275</v>
      </c>
      <c r="B277" s="233">
        <v>45475</v>
      </c>
      <c r="C277" s="234">
        <v>199.131606</v>
      </c>
      <c r="D277" s="235">
        <v>160.12487071676725</v>
      </c>
      <c r="E277" s="234">
        <f t="shared" si="19"/>
        <v>160.12487071676725</v>
      </c>
      <c r="F277" s="237"/>
      <c r="G277" s="188" t="str">
        <f t="shared" si="20"/>
        <v/>
      </c>
      <c r="H277" s="236" t="str">
        <f t="shared" si="21"/>
        <v/>
      </c>
      <c r="I277" s="237"/>
    </row>
    <row r="278" spans="1:9">
      <c r="A278" s="232">
        <f t="shared" si="18"/>
        <v>276</v>
      </c>
      <c r="B278" s="233">
        <v>45476</v>
      </c>
      <c r="C278" s="234">
        <v>203.566722</v>
      </c>
      <c r="D278" s="235">
        <v>160.12487071676725</v>
      </c>
      <c r="E278" s="234">
        <f t="shared" si="19"/>
        <v>160.12487071676725</v>
      </c>
      <c r="F278" s="239"/>
      <c r="G278" s="188" t="str">
        <f t="shared" si="20"/>
        <v/>
      </c>
      <c r="H278" s="236" t="str">
        <f t="shared" si="21"/>
        <v/>
      </c>
      <c r="I278" s="237"/>
    </row>
    <row r="279" spans="1:9">
      <c r="A279" s="232">
        <f t="shared" si="18"/>
        <v>277</v>
      </c>
      <c r="B279" s="233">
        <v>45477</v>
      </c>
      <c r="C279" s="234">
        <v>198.899293</v>
      </c>
      <c r="D279" s="235">
        <v>160.12487071676725</v>
      </c>
      <c r="E279" s="234">
        <f t="shared" si="19"/>
        <v>160.12487071676725</v>
      </c>
      <c r="F279" s="239"/>
      <c r="G279" s="188" t="str">
        <f t="shared" si="20"/>
        <v/>
      </c>
      <c r="H279" s="236" t="str">
        <f t="shared" si="21"/>
        <v/>
      </c>
      <c r="I279" s="237"/>
    </row>
    <row r="280" spans="1:9">
      <c r="A280" s="232">
        <f t="shared" si="18"/>
        <v>278</v>
      </c>
      <c r="B280" s="233">
        <v>45478</v>
      </c>
      <c r="C280" s="234">
        <v>194.11130199999999</v>
      </c>
      <c r="D280" s="235">
        <v>160.12487071676725</v>
      </c>
      <c r="E280" s="234">
        <f t="shared" si="19"/>
        <v>160.12487071676725</v>
      </c>
      <c r="F280" s="239"/>
      <c r="G280" s="188" t="str">
        <f t="shared" si="20"/>
        <v/>
      </c>
      <c r="H280" s="236" t="str">
        <f t="shared" si="21"/>
        <v/>
      </c>
      <c r="I280" s="237"/>
    </row>
    <row r="281" spans="1:9">
      <c r="A281" s="232">
        <f t="shared" si="18"/>
        <v>279</v>
      </c>
      <c r="B281" s="233">
        <v>45479</v>
      </c>
      <c r="C281" s="234">
        <v>150.343636</v>
      </c>
      <c r="D281" s="235">
        <v>160.12487071676725</v>
      </c>
      <c r="E281" s="234">
        <f t="shared" si="19"/>
        <v>150.343636</v>
      </c>
      <c r="F281" s="239"/>
      <c r="G281" s="188" t="str">
        <f t="shared" si="20"/>
        <v/>
      </c>
      <c r="H281" s="236" t="str">
        <f t="shared" si="21"/>
        <v/>
      </c>
      <c r="I281" s="237"/>
    </row>
    <row r="282" spans="1:9">
      <c r="A282" s="232">
        <f t="shared" si="18"/>
        <v>280</v>
      </c>
      <c r="B282" s="233">
        <v>45480</v>
      </c>
      <c r="C282" s="234">
        <v>159.93816700000002</v>
      </c>
      <c r="D282" s="235">
        <v>160.12487071676725</v>
      </c>
      <c r="E282" s="234">
        <f t="shared" si="19"/>
        <v>159.93816700000002</v>
      </c>
      <c r="F282" s="239"/>
      <c r="G282" s="188" t="str">
        <f t="shared" si="20"/>
        <v/>
      </c>
      <c r="H282" s="236" t="str">
        <f t="shared" si="21"/>
        <v/>
      </c>
      <c r="I282" s="237"/>
    </row>
    <row r="283" spans="1:9">
      <c r="A283" s="232">
        <f t="shared" si="18"/>
        <v>281</v>
      </c>
      <c r="B283" s="233">
        <v>45481</v>
      </c>
      <c r="C283" s="234">
        <v>194.41218799999999</v>
      </c>
      <c r="D283" s="235">
        <v>160.12487071676725</v>
      </c>
      <c r="E283" s="234">
        <f t="shared" si="19"/>
        <v>160.12487071676725</v>
      </c>
      <c r="F283" s="239"/>
      <c r="G283" s="188" t="str">
        <f t="shared" si="20"/>
        <v/>
      </c>
      <c r="H283" s="236" t="str">
        <f t="shared" si="21"/>
        <v/>
      </c>
      <c r="I283" s="237"/>
    </row>
    <row r="284" spans="1:9">
      <c r="A284" s="232">
        <f t="shared" si="18"/>
        <v>282</v>
      </c>
      <c r="B284" s="233">
        <v>45482</v>
      </c>
      <c r="C284" s="234">
        <v>194.626385</v>
      </c>
      <c r="D284" s="235">
        <v>160.12487071676725</v>
      </c>
      <c r="E284" s="234">
        <f t="shared" si="19"/>
        <v>160.12487071676725</v>
      </c>
      <c r="F284" s="239"/>
      <c r="G284" s="188" t="str">
        <f t="shared" si="20"/>
        <v/>
      </c>
      <c r="H284" s="236" t="str">
        <f t="shared" si="21"/>
        <v/>
      </c>
      <c r="I284" s="237"/>
    </row>
    <row r="285" spans="1:9">
      <c r="A285" s="232">
        <f t="shared" si="18"/>
        <v>283</v>
      </c>
      <c r="B285" s="233">
        <v>45483</v>
      </c>
      <c r="C285" s="234">
        <v>202.80241800000002</v>
      </c>
      <c r="D285" s="235">
        <v>160.12487071676725</v>
      </c>
      <c r="E285" s="234">
        <f t="shared" si="19"/>
        <v>160.12487071676725</v>
      </c>
      <c r="F285" s="239"/>
      <c r="G285" s="188" t="str">
        <f t="shared" si="20"/>
        <v/>
      </c>
      <c r="H285" s="236" t="str">
        <f t="shared" si="21"/>
        <v/>
      </c>
      <c r="I285" s="237"/>
    </row>
    <row r="286" spans="1:9">
      <c r="A286" s="232">
        <f t="shared" si="18"/>
        <v>284</v>
      </c>
      <c r="B286" s="233">
        <v>45484</v>
      </c>
      <c r="C286" s="234">
        <v>202.98172200000002</v>
      </c>
      <c r="D286" s="235">
        <v>160.12487071676725</v>
      </c>
      <c r="E286" s="234">
        <f t="shared" si="19"/>
        <v>160.12487071676725</v>
      </c>
      <c r="F286" s="239"/>
      <c r="G286" s="188" t="str">
        <f t="shared" si="20"/>
        <v/>
      </c>
      <c r="H286" s="236" t="str">
        <f t="shared" si="21"/>
        <v/>
      </c>
      <c r="I286" s="237"/>
    </row>
    <row r="287" spans="1:9">
      <c r="A287" s="232">
        <f t="shared" si="18"/>
        <v>285</v>
      </c>
      <c r="B287" s="233">
        <v>45485</v>
      </c>
      <c r="C287" s="234">
        <v>209.10517899999999</v>
      </c>
      <c r="D287" s="235">
        <v>160.12487071676725</v>
      </c>
      <c r="E287" s="234">
        <f t="shared" si="19"/>
        <v>160.12487071676725</v>
      </c>
      <c r="F287" s="239"/>
      <c r="G287" s="188" t="str">
        <f t="shared" si="20"/>
        <v/>
      </c>
      <c r="H287" s="236" t="str">
        <f t="shared" si="21"/>
        <v/>
      </c>
      <c r="I287" s="237"/>
    </row>
    <row r="288" spans="1:9">
      <c r="A288" s="232">
        <f t="shared" si="18"/>
        <v>286</v>
      </c>
      <c r="B288" s="233">
        <v>45486</v>
      </c>
      <c r="C288" s="234">
        <v>187.23530700000001</v>
      </c>
      <c r="D288" s="235">
        <v>160.12487071676725</v>
      </c>
      <c r="E288" s="234">
        <f t="shared" si="19"/>
        <v>160.12487071676725</v>
      </c>
      <c r="F288" s="239"/>
      <c r="G288" s="188" t="str">
        <f t="shared" si="20"/>
        <v/>
      </c>
      <c r="H288" s="236" t="str">
        <f t="shared" si="21"/>
        <v/>
      </c>
      <c r="I288" s="237"/>
    </row>
    <row r="289" spans="1:9">
      <c r="A289" s="232">
        <f t="shared" si="18"/>
        <v>287</v>
      </c>
      <c r="B289" s="233">
        <v>45487</v>
      </c>
      <c r="C289" s="234">
        <v>171.06237100000001</v>
      </c>
      <c r="D289" s="235">
        <v>160.12487071676725</v>
      </c>
      <c r="E289" s="234">
        <f t="shared" si="19"/>
        <v>160.12487071676725</v>
      </c>
      <c r="F289" s="239"/>
      <c r="G289" s="188" t="str">
        <f t="shared" si="20"/>
        <v/>
      </c>
      <c r="H289" s="236" t="str">
        <f t="shared" si="21"/>
        <v/>
      </c>
      <c r="I289" s="237"/>
    </row>
    <row r="290" spans="1:9">
      <c r="A290" s="232">
        <f t="shared" si="18"/>
        <v>288</v>
      </c>
      <c r="B290" s="233">
        <v>45488</v>
      </c>
      <c r="C290" s="234">
        <v>183.149687</v>
      </c>
      <c r="D290" s="235">
        <v>160.12487071676725</v>
      </c>
      <c r="E290" s="234">
        <f t="shared" si="19"/>
        <v>160.12487071676725</v>
      </c>
      <c r="F290" s="239"/>
      <c r="G290" s="188" t="str">
        <f t="shared" si="20"/>
        <v>J</v>
      </c>
      <c r="H290" s="236" t="str">
        <f t="shared" si="21"/>
        <v>160,1</v>
      </c>
      <c r="I290" s="237"/>
    </row>
    <row r="291" spans="1:9">
      <c r="A291" s="232">
        <f t="shared" si="18"/>
        <v>289</v>
      </c>
      <c r="B291" s="233">
        <v>45489</v>
      </c>
      <c r="C291" s="234">
        <v>203.86247800000001</v>
      </c>
      <c r="D291" s="235">
        <v>160.12487071676725</v>
      </c>
      <c r="E291" s="234">
        <f t="shared" si="19"/>
        <v>160.12487071676725</v>
      </c>
      <c r="F291" s="239"/>
      <c r="G291" s="188" t="str">
        <f t="shared" si="20"/>
        <v/>
      </c>
      <c r="H291" s="236" t="str">
        <f t="shared" si="21"/>
        <v/>
      </c>
      <c r="I291" s="237"/>
    </row>
    <row r="292" spans="1:9">
      <c r="A292" s="232">
        <f t="shared" si="18"/>
        <v>290</v>
      </c>
      <c r="B292" s="233">
        <v>45490</v>
      </c>
      <c r="C292" s="234">
        <v>194.27258300000003</v>
      </c>
      <c r="D292" s="235">
        <v>160.12487071676725</v>
      </c>
      <c r="E292" s="234">
        <f t="shared" si="19"/>
        <v>160.12487071676725</v>
      </c>
      <c r="F292" s="239"/>
      <c r="G292" s="188" t="str">
        <f t="shared" si="20"/>
        <v/>
      </c>
      <c r="H292" s="236" t="str">
        <f t="shared" si="21"/>
        <v/>
      </c>
      <c r="I292" s="237"/>
    </row>
    <row r="293" spans="1:9">
      <c r="A293" s="232">
        <f t="shared" si="18"/>
        <v>291</v>
      </c>
      <c r="B293" s="233">
        <v>45491</v>
      </c>
      <c r="C293" s="234">
        <v>151.60473499999998</v>
      </c>
      <c r="D293" s="235">
        <v>160.12487071676725</v>
      </c>
      <c r="E293" s="234">
        <f t="shared" si="19"/>
        <v>151.60473499999998</v>
      </c>
      <c r="F293" s="239"/>
      <c r="G293" s="188" t="str">
        <f t="shared" si="20"/>
        <v/>
      </c>
      <c r="H293" s="236" t="str">
        <f t="shared" si="21"/>
        <v/>
      </c>
      <c r="I293" s="237"/>
    </row>
    <row r="294" spans="1:9">
      <c r="A294" s="232">
        <f t="shared" si="18"/>
        <v>292</v>
      </c>
      <c r="B294" s="233">
        <v>45492</v>
      </c>
      <c r="C294" s="234">
        <v>194.51468600000001</v>
      </c>
      <c r="D294" s="235">
        <v>160.12487071676725</v>
      </c>
      <c r="E294" s="234">
        <f t="shared" si="19"/>
        <v>160.12487071676725</v>
      </c>
      <c r="F294" s="239"/>
      <c r="G294" s="188" t="str">
        <f t="shared" si="20"/>
        <v/>
      </c>
      <c r="H294" s="236" t="str">
        <f t="shared" si="21"/>
        <v/>
      </c>
      <c r="I294" s="237"/>
    </row>
    <row r="295" spans="1:9">
      <c r="A295" s="232">
        <f t="shared" si="18"/>
        <v>293</v>
      </c>
      <c r="B295" s="233">
        <v>45493</v>
      </c>
      <c r="C295" s="234">
        <v>184.63639000000001</v>
      </c>
      <c r="D295" s="235">
        <v>160.12487071676725</v>
      </c>
      <c r="E295" s="234">
        <f t="shared" si="19"/>
        <v>160.12487071676725</v>
      </c>
      <c r="F295" s="239"/>
      <c r="G295" s="188" t="str">
        <f t="shared" si="20"/>
        <v/>
      </c>
      <c r="H295" s="236" t="str">
        <f t="shared" si="21"/>
        <v/>
      </c>
      <c r="I295" s="237"/>
    </row>
    <row r="296" spans="1:9">
      <c r="A296" s="232">
        <f t="shared" si="18"/>
        <v>294</v>
      </c>
      <c r="B296" s="233">
        <v>45494</v>
      </c>
      <c r="C296" s="234">
        <v>174.48697399999998</v>
      </c>
      <c r="D296" s="235">
        <v>160.12487071676725</v>
      </c>
      <c r="E296" s="234">
        <f t="shared" si="19"/>
        <v>160.12487071676725</v>
      </c>
      <c r="F296" s="239"/>
      <c r="G296" s="188" t="str">
        <f t="shared" si="20"/>
        <v/>
      </c>
      <c r="H296" s="236" t="str">
        <f t="shared" si="21"/>
        <v/>
      </c>
      <c r="I296" s="237"/>
    </row>
    <row r="297" spans="1:9">
      <c r="A297" s="232">
        <f t="shared" si="18"/>
        <v>295</v>
      </c>
      <c r="B297" s="233">
        <v>45495</v>
      </c>
      <c r="C297" s="234">
        <v>195.17292699999999</v>
      </c>
      <c r="D297" s="235">
        <v>160.12487071676725</v>
      </c>
      <c r="E297" s="234">
        <f t="shared" si="19"/>
        <v>160.12487071676725</v>
      </c>
      <c r="F297" s="239"/>
      <c r="G297" s="188" t="str">
        <f t="shared" si="20"/>
        <v/>
      </c>
      <c r="H297" s="236" t="str">
        <f t="shared" si="21"/>
        <v/>
      </c>
      <c r="I297" s="237"/>
    </row>
    <row r="298" spans="1:9">
      <c r="A298" s="232">
        <f t="shared" si="18"/>
        <v>296</v>
      </c>
      <c r="B298" s="233">
        <v>45496</v>
      </c>
      <c r="C298" s="234">
        <v>196.96767700000001</v>
      </c>
      <c r="D298" s="235">
        <v>160.12487071676725</v>
      </c>
      <c r="E298" s="234">
        <f t="shared" si="19"/>
        <v>160.12487071676725</v>
      </c>
      <c r="F298" s="239"/>
      <c r="G298" s="188" t="str">
        <f t="shared" si="20"/>
        <v/>
      </c>
      <c r="H298" s="236" t="str">
        <f t="shared" si="21"/>
        <v/>
      </c>
      <c r="I298" s="237"/>
    </row>
    <row r="299" spans="1:9">
      <c r="A299" s="232">
        <f t="shared" si="18"/>
        <v>297</v>
      </c>
      <c r="B299" s="233">
        <v>45497</v>
      </c>
      <c r="C299" s="234">
        <v>195.58769699999999</v>
      </c>
      <c r="D299" s="235">
        <v>160.12487071676725</v>
      </c>
      <c r="E299" s="234">
        <f t="shared" si="19"/>
        <v>160.12487071676725</v>
      </c>
      <c r="F299" s="239"/>
      <c r="G299" s="188" t="str">
        <f t="shared" si="20"/>
        <v/>
      </c>
      <c r="H299" s="236" t="str">
        <f t="shared" si="21"/>
        <v/>
      </c>
      <c r="I299" s="237"/>
    </row>
    <row r="300" spans="1:9">
      <c r="A300" s="232">
        <f t="shared" si="18"/>
        <v>298</v>
      </c>
      <c r="B300" s="233">
        <v>45498</v>
      </c>
      <c r="C300" s="234">
        <v>194.10183599999999</v>
      </c>
      <c r="D300" s="235">
        <v>160.12487071676725</v>
      </c>
      <c r="E300" s="234">
        <f t="shared" si="19"/>
        <v>160.12487071676725</v>
      </c>
      <c r="F300" s="239"/>
      <c r="G300" s="188" t="str">
        <f t="shared" si="20"/>
        <v/>
      </c>
      <c r="H300" s="236" t="str">
        <f t="shared" si="21"/>
        <v/>
      </c>
      <c r="I300" s="237"/>
    </row>
    <row r="301" spans="1:9">
      <c r="A301" s="232">
        <f t="shared" si="18"/>
        <v>299</v>
      </c>
      <c r="B301" s="233">
        <v>45499</v>
      </c>
      <c r="C301" s="234">
        <v>188.18512100000001</v>
      </c>
      <c r="D301" s="235">
        <v>160.12487071676725</v>
      </c>
      <c r="E301" s="234">
        <f t="shared" si="19"/>
        <v>160.12487071676725</v>
      </c>
      <c r="F301" s="239"/>
      <c r="G301" s="188" t="str">
        <f t="shared" si="20"/>
        <v/>
      </c>
      <c r="H301" s="236" t="str">
        <f t="shared" si="21"/>
        <v/>
      </c>
      <c r="I301" s="237"/>
    </row>
    <row r="302" spans="1:9">
      <c r="A302" s="232">
        <f t="shared" si="18"/>
        <v>300</v>
      </c>
      <c r="B302" s="233">
        <v>45500</v>
      </c>
      <c r="C302" s="234">
        <v>185.64965900000001</v>
      </c>
      <c r="D302" s="235">
        <v>160.12487071676725</v>
      </c>
      <c r="E302" s="234">
        <f t="shared" si="19"/>
        <v>160.12487071676725</v>
      </c>
      <c r="F302" s="239"/>
      <c r="G302" s="188" t="str">
        <f t="shared" si="20"/>
        <v/>
      </c>
      <c r="H302" s="236" t="str">
        <f t="shared" si="21"/>
        <v/>
      </c>
      <c r="I302" s="237"/>
    </row>
    <row r="303" spans="1:9">
      <c r="A303" s="232">
        <f t="shared" si="18"/>
        <v>301</v>
      </c>
      <c r="B303" s="233">
        <v>45501</v>
      </c>
      <c r="C303" s="234">
        <v>164.67664500000001</v>
      </c>
      <c r="D303" s="235">
        <v>160.12487071676725</v>
      </c>
      <c r="E303" s="234">
        <f t="shared" si="19"/>
        <v>160.12487071676725</v>
      </c>
      <c r="F303" s="239"/>
      <c r="G303" s="188" t="str">
        <f t="shared" si="20"/>
        <v/>
      </c>
      <c r="H303" s="236" t="str">
        <f t="shared" si="21"/>
        <v/>
      </c>
      <c r="I303" s="237"/>
    </row>
    <row r="304" spans="1:9">
      <c r="A304" s="232">
        <f t="shared" si="18"/>
        <v>302</v>
      </c>
      <c r="B304" s="233">
        <v>45502</v>
      </c>
      <c r="C304" s="234">
        <v>121.90305499999999</v>
      </c>
      <c r="D304" s="235">
        <v>160.12487071676725</v>
      </c>
      <c r="E304" s="234">
        <f t="shared" si="19"/>
        <v>121.90305499999999</v>
      </c>
      <c r="F304" s="239"/>
      <c r="G304" s="188" t="str">
        <f t="shared" si="20"/>
        <v/>
      </c>
      <c r="H304" s="236" t="str">
        <f t="shared" si="21"/>
        <v/>
      </c>
      <c r="I304" s="237"/>
    </row>
    <row r="305" spans="1:9">
      <c r="A305" s="232">
        <f t="shared" si="18"/>
        <v>303</v>
      </c>
      <c r="B305" s="233">
        <v>45503</v>
      </c>
      <c r="C305" s="234">
        <v>168.957615</v>
      </c>
      <c r="D305" s="235">
        <v>160.12487071676725</v>
      </c>
      <c r="E305" s="234">
        <f t="shared" si="19"/>
        <v>160.12487071676725</v>
      </c>
      <c r="F305" s="239"/>
      <c r="G305" s="188" t="str">
        <f t="shared" si="20"/>
        <v/>
      </c>
      <c r="H305" s="236" t="str">
        <f t="shared" si="21"/>
        <v/>
      </c>
      <c r="I305" s="237"/>
    </row>
    <row r="306" spans="1:9">
      <c r="A306" s="232">
        <f t="shared" si="18"/>
        <v>304</v>
      </c>
      <c r="B306" s="233">
        <v>45504</v>
      </c>
      <c r="C306" s="234">
        <v>191.12423899999999</v>
      </c>
      <c r="D306" s="235">
        <v>160.12487071676725</v>
      </c>
      <c r="E306" s="234">
        <f t="shared" si="19"/>
        <v>160.12487071676725</v>
      </c>
      <c r="F306" s="239"/>
      <c r="G306" s="188" t="str">
        <f t="shared" si="20"/>
        <v/>
      </c>
      <c r="H306" s="236" t="str">
        <f t="shared" si="21"/>
        <v/>
      </c>
      <c r="I306" s="237"/>
    </row>
    <row r="307" spans="1:9">
      <c r="A307" s="232">
        <f t="shared" si="18"/>
        <v>305</v>
      </c>
      <c r="B307" s="233">
        <v>45505</v>
      </c>
      <c r="C307" s="234">
        <v>196.11937300000002</v>
      </c>
      <c r="D307" s="235">
        <v>149.20810716652178</v>
      </c>
      <c r="E307" s="234">
        <f t="shared" si="19"/>
        <v>149.20810716652178</v>
      </c>
      <c r="F307" s="239"/>
      <c r="G307" s="188" t="str">
        <f t="shared" si="20"/>
        <v/>
      </c>
      <c r="H307" s="236" t="str">
        <f t="shared" si="21"/>
        <v/>
      </c>
      <c r="I307" s="237"/>
    </row>
    <row r="308" spans="1:9">
      <c r="A308" s="232">
        <f t="shared" si="18"/>
        <v>306</v>
      </c>
      <c r="B308" s="233">
        <v>45506</v>
      </c>
      <c r="C308" s="234">
        <v>188.98823899999999</v>
      </c>
      <c r="D308" s="235">
        <v>149.20810716652178</v>
      </c>
      <c r="E308" s="234">
        <f t="shared" si="19"/>
        <v>149.20810716652178</v>
      </c>
      <c r="F308" s="237"/>
      <c r="G308" s="188" t="str">
        <f t="shared" si="20"/>
        <v/>
      </c>
      <c r="H308" s="236" t="str">
        <f t="shared" si="21"/>
        <v/>
      </c>
      <c r="I308" s="237"/>
    </row>
    <row r="309" spans="1:9">
      <c r="A309" s="232">
        <f t="shared" si="18"/>
        <v>307</v>
      </c>
      <c r="B309" s="233">
        <v>45507</v>
      </c>
      <c r="C309" s="234">
        <v>190.47813199999999</v>
      </c>
      <c r="D309" s="235">
        <v>149.20810716652178</v>
      </c>
      <c r="E309" s="234">
        <f t="shared" si="19"/>
        <v>149.20810716652178</v>
      </c>
      <c r="F309" s="239"/>
      <c r="G309" s="188" t="str">
        <f t="shared" si="20"/>
        <v/>
      </c>
      <c r="H309" s="236" t="str">
        <f t="shared" si="21"/>
        <v/>
      </c>
      <c r="I309" s="237"/>
    </row>
    <row r="310" spans="1:9">
      <c r="A310" s="232">
        <f t="shared" si="18"/>
        <v>308</v>
      </c>
      <c r="B310" s="233">
        <v>45508</v>
      </c>
      <c r="C310" s="234">
        <v>188.98171899999997</v>
      </c>
      <c r="D310" s="235">
        <v>149.20810716652178</v>
      </c>
      <c r="E310" s="234">
        <f t="shared" si="19"/>
        <v>149.20810716652178</v>
      </c>
      <c r="F310" s="239"/>
      <c r="G310" s="188" t="str">
        <f t="shared" si="20"/>
        <v/>
      </c>
      <c r="H310" s="236" t="str">
        <f t="shared" si="21"/>
        <v/>
      </c>
      <c r="I310" s="237"/>
    </row>
    <row r="311" spans="1:9">
      <c r="A311" s="232">
        <f t="shared" si="18"/>
        <v>309</v>
      </c>
      <c r="B311" s="233">
        <v>45509</v>
      </c>
      <c r="C311" s="234">
        <v>189.37079</v>
      </c>
      <c r="D311" s="235">
        <v>149.20810716652178</v>
      </c>
      <c r="E311" s="234">
        <f t="shared" si="19"/>
        <v>149.20810716652178</v>
      </c>
      <c r="F311" s="239"/>
      <c r="G311" s="188" t="str">
        <f t="shared" si="20"/>
        <v/>
      </c>
      <c r="H311" s="236" t="str">
        <f t="shared" si="21"/>
        <v/>
      </c>
      <c r="I311" s="237"/>
    </row>
    <row r="312" spans="1:9">
      <c r="A312" s="232">
        <f t="shared" si="18"/>
        <v>310</v>
      </c>
      <c r="B312" s="233">
        <v>45510</v>
      </c>
      <c r="C312" s="234">
        <v>188.47948499999998</v>
      </c>
      <c r="D312" s="235">
        <v>149.20810716652178</v>
      </c>
      <c r="E312" s="234">
        <f t="shared" si="19"/>
        <v>149.20810716652178</v>
      </c>
      <c r="F312" s="239"/>
      <c r="G312" s="188" t="str">
        <f t="shared" si="20"/>
        <v/>
      </c>
      <c r="H312" s="236" t="str">
        <f t="shared" si="21"/>
        <v/>
      </c>
      <c r="I312" s="237"/>
    </row>
    <row r="313" spans="1:9">
      <c r="A313" s="232">
        <f t="shared" si="18"/>
        <v>311</v>
      </c>
      <c r="B313" s="233">
        <v>45511</v>
      </c>
      <c r="C313" s="234">
        <v>188.309899</v>
      </c>
      <c r="D313" s="235">
        <v>149.20810716652178</v>
      </c>
      <c r="E313" s="234">
        <f t="shared" si="19"/>
        <v>149.20810716652178</v>
      </c>
      <c r="F313" s="239"/>
      <c r="G313" s="188" t="str">
        <f t="shared" si="20"/>
        <v/>
      </c>
      <c r="H313" s="236" t="str">
        <f t="shared" si="21"/>
        <v/>
      </c>
      <c r="I313" s="237"/>
    </row>
    <row r="314" spans="1:9">
      <c r="A314" s="232">
        <f t="shared" si="18"/>
        <v>312</v>
      </c>
      <c r="B314" s="233">
        <v>45512</v>
      </c>
      <c r="C314" s="234">
        <v>189.579992</v>
      </c>
      <c r="D314" s="235">
        <v>149.20810716652178</v>
      </c>
      <c r="E314" s="234">
        <f t="shared" si="19"/>
        <v>149.20810716652178</v>
      </c>
      <c r="F314" s="239"/>
      <c r="G314" s="188" t="str">
        <f t="shared" si="20"/>
        <v/>
      </c>
      <c r="H314" s="236" t="str">
        <f t="shared" si="21"/>
        <v/>
      </c>
      <c r="I314" s="237"/>
    </row>
    <row r="315" spans="1:9">
      <c r="A315" s="232">
        <f t="shared" si="18"/>
        <v>313</v>
      </c>
      <c r="B315" s="233">
        <v>45513</v>
      </c>
      <c r="C315" s="234">
        <v>187.39336799999998</v>
      </c>
      <c r="D315" s="235">
        <v>149.20810716652178</v>
      </c>
      <c r="E315" s="234">
        <f t="shared" si="19"/>
        <v>149.20810716652178</v>
      </c>
      <c r="F315" s="239"/>
      <c r="G315" s="188" t="str">
        <f t="shared" si="20"/>
        <v/>
      </c>
      <c r="H315" s="236" t="str">
        <f t="shared" si="21"/>
        <v/>
      </c>
      <c r="I315" s="237"/>
    </row>
    <row r="316" spans="1:9">
      <c r="A316" s="232">
        <f t="shared" si="18"/>
        <v>314</v>
      </c>
      <c r="B316" s="233">
        <v>45514</v>
      </c>
      <c r="C316" s="234">
        <v>175.079285</v>
      </c>
      <c r="D316" s="235">
        <v>149.20810716652178</v>
      </c>
      <c r="E316" s="234">
        <f t="shared" si="19"/>
        <v>149.20810716652178</v>
      </c>
      <c r="F316" s="239"/>
      <c r="G316" s="188" t="str">
        <f t="shared" si="20"/>
        <v/>
      </c>
      <c r="H316" s="236" t="str">
        <f t="shared" si="21"/>
        <v/>
      </c>
      <c r="I316" s="237"/>
    </row>
    <row r="317" spans="1:9">
      <c r="A317" s="232">
        <f t="shared" si="18"/>
        <v>315</v>
      </c>
      <c r="B317" s="233">
        <v>45515</v>
      </c>
      <c r="C317" s="234">
        <v>164.71506200000002</v>
      </c>
      <c r="D317" s="235">
        <v>149.20810716652178</v>
      </c>
      <c r="E317" s="234">
        <f t="shared" si="19"/>
        <v>149.20810716652178</v>
      </c>
      <c r="F317" s="239"/>
      <c r="G317" s="188" t="str">
        <f t="shared" si="20"/>
        <v/>
      </c>
      <c r="H317" s="236" t="str">
        <f t="shared" si="21"/>
        <v/>
      </c>
      <c r="I317" s="237"/>
    </row>
    <row r="318" spans="1:9">
      <c r="A318" s="232">
        <f t="shared" si="18"/>
        <v>316</v>
      </c>
      <c r="B318" s="233">
        <v>45516</v>
      </c>
      <c r="C318" s="234">
        <v>182.866716</v>
      </c>
      <c r="D318" s="235">
        <v>149.20810716652178</v>
      </c>
      <c r="E318" s="234">
        <f t="shared" si="19"/>
        <v>149.20810716652178</v>
      </c>
      <c r="F318" s="239"/>
      <c r="G318" s="188" t="str">
        <f t="shared" si="20"/>
        <v/>
      </c>
      <c r="H318" s="236" t="str">
        <f t="shared" si="21"/>
        <v/>
      </c>
      <c r="I318" s="237"/>
    </row>
    <row r="319" spans="1:9">
      <c r="A319" s="232">
        <f t="shared" si="18"/>
        <v>317</v>
      </c>
      <c r="B319" s="233">
        <v>45517</v>
      </c>
      <c r="C319" s="234">
        <v>145.14749899999998</v>
      </c>
      <c r="D319" s="235">
        <v>149.20810716652178</v>
      </c>
      <c r="E319" s="234">
        <f t="shared" si="19"/>
        <v>145.14749899999998</v>
      </c>
      <c r="F319" s="239"/>
      <c r="G319" s="188" t="str">
        <f t="shared" si="20"/>
        <v/>
      </c>
      <c r="H319" s="236" t="str">
        <f t="shared" si="21"/>
        <v/>
      </c>
      <c r="I319" s="237"/>
    </row>
    <row r="320" spans="1:9">
      <c r="A320" s="232">
        <f t="shared" si="18"/>
        <v>318</v>
      </c>
      <c r="B320" s="233">
        <v>45518</v>
      </c>
      <c r="C320" s="234">
        <v>164.38659600000003</v>
      </c>
      <c r="D320" s="235">
        <v>149.20810716652178</v>
      </c>
      <c r="E320" s="234">
        <f t="shared" si="19"/>
        <v>149.20810716652178</v>
      </c>
      <c r="F320" s="239"/>
      <c r="G320" s="188" t="str">
        <f t="shared" si="20"/>
        <v/>
      </c>
      <c r="H320" s="236" t="str">
        <f t="shared" si="21"/>
        <v/>
      </c>
      <c r="I320" s="237"/>
    </row>
    <row r="321" spans="1:9">
      <c r="A321" s="232">
        <f t="shared" si="18"/>
        <v>319</v>
      </c>
      <c r="B321" s="233">
        <v>45519</v>
      </c>
      <c r="C321" s="234">
        <v>169.91611600000002</v>
      </c>
      <c r="D321" s="235">
        <v>149.20810716652178</v>
      </c>
      <c r="E321" s="234">
        <f t="shared" si="19"/>
        <v>149.20810716652178</v>
      </c>
      <c r="F321" s="239"/>
      <c r="G321" s="188" t="str">
        <f t="shared" si="20"/>
        <v>A</v>
      </c>
      <c r="H321" s="236" t="str">
        <f t="shared" si="21"/>
        <v>149,2</v>
      </c>
      <c r="I321" s="237"/>
    </row>
    <row r="322" spans="1:9">
      <c r="A322" s="232">
        <f t="shared" si="18"/>
        <v>320</v>
      </c>
      <c r="B322" s="233">
        <v>45520</v>
      </c>
      <c r="C322" s="234">
        <v>184.19095299999998</v>
      </c>
      <c r="D322" s="235">
        <v>149.20810716652178</v>
      </c>
      <c r="E322" s="234">
        <f t="shared" si="19"/>
        <v>149.20810716652178</v>
      </c>
      <c r="F322" s="239"/>
      <c r="G322" s="188" t="str">
        <f t="shared" si="20"/>
        <v/>
      </c>
      <c r="H322" s="236" t="str">
        <f t="shared" si="21"/>
        <v/>
      </c>
      <c r="I322" s="237"/>
    </row>
    <row r="323" spans="1:9">
      <c r="A323" s="232">
        <f t="shared" si="18"/>
        <v>321</v>
      </c>
      <c r="B323" s="233">
        <v>45521</v>
      </c>
      <c r="C323" s="234">
        <v>181.32051999999999</v>
      </c>
      <c r="D323" s="235">
        <v>149.20810716652178</v>
      </c>
      <c r="E323" s="234">
        <f t="shared" si="19"/>
        <v>149.20810716652178</v>
      </c>
      <c r="F323" s="239"/>
      <c r="G323" s="188" t="str">
        <f t="shared" si="20"/>
        <v/>
      </c>
      <c r="H323" s="236" t="str">
        <f t="shared" si="21"/>
        <v/>
      </c>
      <c r="I323" s="237"/>
    </row>
    <row r="324" spans="1:9">
      <c r="A324" s="232">
        <f t="shared" ref="A324:A387" si="22">+A323+1</f>
        <v>322</v>
      </c>
      <c r="B324" s="233">
        <v>45522</v>
      </c>
      <c r="C324" s="234">
        <v>171.19280000000001</v>
      </c>
      <c r="D324" s="235">
        <v>149.20810716652178</v>
      </c>
      <c r="E324" s="234">
        <f t="shared" ref="E324:E387" si="23">IF(C324&gt;D324,D324,C324)</f>
        <v>149.20810716652178</v>
      </c>
      <c r="F324" s="239"/>
      <c r="G324" s="188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36" t="str">
        <f t="shared" ref="H324:H387" si="25">IF(DAY($B324)=15,TEXT(D324,"#,0"),"")</f>
        <v/>
      </c>
      <c r="I324" s="237"/>
    </row>
    <row r="325" spans="1:9">
      <c r="A325" s="232">
        <f t="shared" si="22"/>
        <v>323</v>
      </c>
      <c r="B325" s="233">
        <v>45523</v>
      </c>
      <c r="C325" s="234">
        <v>182.97993100000002</v>
      </c>
      <c r="D325" s="235">
        <v>149.20810716652178</v>
      </c>
      <c r="E325" s="234">
        <f t="shared" si="23"/>
        <v>149.20810716652178</v>
      </c>
      <c r="F325" s="239"/>
      <c r="G325" s="188" t="str">
        <f t="shared" si="24"/>
        <v/>
      </c>
      <c r="H325" s="236" t="str">
        <f t="shared" si="25"/>
        <v/>
      </c>
      <c r="I325" s="237"/>
    </row>
    <row r="326" spans="1:9">
      <c r="A326" s="232">
        <f t="shared" si="22"/>
        <v>324</v>
      </c>
      <c r="B326" s="233">
        <v>45524</v>
      </c>
      <c r="C326" s="234">
        <v>174.32943399999999</v>
      </c>
      <c r="D326" s="235">
        <v>149.20810716652178</v>
      </c>
      <c r="E326" s="234">
        <f t="shared" si="23"/>
        <v>149.20810716652178</v>
      </c>
      <c r="F326" s="239"/>
      <c r="G326" s="188" t="str">
        <f t="shared" si="24"/>
        <v/>
      </c>
      <c r="H326" s="236" t="str">
        <f t="shared" si="25"/>
        <v/>
      </c>
      <c r="I326" s="237"/>
    </row>
    <row r="327" spans="1:9">
      <c r="A327" s="232">
        <f t="shared" si="22"/>
        <v>325</v>
      </c>
      <c r="B327" s="233">
        <v>45525</v>
      </c>
      <c r="C327" s="234">
        <v>162.15605600000001</v>
      </c>
      <c r="D327" s="235">
        <v>149.20810716652178</v>
      </c>
      <c r="E327" s="234">
        <f t="shared" si="23"/>
        <v>149.20810716652178</v>
      </c>
      <c r="F327" s="239"/>
      <c r="G327" s="188" t="str">
        <f t="shared" si="24"/>
        <v/>
      </c>
      <c r="H327" s="236" t="str">
        <f t="shared" si="25"/>
        <v/>
      </c>
      <c r="I327" s="237"/>
    </row>
    <row r="328" spans="1:9">
      <c r="A328" s="232">
        <f t="shared" si="22"/>
        <v>326</v>
      </c>
      <c r="B328" s="233">
        <v>45526</v>
      </c>
      <c r="C328" s="234">
        <v>169.56846200000001</v>
      </c>
      <c r="D328" s="235">
        <v>149.20810716652178</v>
      </c>
      <c r="E328" s="234">
        <f t="shared" si="23"/>
        <v>149.20810716652178</v>
      </c>
      <c r="F328" s="239"/>
      <c r="G328" s="188" t="str">
        <f t="shared" si="24"/>
        <v/>
      </c>
      <c r="H328" s="236" t="str">
        <f t="shared" si="25"/>
        <v/>
      </c>
      <c r="I328" s="237"/>
    </row>
    <row r="329" spans="1:9">
      <c r="A329" s="232">
        <f t="shared" si="22"/>
        <v>327</v>
      </c>
      <c r="B329" s="233">
        <v>45527</v>
      </c>
      <c r="C329" s="234">
        <v>170.49988399999998</v>
      </c>
      <c r="D329" s="235">
        <v>149.20810716652178</v>
      </c>
      <c r="E329" s="234">
        <f t="shared" si="23"/>
        <v>149.20810716652178</v>
      </c>
      <c r="F329" s="239"/>
      <c r="G329" s="188" t="str">
        <f t="shared" si="24"/>
        <v/>
      </c>
      <c r="H329" s="236" t="str">
        <f t="shared" si="25"/>
        <v/>
      </c>
      <c r="I329" s="237"/>
    </row>
    <row r="330" spans="1:9">
      <c r="A330" s="232">
        <f t="shared" si="22"/>
        <v>328</v>
      </c>
      <c r="B330" s="233">
        <v>45528</v>
      </c>
      <c r="C330" s="234">
        <v>161.41380299999997</v>
      </c>
      <c r="D330" s="235">
        <v>149.20810716652178</v>
      </c>
      <c r="E330" s="234">
        <f t="shared" si="23"/>
        <v>149.20810716652178</v>
      </c>
      <c r="F330" s="239"/>
      <c r="G330" s="188" t="str">
        <f t="shared" si="24"/>
        <v/>
      </c>
      <c r="H330" s="236" t="str">
        <f t="shared" si="25"/>
        <v/>
      </c>
      <c r="I330" s="237"/>
    </row>
    <row r="331" spans="1:9">
      <c r="A331" s="232">
        <f t="shared" si="22"/>
        <v>329</v>
      </c>
      <c r="B331" s="233">
        <v>45529</v>
      </c>
      <c r="C331" s="234">
        <v>135.528899</v>
      </c>
      <c r="D331" s="235">
        <v>149.20810716652178</v>
      </c>
      <c r="E331" s="234">
        <f t="shared" si="23"/>
        <v>135.528899</v>
      </c>
      <c r="F331" s="239"/>
      <c r="G331" s="188" t="str">
        <f t="shared" si="24"/>
        <v/>
      </c>
      <c r="H331" s="236" t="str">
        <f t="shared" si="25"/>
        <v/>
      </c>
      <c r="I331" s="237"/>
    </row>
    <row r="332" spans="1:9">
      <c r="A332" s="232">
        <f t="shared" si="22"/>
        <v>330</v>
      </c>
      <c r="B332" s="233">
        <v>45530</v>
      </c>
      <c r="C332" s="234">
        <v>164.40447</v>
      </c>
      <c r="D332" s="235">
        <v>149.20810716652178</v>
      </c>
      <c r="E332" s="234">
        <f t="shared" si="23"/>
        <v>149.20810716652178</v>
      </c>
      <c r="F332" s="239"/>
      <c r="G332" s="188" t="str">
        <f t="shared" si="24"/>
        <v/>
      </c>
      <c r="H332" s="236" t="str">
        <f t="shared" si="25"/>
        <v/>
      </c>
      <c r="I332" s="237"/>
    </row>
    <row r="333" spans="1:9">
      <c r="A333" s="232">
        <f t="shared" si="22"/>
        <v>331</v>
      </c>
      <c r="B333" s="233">
        <v>45531</v>
      </c>
      <c r="C333" s="234">
        <v>168.75790499999999</v>
      </c>
      <c r="D333" s="235">
        <v>149.20810716652178</v>
      </c>
      <c r="E333" s="234">
        <f t="shared" si="23"/>
        <v>149.20810716652178</v>
      </c>
      <c r="F333" s="239"/>
      <c r="G333" s="188" t="str">
        <f t="shared" si="24"/>
        <v/>
      </c>
      <c r="H333" s="236" t="str">
        <f t="shared" si="25"/>
        <v/>
      </c>
      <c r="I333" s="237"/>
    </row>
    <row r="334" spans="1:9">
      <c r="A334" s="232">
        <f t="shared" si="22"/>
        <v>332</v>
      </c>
      <c r="B334" s="233">
        <v>45532</v>
      </c>
      <c r="C334" s="234">
        <v>164.65436700000001</v>
      </c>
      <c r="D334" s="235">
        <v>149.20810716652178</v>
      </c>
      <c r="E334" s="234">
        <f t="shared" si="23"/>
        <v>149.20810716652178</v>
      </c>
      <c r="F334" s="239"/>
      <c r="G334" s="188" t="str">
        <f t="shared" si="24"/>
        <v/>
      </c>
      <c r="H334" s="236" t="str">
        <f t="shared" si="25"/>
        <v/>
      </c>
      <c r="I334" s="237"/>
    </row>
    <row r="335" spans="1:9">
      <c r="A335" s="232">
        <f t="shared" si="22"/>
        <v>333</v>
      </c>
      <c r="B335" s="233">
        <v>45533</v>
      </c>
      <c r="C335" s="234">
        <v>129.18781100000001</v>
      </c>
      <c r="D335" s="235">
        <v>149.20810716652178</v>
      </c>
      <c r="E335" s="234">
        <f t="shared" si="23"/>
        <v>129.18781100000001</v>
      </c>
      <c r="F335" s="239"/>
      <c r="G335" s="188" t="str">
        <f t="shared" si="24"/>
        <v/>
      </c>
      <c r="H335" s="236" t="str">
        <f t="shared" si="25"/>
        <v/>
      </c>
      <c r="I335" s="237"/>
    </row>
    <row r="336" spans="1:9">
      <c r="A336" s="232">
        <f t="shared" si="22"/>
        <v>334</v>
      </c>
      <c r="B336" s="233">
        <v>45534</v>
      </c>
      <c r="C336" s="234">
        <v>141.19395699999998</v>
      </c>
      <c r="D336" s="235">
        <v>149.20810716652178</v>
      </c>
      <c r="E336" s="234">
        <f t="shared" si="23"/>
        <v>141.19395699999998</v>
      </c>
      <c r="F336" s="237"/>
      <c r="G336" s="188" t="str">
        <f t="shared" si="24"/>
        <v/>
      </c>
      <c r="H336" s="236" t="str">
        <f t="shared" si="25"/>
        <v/>
      </c>
      <c r="I336" s="237"/>
    </row>
    <row r="337" spans="1:9">
      <c r="A337" s="232">
        <f t="shared" si="22"/>
        <v>335</v>
      </c>
      <c r="B337" s="233">
        <v>45535</v>
      </c>
      <c r="C337" s="234">
        <v>124.820413</v>
      </c>
      <c r="D337" s="235">
        <v>149.20810716652178</v>
      </c>
      <c r="E337" s="234">
        <f t="shared" si="23"/>
        <v>124.820413</v>
      </c>
      <c r="F337" s="239"/>
      <c r="G337" s="188" t="str">
        <f t="shared" si="24"/>
        <v/>
      </c>
      <c r="H337" s="236" t="str">
        <f t="shared" si="25"/>
        <v/>
      </c>
      <c r="I337" s="237"/>
    </row>
    <row r="338" spans="1:9">
      <c r="A338" s="232">
        <f t="shared" si="22"/>
        <v>336</v>
      </c>
      <c r="B338" s="233">
        <v>45536</v>
      </c>
      <c r="C338" s="234">
        <v>147.09208899999999</v>
      </c>
      <c r="D338" s="235">
        <v>126.5810729397345</v>
      </c>
      <c r="E338" s="234">
        <f t="shared" si="23"/>
        <v>126.5810729397345</v>
      </c>
      <c r="F338" s="239"/>
      <c r="G338" s="188" t="str">
        <f t="shared" si="24"/>
        <v/>
      </c>
      <c r="H338" s="236" t="str">
        <f t="shared" si="25"/>
        <v/>
      </c>
      <c r="I338" s="237"/>
    </row>
    <row r="339" spans="1:9">
      <c r="A339" s="232">
        <f t="shared" si="22"/>
        <v>337</v>
      </c>
      <c r="B339" s="233">
        <v>45537</v>
      </c>
      <c r="C339" s="234">
        <v>154.875821</v>
      </c>
      <c r="D339" s="235">
        <v>126.5810729397345</v>
      </c>
      <c r="E339" s="234">
        <f t="shared" si="23"/>
        <v>126.5810729397345</v>
      </c>
      <c r="F339" s="239"/>
      <c r="G339" s="188" t="str">
        <f t="shared" si="24"/>
        <v/>
      </c>
      <c r="H339" s="236" t="str">
        <f t="shared" si="25"/>
        <v/>
      </c>
      <c r="I339" s="237"/>
    </row>
    <row r="340" spans="1:9">
      <c r="A340" s="232">
        <f t="shared" si="22"/>
        <v>338</v>
      </c>
      <c r="B340" s="233">
        <v>45538</v>
      </c>
      <c r="C340" s="234">
        <v>152.22384700000001</v>
      </c>
      <c r="D340" s="235">
        <v>126.5810729397345</v>
      </c>
      <c r="E340" s="234">
        <f t="shared" si="23"/>
        <v>126.5810729397345</v>
      </c>
      <c r="F340" s="239"/>
      <c r="G340" s="188" t="str">
        <f t="shared" si="24"/>
        <v/>
      </c>
      <c r="H340" s="236" t="str">
        <f t="shared" si="25"/>
        <v/>
      </c>
      <c r="I340" s="237"/>
    </row>
    <row r="341" spans="1:9">
      <c r="A341" s="232">
        <f t="shared" si="22"/>
        <v>339</v>
      </c>
      <c r="B341" s="233">
        <v>45539</v>
      </c>
      <c r="C341" s="234">
        <v>154.39799200000002</v>
      </c>
      <c r="D341" s="235">
        <v>126.5810729397345</v>
      </c>
      <c r="E341" s="234">
        <f t="shared" si="23"/>
        <v>126.5810729397345</v>
      </c>
      <c r="F341" s="239"/>
      <c r="G341" s="188" t="str">
        <f t="shared" si="24"/>
        <v/>
      </c>
      <c r="H341" s="236" t="str">
        <f t="shared" si="25"/>
        <v/>
      </c>
      <c r="I341" s="237"/>
    </row>
    <row r="342" spans="1:9">
      <c r="A342" s="232">
        <f t="shared" si="22"/>
        <v>340</v>
      </c>
      <c r="B342" s="233">
        <v>45540</v>
      </c>
      <c r="C342" s="234">
        <v>152.64863500000001</v>
      </c>
      <c r="D342" s="235">
        <v>126.5810729397345</v>
      </c>
      <c r="E342" s="234">
        <f t="shared" si="23"/>
        <v>126.5810729397345</v>
      </c>
      <c r="F342" s="239"/>
      <c r="G342" s="188" t="str">
        <f t="shared" si="24"/>
        <v/>
      </c>
      <c r="H342" s="236" t="str">
        <f t="shared" si="25"/>
        <v/>
      </c>
      <c r="I342" s="237"/>
    </row>
    <row r="343" spans="1:9">
      <c r="A343" s="232">
        <f t="shared" si="22"/>
        <v>341</v>
      </c>
      <c r="B343" s="233">
        <v>45541</v>
      </c>
      <c r="C343" s="234">
        <v>172.492266</v>
      </c>
      <c r="D343" s="235">
        <v>126.5810729397345</v>
      </c>
      <c r="E343" s="234">
        <f t="shared" si="23"/>
        <v>126.5810729397345</v>
      </c>
      <c r="F343" s="239"/>
      <c r="G343" s="188" t="str">
        <f t="shared" si="24"/>
        <v/>
      </c>
      <c r="H343" s="236" t="str">
        <f t="shared" si="25"/>
        <v/>
      </c>
      <c r="I343" s="237"/>
    </row>
    <row r="344" spans="1:9">
      <c r="A344" s="232">
        <f t="shared" si="22"/>
        <v>342</v>
      </c>
      <c r="B344" s="233">
        <v>45542</v>
      </c>
      <c r="C344" s="234">
        <v>147.21313199999997</v>
      </c>
      <c r="D344" s="235">
        <v>126.5810729397345</v>
      </c>
      <c r="E344" s="234">
        <f t="shared" si="23"/>
        <v>126.5810729397345</v>
      </c>
      <c r="F344" s="239"/>
      <c r="G344" s="188" t="str">
        <f t="shared" si="24"/>
        <v/>
      </c>
      <c r="H344" s="236" t="str">
        <f t="shared" si="25"/>
        <v/>
      </c>
      <c r="I344" s="237"/>
    </row>
    <row r="345" spans="1:9">
      <c r="A345" s="232">
        <f t="shared" si="22"/>
        <v>343</v>
      </c>
      <c r="B345" s="233">
        <v>45543</v>
      </c>
      <c r="C345" s="234">
        <v>150.484036</v>
      </c>
      <c r="D345" s="235">
        <v>126.5810729397345</v>
      </c>
      <c r="E345" s="234">
        <f t="shared" si="23"/>
        <v>126.5810729397345</v>
      </c>
      <c r="F345" s="239"/>
      <c r="G345" s="188" t="str">
        <f t="shared" si="24"/>
        <v/>
      </c>
      <c r="H345" s="236" t="str">
        <f t="shared" si="25"/>
        <v/>
      </c>
      <c r="I345" s="237"/>
    </row>
    <row r="346" spans="1:9">
      <c r="A346" s="232">
        <f t="shared" si="22"/>
        <v>344</v>
      </c>
      <c r="B346" s="233">
        <v>45544</v>
      </c>
      <c r="C346" s="234">
        <v>178.53101699999999</v>
      </c>
      <c r="D346" s="235">
        <v>126.5810729397345</v>
      </c>
      <c r="E346" s="234">
        <f t="shared" si="23"/>
        <v>126.5810729397345</v>
      </c>
      <c r="F346" s="239"/>
      <c r="G346" s="188" t="str">
        <f t="shared" si="24"/>
        <v/>
      </c>
      <c r="H346" s="236" t="str">
        <f t="shared" si="25"/>
        <v/>
      </c>
      <c r="I346" s="237"/>
    </row>
    <row r="347" spans="1:9">
      <c r="A347" s="232">
        <f t="shared" si="22"/>
        <v>345</v>
      </c>
      <c r="B347" s="233">
        <v>45545</v>
      </c>
      <c r="C347" s="234">
        <v>169.755436</v>
      </c>
      <c r="D347" s="235">
        <v>126.5810729397345</v>
      </c>
      <c r="E347" s="234">
        <f t="shared" si="23"/>
        <v>126.5810729397345</v>
      </c>
      <c r="F347" s="239"/>
      <c r="G347" s="188" t="str">
        <f t="shared" si="24"/>
        <v/>
      </c>
      <c r="H347" s="236" t="str">
        <f t="shared" si="25"/>
        <v/>
      </c>
      <c r="I347" s="237"/>
    </row>
    <row r="348" spans="1:9">
      <c r="A348" s="232">
        <f t="shared" si="22"/>
        <v>346</v>
      </c>
      <c r="B348" s="233">
        <v>45546</v>
      </c>
      <c r="C348" s="234">
        <v>160.405428</v>
      </c>
      <c r="D348" s="235">
        <v>126.5810729397345</v>
      </c>
      <c r="E348" s="234">
        <f t="shared" si="23"/>
        <v>126.5810729397345</v>
      </c>
      <c r="F348" s="239"/>
      <c r="G348" s="188" t="str">
        <f t="shared" si="24"/>
        <v/>
      </c>
      <c r="H348" s="236" t="str">
        <f t="shared" si="25"/>
        <v/>
      </c>
      <c r="I348" s="237"/>
    </row>
    <row r="349" spans="1:9">
      <c r="A349" s="232">
        <f t="shared" si="22"/>
        <v>347</v>
      </c>
      <c r="B349" s="233">
        <v>45547</v>
      </c>
      <c r="C349" s="234">
        <v>150.056736</v>
      </c>
      <c r="D349" s="235">
        <v>126.5810729397345</v>
      </c>
      <c r="E349" s="234">
        <f t="shared" si="23"/>
        <v>126.5810729397345</v>
      </c>
      <c r="F349" s="239"/>
      <c r="G349" s="188" t="str">
        <f t="shared" si="24"/>
        <v/>
      </c>
      <c r="H349" s="236" t="str">
        <f t="shared" si="25"/>
        <v/>
      </c>
      <c r="I349" s="237"/>
    </row>
    <row r="350" spans="1:9">
      <c r="A350" s="232">
        <f t="shared" si="22"/>
        <v>348</v>
      </c>
      <c r="B350" s="233">
        <v>45548</v>
      </c>
      <c r="C350" s="234">
        <v>150.11576099999999</v>
      </c>
      <c r="D350" s="235">
        <v>126.5810729397345</v>
      </c>
      <c r="E350" s="234">
        <f t="shared" si="23"/>
        <v>126.5810729397345</v>
      </c>
      <c r="F350" s="239"/>
      <c r="G350" s="188" t="str">
        <f t="shared" si="24"/>
        <v/>
      </c>
      <c r="H350" s="236" t="str">
        <f t="shared" si="25"/>
        <v/>
      </c>
      <c r="I350" s="237"/>
    </row>
    <row r="351" spans="1:9">
      <c r="A351" s="232">
        <f t="shared" si="22"/>
        <v>349</v>
      </c>
      <c r="B351" s="233">
        <v>45549</v>
      </c>
      <c r="C351" s="234">
        <v>151.54077600000002</v>
      </c>
      <c r="D351" s="235">
        <v>126.5810729397345</v>
      </c>
      <c r="E351" s="234">
        <f t="shared" si="23"/>
        <v>126.5810729397345</v>
      </c>
      <c r="F351" s="239"/>
      <c r="G351" s="188" t="str">
        <f t="shared" si="24"/>
        <v/>
      </c>
      <c r="H351" s="236" t="str">
        <f t="shared" si="25"/>
        <v/>
      </c>
      <c r="I351" s="237"/>
    </row>
    <row r="352" spans="1:9">
      <c r="A352" s="232">
        <f t="shared" si="22"/>
        <v>350</v>
      </c>
      <c r="B352" s="233">
        <v>45550</v>
      </c>
      <c r="C352" s="234">
        <v>134.64170300000001</v>
      </c>
      <c r="D352" s="235">
        <v>126.5810729397345</v>
      </c>
      <c r="E352" s="234">
        <f t="shared" si="23"/>
        <v>126.5810729397345</v>
      </c>
      <c r="F352" s="239"/>
      <c r="G352" s="188" t="str">
        <f t="shared" si="24"/>
        <v>S</v>
      </c>
      <c r="H352" s="236" t="str">
        <f t="shared" si="25"/>
        <v>126,6</v>
      </c>
      <c r="I352" s="237"/>
    </row>
    <row r="353" spans="1:9">
      <c r="A353" s="232">
        <f t="shared" si="22"/>
        <v>351</v>
      </c>
      <c r="B353" s="233">
        <v>45551</v>
      </c>
      <c r="C353" s="234">
        <v>156.75048899999999</v>
      </c>
      <c r="D353" s="235">
        <v>126.5810729397345</v>
      </c>
      <c r="E353" s="234">
        <f t="shared" si="23"/>
        <v>126.5810729397345</v>
      </c>
      <c r="F353" s="239"/>
      <c r="G353" s="188" t="str">
        <f t="shared" si="24"/>
        <v/>
      </c>
      <c r="H353" s="236" t="str">
        <f t="shared" si="25"/>
        <v/>
      </c>
      <c r="I353" s="237"/>
    </row>
    <row r="354" spans="1:9">
      <c r="A354" s="232">
        <f t="shared" si="22"/>
        <v>352</v>
      </c>
      <c r="B354" s="233">
        <v>45552</v>
      </c>
      <c r="C354" s="234">
        <v>142.309403</v>
      </c>
      <c r="D354" s="235">
        <v>126.5810729397345</v>
      </c>
      <c r="E354" s="234">
        <f t="shared" si="23"/>
        <v>126.5810729397345</v>
      </c>
      <c r="F354" s="239"/>
      <c r="G354" s="188" t="str">
        <f t="shared" si="24"/>
        <v/>
      </c>
      <c r="H354" s="236" t="str">
        <f t="shared" si="25"/>
        <v/>
      </c>
      <c r="I354" s="237"/>
    </row>
    <row r="355" spans="1:9">
      <c r="A355" s="232">
        <f t="shared" si="22"/>
        <v>353</v>
      </c>
      <c r="B355" s="233">
        <v>45553</v>
      </c>
      <c r="C355" s="234">
        <v>129.33869899999999</v>
      </c>
      <c r="D355" s="235">
        <v>126.5810729397345</v>
      </c>
      <c r="E355" s="234">
        <f t="shared" si="23"/>
        <v>126.5810729397345</v>
      </c>
      <c r="F355" s="239"/>
      <c r="G355" s="188" t="str">
        <f t="shared" si="24"/>
        <v/>
      </c>
      <c r="H355" s="236" t="str">
        <f t="shared" si="25"/>
        <v/>
      </c>
      <c r="I355" s="237"/>
    </row>
    <row r="356" spans="1:9">
      <c r="A356" s="232">
        <f t="shared" si="22"/>
        <v>354</v>
      </c>
      <c r="B356" s="233">
        <v>45554</v>
      </c>
      <c r="C356" s="234">
        <v>93.914507</v>
      </c>
      <c r="D356" s="235">
        <v>126.5810729397345</v>
      </c>
      <c r="E356" s="234">
        <f t="shared" si="23"/>
        <v>93.914507</v>
      </c>
      <c r="F356" s="239"/>
      <c r="G356" s="188" t="str">
        <f t="shared" si="24"/>
        <v/>
      </c>
      <c r="H356" s="236" t="str">
        <f t="shared" si="25"/>
        <v/>
      </c>
      <c r="I356" s="237"/>
    </row>
    <row r="357" spans="1:9">
      <c r="A357" s="232">
        <f t="shared" si="22"/>
        <v>355</v>
      </c>
      <c r="B357" s="233">
        <v>45555</v>
      </c>
      <c r="C357" s="234">
        <v>101.186432</v>
      </c>
      <c r="D357" s="235">
        <v>126.5810729397345</v>
      </c>
      <c r="E357" s="234">
        <f t="shared" si="23"/>
        <v>101.186432</v>
      </c>
      <c r="F357" s="239"/>
      <c r="G357" s="188" t="str">
        <f t="shared" si="24"/>
        <v/>
      </c>
      <c r="H357" s="236" t="str">
        <f t="shared" si="25"/>
        <v/>
      </c>
      <c r="I357" s="237"/>
    </row>
    <row r="358" spans="1:9">
      <c r="A358" s="232">
        <f t="shared" si="22"/>
        <v>356</v>
      </c>
      <c r="B358" s="233">
        <v>45556</v>
      </c>
      <c r="C358" s="234">
        <v>96.45611199999999</v>
      </c>
      <c r="D358" s="235">
        <v>126.5810729397345</v>
      </c>
      <c r="E358" s="234">
        <f t="shared" si="23"/>
        <v>96.45611199999999</v>
      </c>
      <c r="F358" s="239"/>
      <c r="G358" s="188" t="str">
        <f t="shared" si="24"/>
        <v/>
      </c>
      <c r="H358" s="236" t="str">
        <f t="shared" si="25"/>
        <v/>
      </c>
      <c r="I358" s="237"/>
    </row>
    <row r="359" spans="1:9">
      <c r="A359" s="232">
        <f t="shared" si="22"/>
        <v>357</v>
      </c>
      <c r="B359" s="233">
        <v>45557</v>
      </c>
      <c r="C359" s="234">
        <v>120.73844800000001</v>
      </c>
      <c r="D359" s="235">
        <v>126.5810729397345</v>
      </c>
      <c r="E359" s="234">
        <f t="shared" si="23"/>
        <v>120.73844800000001</v>
      </c>
      <c r="F359" s="239"/>
      <c r="G359" s="188" t="str">
        <f t="shared" si="24"/>
        <v/>
      </c>
      <c r="H359" s="236" t="str">
        <f t="shared" si="25"/>
        <v/>
      </c>
      <c r="I359" s="237"/>
    </row>
    <row r="360" spans="1:9">
      <c r="A360" s="232">
        <f t="shared" si="22"/>
        <v>358</v>
      </c>
      <c r="B360" s="233">
        <v>45558</v>
      </c>
      <c r="C360" s="234">
        <v>141.30880300000001</v>
      </c>
      <c r="D360" s="235">
        <v>126.5810729397345</v>
      </c>
      <c r="E360" s="234">
        <f t="shared" si="23"/>
        <v>126.5810729397345</v>
      </c>
      <c r="F360" s="239"/>
      <c r="G360" s="188" t="str">
        <f t="shared" si="24"/>
        <v/>
      </c>
      <c r="H360" s="236" t="str">
        <f t="shared" si="25"/>
        <v/>
      </c>
      <c r="I360" s="237"/>
    </row>
    <row r="361" spans="1:9">
      <c r="A361" s="232">
        <f t="shared" si="22"/>
        <v>359</v>
      </c>
      <c r="B361" s="233">
        <v>45559</v>
      </c>
      <c r="C361" s="234">
        <v>91.882216999999997</v>
      </c>
      <c r="D361" s="235">
        <v>126.5810729397345</v>
      </c>
      <c r="E361" s="234">
        <f t="shared" si="23"/>
        <v>91.882216999999997</v>
      </c>
      <c r="F361" s="239"/>
      <c r="G361" s="188" t="str">
        <f t="shared" si="24"/>
        <v/>
      </c>
      <c r="H361" s="236" t="str">
        <f t="shared" si="25"/>
        <v/>
      </c>
      <c r="I361" s="237"/>
    </row>
    <row r="362" spans="1:9">
      <c r="A362" s="232">
        <f t="shared" si="22"/>
        <v>360</v>
      </c>
      <c r="B362" s="233">
        <v>45560</v>
      </c>
      <c r="C362" s="234">
        <v>83.148853000000003</v>
      </c>
      <c r="D362" s="235">
        <v>126.5810729397345</v>
      </c>
      <c r="E362" s="234">
        <f t="shared" si="23"/>
        <v>83.148853000000003</v>
      </c>
      <c r="F362" s="239"/>
      <c r="G362" s="188" t="str">
        <f t="shared" si="24"/>
        <v/>
      </c>
      <c r="H362" s="236" t="str">
        <f t="shared" si="25"/>
        <v/>
      </c>
      <c r="I362" s="237"/>
    </row>
    <row r="363" spans="1:9">
      <c r="A363" s="232">
        <f t="shared" si="22"/>
        <v>361</v>
      </c>
      <c r="B363" s="233">
        <v>45561</v>
      </c>
      <c r="C363" s="234">
        <v>97.209322999999998</v>
      </c>
      <c r="D363" s="235">
        <v>126.5810729397345</v>
      </c>
      <c r="E363" s="234">
        <f t="shared" si="23"/>
        <v>97.209322999999998</v>
      </c>
      <c r="F363" s="239"/>
      <c r="G363" s="188" t="str">
        <f t="shared" si="24"/>
        <v/>
      </c>
      <c r="H363" s="236" t="str">
        <f t="shared" si="25"/>
        <v/>
      </c>
      <c r="I363" s="237"/>
    </row>
    <row r="364" spans="1:9">
      <c r="A364" s="232">
        <f t="shared" si="22"/>
        <v>362</v>
      </c>
      <c r="B364" s="233">
        <v>45562</v>
      </c>
      <c r="C364" s="234">
        <v>128.791965</v>
      </c>
      <c r="D364" s="235">
        <v>126.5810729397345</v>
      </c>
      <c r="E364" s="234">
        <f t="shared" si="23"/>
        <v>126.5810729397345</v>
      </c>
      <c r="F364" s="239"/>
      <c r="G364" s="188" t="str">
        <f t="shared" si="24"/>
        <v/>
      </c>
      <c r="H364" s="236" t="str">
        <f t="shared" si="25"/>
        <v/>
      </c>
      <c r="I364" s="237"/>
    </row>
    <row r="365" spans="1:9">
      <c r="A365" s="232">
        <f t="shared" si="22"/>
        <v>363</v>
      </c>
      <c r="B365" s="233">
        <v>45563</v>
      </c>
      <c r="C365" s="234">
        <v>137.79656299999999</v>
      </c>
      <c r="D365" s="235">
        <v>126.5810729397345</v>
      </c>
      <c r="E365" s="234">
        <f t="shared" si="23"/>
        <v>126.5810729397345</v>
      </c>
      <c r="F365" s="239"/>
      <c r="G365" s="188" t="str">
        <f t="shared" si="24"/>
        <v/>
      </c>
      <c r="H365" s="236" t="str">
        <f t="shared" si="25"/>
        <v/>
      </c>
      <c r="I365" s="237"/>
    </row>
    <row r="366" spans="1:9">
      <c r="A366" s="232">
        <f t="shared" si="22"/>
        <v>364</v>
      </c>
      <c r="B366" s="233">
        <v>45564</v>
      </c>
      <c r="C366" s="234">
        <v>126.725829</v>
      </c>
      <c r="D366" s="235">
        <v>126.5810729397345</v>
      </c>
      <c r="E366" s="234">
        <f t="shared" si="23"/>
        <v>126.5810729397345</v>
      </c>
      <c r="F366" s="239"/>
      <c r="G366" s="188" t="str">
        <f t="shared" si="24"/>
        <v/>
      </c>
      <c r="H366" s="236" t="str">
        <f t="shared" si="25"/>
        <v/>
      </c>
      <c r="I366" s="237"/>
    </row>
    <row r="367" spans="1:9">
      <c r="A367" s="232">
        <f t="shared" si="22"/>
        <v>365</v>
      </c>
      <c r="B367" s="233">
        <v>45565</v>
      </c>
      <c r="C367" s="234">
        <v>154.64047299999999</v>
      </c>
      <c r="D367" s="235">
        <v>126.5810729397345</v>
      </c>
      <c r="E367" s="234">
        <f t="shared" si="23"/>
        <v>126.5810729397345</v>
      </c>
      <c r="F367" s="237"/>
      <c r="G367" s="188" t="str">
        <f t="shared" si="24"/>
        <v/>
      </c>
      <c r="H367" s="236" t="str">
        <f t="shared" si="25"/>
        <v/>
      </c>
      <c r="I367" s="237"/>
    </row>
    <row r="368" spans="1:9">
      <c r="A368" s="232">
        <f t="shared" si="22"/>
        <v>366</v>
      </c>
      <c r="B368" s="233">
        <v>45566</v>
      </c>
      <c r="C368" s="234">
        <v>133.02673199999998</v>
      </c>
      <c r="D368" s="235">
        <v>100.21996715704606</v>
      </c>
      <c r="E368" s="234">
        <f t="shared" si="23"/>
        <v>100.21996715704606</v>
      </c>
      <c r="F368" s="239"/>
      <c r="G368" s="188" t="str">
        <f t="shared" si="24"/>
        <v/>
      </c>
      <c r="H368" s="236" t="str">
        <f t="shared" si="25"/>
        <v/>
      </c>
      <c r="I368" s="237"/>
    </row>
    <row r="369" spans="1:9">
      <c r="A369" s="232">
        <f t="shared" si="22"/>
        <v>367</v>
      </c>
      <c r="B369" s="233">
        <v>45567</v>
      </c>
      <c r="C369" s="234">
        <v>92.835843999999994</v>
      </c>
      <c r="D369" s="235">
        <v>100.21996715704606</v>
      </c>
      <c r="E369" s="234">
        <f t="shared" si="23"/>
        <v>92.835843999999994</v>
      </c>
      <c r="F369" s="239"/>
      <c r="G369" s="188" t="str">
        <f t="shared" si="24"/>
        <v/>
      </c>
      <c r="H369" s="236" t="str">
        <f t="shared" si="25"/>
        <v/>
      </c>
      <c r="I369" s="237"/>
    </row>
    <row r="370" spans="1:9">
      <c r="A370" s="232">
        <f t="shared" si="22"/>
        <v>368</v>
      </c>
      <c r="B370" s="233">
        <v>45568</v>
      </c>
      <c r="C370" s="234">
        <v>129.10218599999999</v>
      </c>
      <c r="D370" s="235">
        <v>100.21996715704606</v>
      </c>
      <c r="E370" s="234">
        <f t="shared" si="23"/>
        <v>100.21996715704606</v>
      </c>
      <c r="F370" s="239"/>
      <c r="G370" s="188" t="str">
        <f t="shared" si="24"/>
        <v/>
      </c>
      <c r="H370" s="236" t="str">
        <f t="shared" si="25"/>
        <v/>
      </c>
      <c r="I370" s="237"/>
    </row>
    <row r="371" spans="1:9">
      <c r="A371" s="232">
        <f t="shared" si="22"/>
        <v>369</v>
      </c>
      <c r="B371" s="233">
        <v>45569</v>
      </c>
      <c r="C371" s="234">
        <v>135.96545800000001</v>
      </c>
      <c r="D371" s="235">
        <v>100.21996715704606</v>
      </c>
      <c r="E371" s="234">
        <f t="shared" si="23"/>
        <v>100.21996715704606</v>
      </c>
      <c r="F371" s="239"/>
      <c r="G371" s="188" t="str">
        <f t="shared" si="24"/>
        <v/>
      </c>
      <c r="H371" s="236" t="str">
        <f t="shared" si="25"/>
        <v/>
      </c>
      <c r="I371" s="237"/>
    </row>
    <row r="372" spans="1:9">
      <c r="A372" s="232">
        <f t="shared" si="22"/>
        <v>370</v>
      </c>
      <c r="B372" s="233">
        <v>45570</v>
      </c>
      <c r="C372" s="234">
        <v>115.931186</v>
      </c>
      <c r="D372" s="235">
        <v>100.21996715704606</v>
      </c>
      <c r="E372" s="234">
        <f t="shared" si="23"/>
        <v>100.21996715704606</v>
      </c>
      <c r="F372" s="239"/>
      <c r="G372" s="188" t="str">
        <f t="shared" si="24"/>
        <v/>
      </c>
      <c r="H372" s="236" t="str">
        <f t="shared" si="25"/>
        <v/>
      </c>
      <c r="I372" s="237"/>
    </row>
    <row r="373" spans="1:9">
      <c r="A373" s="232">
        <f t="shared" si="22"/>
        <v>371</v>
      </c>
      <c r="B373" s="233">
        <v>45571</v>
      </c>
      <c r="C373" s="234">
        <v>92.309816000000012</v>
      </c>
      <c r="D373" s="235">
        <v>100.21996715704606</v>
      </c>
      <c r="E373" s="234">
        <f t="shared" si="23"/>
        <v>92.309816000000012</v>
      </c>
      <c r="F373" s="239"/>
      <c r="G373" s="188" t="str">
        <f t="shared" si="24"/>
        <v/>
      </c>
      <c r="H373" s="236" t="str">
        <f t="shared" si="25"/>
        <v/>
      </c>
      <c r="I373" s="237"/>
    </row>
    <row r="374" spans="1:9">
      <c r="A374" s="232">
        <f t="shared" si="22"/>
        <v>372</v>
      </c>
      <c r="B374" s="233">
        <v>45572</v>
      </c>
      <c r="C374" s="234">
        <v>59.648371000000004</v>
      </c>
      <c r="D374" s="235">
        <v>100.21996715704606</v>
      </c>
      <c r="E374" s="234">
        <f t="shared" si="23"/>
        <v>59.648371000000004</v>
      </c>
      <c r="F374" s="239"/>
      <c r="G374" s="188" t="str">
        <f t="shared" si="24"/>
        <v/>
      </c>
      <c r="H374" s="236" t="str">
        <f t="shared" si="25"/>
        <v/>
      </c>
      <c r="I374" s="237"/>
    </row>
    <row r="375" spans="1:9">
      <c r="A375" s="232">
        <f t="shared" si="22"/>
        <v>373</v>
      </c>
      <c r="B375" s="233">
        <v>45573</v>
      </c>
      <c r="C375" s="234">
        <v>83.276202999999995</v>
      </c>
      <c r="D375" s="235">
        <v>100.21996715704606</v>
      </c>
      <c r="E375" s="234">
        <f t="shared" si="23"/>
        <v>83.276202999999995</v>
      </c>
      <c r="F375" s="239"/>
      <c r="G375" s="188" t="str">
        <f t="shared" si="24"/>
        <v/>
      </c>
      <c r="H375" s="236" t="str">
        <f t="shared" si="25"/>
        <v/>
      </c>
      <c r="I375" s="237"/>
    </row>
    <row r="376" spans="1:9">
      <c r="A376" s="232">
        <f t="shared" si="22"/>
        <v>374</v>
      </c>
      <c r="B376" s="233">
        <v>45574</v>
      </c>
      <c r="C376" s="234">
        <v>63.043931000000001</v>
      </c>
      <c r="D376" s="235">
        <v>100.21996715704606</v>
      </c>
      <c r="E376" s="234">
        <f t="shared" si="23"/>
        <v>63.043931000000001</v>
      </c>
      <c r="F376" s="239"/>
      <c r="G376" s="188" t="str">
        <f t="shared" si="24"/>
        <v/>
      </c>
      <c r="H376" s="236" t="str">
        <f t="shared" si="25"/>
        <v/>
      </c>
      <c r="I376" s="237"/>
    </row>
    <row r="377" spans="1:9">
      <c r="A377" s="232">
        <f t="shared" si="22"/>
        <v>375</v>
      </c>
      <c r="B377" s="233">
        <v>45575</v>
      </c>
      <c r="C377" s="234">
        <v>120.443422</v>
      </c>
      <c r="D377" s="235">
        <v>100.21996715704606</v>
      </c>
      <c r="E377" s="234">
        <f t="shared" si="23"/>
        <v>100.21996715704606</v>
      </c>
      <c r="F377" s="239"/>
      <c r="G377" s="188" t="str">
        <f t="shared" si="24"/>
        <v/>
      </c>
      <c r="H377" s="236" t="str">
        <f t="shared" si="25"/>
        <v/>
      </c>
      <c r="I377" s="237"/>
    </row>
    <row r="378" spans="1:9">
      <c r="A378" s="232">
        <f t="shared" si="22"/>
        <v>376</v>
      </c>
      <c r="B378" s="233">
        <v>45576</v>
      </c>
      <c r="C378" s="234">
        <v>77.656345999999985</v>
      </c>
      <c r="D378" s="235">
        <v>100.21996715704606</v>
      </c>
      <c r="E378" s="234">
        <f t="shared" si="23"/>
        <v>77.656345999999985</v>
      </c>
      <c r="F378" s="239"/>
      <c r="G378" s="188" t="str">
        <f t="shared" si="24"/>
        <v/>
      </c>
      <c r="H378" s="236" t="str">
        <f t="shared" si="25"/>
        <v/>
      </c>
      <c r="I378" s="237"/>
    </row>
    <row r="379" spans="1:9">
      <c r="A379" s="232">
        <f t="shared" si="22"/>
        <v>377</v>
      </c>
      <c r="B379" s="233">
        <v>45577</v>
      </c>
      <c r="C379" s="234">
        <v>41.629035000000002</v>
      </c>
      <c r="D379" s="235">
        <v>100.21996715704606</v>
      </c>
      <c r="E379" s="234">
        <f t="shared" si="23"/>
        <v>41.629035000000002</v>
      </c>
      <c r="F379" s="239"/>
      <c r="G379" s="188" t="str">
        <f t="shared" si="24"/>
        <v/>
      </c>
      <c r="H379" s="236" t="str">
        <f t="shared" si="25"/>
        <v/>
      </c>
      <c r="I379" s="237"/>
    </row>
    <row r="380" spans="1:9">
      <c r="A380" s="232">
        <f t="shared" si="22"/>
        <v>378</v>
      </c>
      <c r="B380" s="233">
        <v>45578</v>
      </c>
      <c r="C380" s="234">
        <v>86.045024999999995</v>
      </c>
      <c r="D380" s="235">
        <v>100.21996715704606</v>
      </c>
      <c r="E380" s="234">
        <f t="shared" si="23"/>
        <v>86.045024999999995</v>
      </c>
      <c r="F380" s="239"/>
      <c r="G380" s="188" t="str">
        <f t="shared" si="24"/>
        <v/>
      </c>
      <c r="H380" s="236" t="str">
        <f t="shared" si="25"/>
        <v/>
      </c>
      <c r="I380" s="237"/>
    </row>
    <row r="381" spans="1:9">
      <c r="A381" s="232">
        <f t="shared" si="22"/>
        <v>379</v>
      </c>
      <c r="B381" s="233">
        <v>45579</v>
      </c>
      <c r="C381" s="234">
        <v>64.956184000000007</v>
      </c>
      <c r="D381" s="235">
        <v>100.21996715704606</v>
      </c>
      <c r="E381" s="234">
        <f t="shared" si="23"/>
        <v>64.956184000000007</v>
      </c>
      <c r="F381" s="239"/>
      <c r="G381" s="188" t="str">
        <f t="shared" si="24"/>
        <v/>
      </c>
      <c r="H381" s="236" t="str">
        <f t="shared" si="25"/>
        <v/>
      </c>
      <c r="I381" s="237"/>
    </row>
    <row r="382" spans="1:9">
      <c r="A382" s="232">
        <f t="shared" si="22"/>
        <v>380</v>
      </c>
      <c r="B382" s="233">
        <v>45580</v>
      </c>
      <c r="C382" s="234">
        <v>50.148288999999998</v>
      </c>
      <c r="D382" s="235">
        <v>100.21996715704606</v>
      </c>
      <c r="E382" s="234">
        <f t="shared" si="23"/>
        <v>50.148288999999998</v>
      </c>
      <c r="F382" s="239"/>
      <c r="G382" s="188" t="str">
        <f t="shared" si="24"/>
        <v>O</v>
      </c>
      <c r="H382" s="236" t="str">
        <f t="shared" si="25"/>
        <v>100,2</v>
      </c>
      <c r="I382" s="237"/>
    </row>
    <row r="383" spans="1:9">
      <c r="A383" s="232">
        <f t="shared" si="22"/>
        <v>381</v>
      </c>
      <c r="B383" s="233">
        <v>45581</v>
      </c>
      <c r="C383" s="234">
        <v>82.865889999999993</v>
      </c>
      <c r="D383" s="235">
        <v>100.21996715704606</v>
      </c>
      <c r="E383" s="234">
        <f t="shared" si="23"/>
        <v>82.865889999999993</v>
      </c>
      <c r="F383" s="239"/>
      <c r="G383" s="188" t="str">
        <f t="shared" si="24"/>
        <v/>
      </c>
      <c r="H383" s="236" t="str">
        <f t="shared" si="25"/>
        <v/>
      </c>
      <c r="I383" s="237"/>
    </row>
    <row r="384" spans="1:9">
      <c r="A384" s="232">
        <f t="shared" si="22"/>
        <v>382</v>
      </c>
      <c r="B384" s="233">
        <v>45582</v>
      </c>
      <c r="C384" s="234">
        <v>89.771204999999995</v>
      </c>
      <c r="D384" s="235">
        <v>100.21996715704606</v>
      </c>
      <c r="E384" s="234">
        <f t="shared" si="23"/>
        <v>89.771204999999995</v>
      </c>
      <c r="F384" s="239"/>
      <c r="G384" s="188" t="str">
        <f t="shared" si="24"/>
        <v/>
      </c>
      <c r="H384" s="236" t="str">
        <f t="shared" si="25"/>
        <v/>
      </c>
      <c r="I384" s="237"/>
    </row>
    <row r="385" spans="1:9">
      <c r="A385" s="232">
        <f t="shared" si="22"/>
        <v>383</v>
      </c>
      <c r="B385" s="233">
        <v>45583</v>
      </c>
      <c r="C385" s="234">
        <v>104.71456099999999</v>
      </c>
      <c r="D385" s="235">
        <v>100.21996715704606</v>
      </c>
      <c r="E385" s="234">
        <f t="shared" si="23"/>
        <v>100.21996715704606</v>
      </c>
      <c r="F385" s="239"/>
      <c r="G385" s="188" t="str">
        <f t="shared" si="24"/>
        <v/>
      </c>
      <c r="H385" s="236" t="str">
        <f t="shared" si="25"/>
        <v/>
      </c>
      <c r="I385" s="237"/>
    </row>
    <row r="386" spans="1:9">
      <c r="A386" s="232">
        <f t="shared" si="22"/>
        <v>384</v>
      </c>
      <c r="B386" s="233">
        <v>45584</v>
      </c>
      <c r="C386" s="234">
        <v>94.470303000000001</v>
      </c>
      <c r="D386" s="235">
        <v>100.21996715704606</v>
      </c>
      <c r="E386" s="234">
        <f t="shared" si="23"/>
        <v>94.470303000000001</v>
      </c>
      <c r="F386" s="239"/>
      <c r="G386" s="188" t="str">
        <f t="shared" si="24"/>
        <v/>
      </c>
      <c r="H386" s="236" t="str">
        <f t="shared" si="25"/>
        <v/>
      </c>
      <c r="I386" s="237"/>
    </row>
    <row r="387" spans="1:9">
      <c r="A387" s="232">
        <f t="shared" si="22"/>
        <v>385</v>
      </c>
      <c r="B387" s="233">
        <v>45585</v>
      </c>
      <c r="C387" s="234">
        <v>100.43535</v>
      </c>
      <c r="D387" s="235">
        <v>100.21996715704606</v>
      </c>
      <c r="E387" s="234">
        <f t="shared" si="23"/>
        <v>100.21996715704606</v>
      </c>
      <c r="F387" s="239"/>
      <c r="G387" s="188" t="str">
        <f t="shared" si="24"/>
        <v/>
      </c>
      <c r="H387" s="236" t="str">
        <f t="shared" si="25"/>
        <v/>
      </c>
      <c r="I387" s="237"/>
    </row>
    <row r="388" spans="1:9">
      <c r="A388" s="232">
        <f t="shared" ref="A388:A451" si="26">+A387+1</f>
        <v>386</v>
      </c>
      <c r="B388" s="233">
        <v>45586</v>
      </c>
      <c r="C388" s="234">
        <v>128.75581500000001</v>
      </c>
      <c r="D388" s="235">
        <v>100.21996715704606</v>
      </c>
      <c r="E388" s="234">
        <f t="shared" ref="E388:E451" si="27">IF(C388&gt;D388,D388,C388)</f>
        <v>100.21996715704606</v>
      </c>
      <c r="F388" s="239"/>
      <c r="G388" s="188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36" t="str">
        <f t="shared" ref="H388:H451" si="29">IF(DAY($B388)=15,TEXT(D388,"#,0"),"")</f>
        <v/>
      </c>
      <c r="I388" s="237"/>
    </row>
    <row r="389" spans="1:9">
      <c r="A389" s="232">
        <f t="shared" si="26"/>
        <v>387</v>
      </c>
      <c r="B389" s="233">
        <v>45587</v>
      </c>
      <c r="C389" s="234">
        <v>111.03649500000002</v>
      </c>
      <c r="D389" s="235">
        <v>100.21996715704606</v>
      </c>
      <c r="E389" s="234">
        <f t="shared" si="27"/>
        <v>100.21996715704606</v>
      </c>
      <c r="F389" s="239"/>
      <c r="G389" s="188" t="str">
        <f t="shared" si="28"/>
        <v/>
      </c>
      <c r="H389" s="236" t="str">
        <f t="shared" si="29"/>
        <v/>
      </c>
      <c r="I389" s="237"/>
    </row>
    <row r="390" spans="1:9">
      <c r="A390" s="232">
        <f t="shared" si="26"/>
        <v>388</v>
      </c>
      <c r="B390" s="233">
        <v>45588</v>
      </c>
      <c r="C390" s="234">
        <v>112.976062</v>
      </c>
      <c r="D390" s="235">
        <v>100.21996715704606</v>
      </c>
      <c r="E390" s="234">
        <f t="shared" si="27"/>
        <v>100.21996715704606</v>
      </c>
      <c r="F390" s="239"/>
      <c r="G390" s="188" t="str">
        <f t="shared" si="28"/>
        <v/>
      </c>
      <c r="H390" s="236" t="str">
        <f t="shared" si="29"/>
        <v/>
      </c>
      <c r="I390" s="237"/>
    </row>
    <row r="391" spans="1:9">
      <c r="A391" s="232">
        <f t="shared" si="26"/>
        <v>389</v>
      </c>
      <c r="B391" s="233">
        <v>45589</v>
      </c>
      <c r="C391" s="234">
        <v>105.95544599999999</v>
      </c>
      <c r="D391" s="235">
        <v>100.21996715704606</v>
      </c>
      <c r="E391" s="234">
        <f t="shared" si="27"/>
        <v>100.21996715704606</v>
      </c>
      <c r="F391" s="239"/>
      <c r="G391" s="188" t="str">
        <f t="shared" si="28"/>
        <v/>
      </c>
      <c r="H391" s="236" t="str">
        <f t="shared" si="29"/>
        <v/>
      </c>
      <c r="I391" s="237"/>
    </row>
    <row r="392" spans="1:9">
      <c r="A392" s="232">
        <f t="shared" si="26"/>
        <v>390</v>
      </c>
      <c r="B392" s="233">
        <v>45590</v>
      </c>
      <c r="C392" s="234">
        <v>66.978003000000001</v>
      </c>
      <c r="D392" s="235">
        <v>100.21996715704606</v>
      </c>
      <c r="E392" s="234">
        <f t="shared" si="27"/>
        <v>66.978003000000001</v>
      </c>
      <c r="F392" s="239"/>
      <c r="G392" s="188" t="str">
        <f t="shared" si="28"/>
        <v/>
      </c>
      <c r="H392" s="236" t="str">
        <f t="shared" si="29"/>
        <v/>
      </c>
      <c r="I392" s="237"/>
    </row>
    <row r="393" spans="1:9">
      <c r="A393" s="232">
        <f t="shared" si="26"/>
        <v>391</v>
      </c>
      <c r="B393" s="233">
        <v>45591</v>
      </c>
      <c r="C393" s="234">
        <v>72.411600000000007</v>
      </c>
      <c r="D393" s="235">
        <v>100.21996715704606</v>
      </c>
      <c r="E393" s="234">
        <f t="shared" si="27"/>
        <v>72.411600000000007</v>
      </c>
      <c r="F393" s="239"/>
      <c r="G393" s="188" t="str">
        <f t="shared" si="28"/>
        <v/>
      </c>
      <c r="H393" s="236" t="str">
        <f t="shared" si="29"/>
        <v/>
      </c>
      <c r="I393" s="237"/>
    </row>
    <row r="394" spans="1:9">
      <c r="A394" s="232">
        <f t="shared" si="26"/>
        <v>392</v>
      </c>
      <c r="B394" s="233">
        <v>45592</v>
      </c>
      <c r="C394" s="234">
        <v>74.568365</v>
      </c>
      <c r="D394" s="235">
        <v>100.21996715704606</v>
      </c>
      <c r="E394" s="234">
        <f t="shared" si="27"/>
        <v>74.568365</v>
      </c>
      <c r="F394" s="239"/>
      <c r="G394" s="188" t="str">
        <f t="shared" si="28"/>
        <v/>
      </c>
      <c r="H394" s="236" t="str">
        <f t="shared" si="29"/>
        <v/>
      </c>
      <c r="I394" s="237"/>
    </row>
    <row r="395" spans="1:9">
      <c r="A395" s="232">
        <f t="shared" si="26"/>
        <v>393</v>
      </c>
      <c r="B395" s="233">
        <v>45593</v>
      </c>
      <c r="C395" s="234">
        <v>93.970867999999996</v>
      </c>
      <c r="D395" s="235">
        <v>100.21996715704606</v>
      </c>
      <c r="E395" s="234">
        <f t="shared" si="27"/>
        <v>93.970867999999996</v>
      </c>
      <c r="F395" s="239"/>
      <c r="G395" s="188" t="str">
        <f t="shared" si="28"/>
        <v/>
      </c>
      <c r="H395" s="236" t="str">
        <f t="shared" si="29"/>
        <v/>
      </c>
      <c r="I395" s="237"/>
    </row>
    <row r="396" spans="1:9">
      <c r="A396" s="232">
        <f t="shared" si="26"/>
        <v>394</v>
      </c>
      <c r="B396" s="233">
        <v>45594</v>
      </c>
      <c r="C396" s="234">
        <v>33.239227999999997</v>
      </c>
      <c r="D396" s="235">
        <v>100.21996715704606</v>
      </c>
      <c r="E396" s="234">
        <f t="shared" si="27"/>
        <v>33.239227999999997</v>
      </c>
      <c r="F396" s="239"/>
      <c r="G396" s="188" t="str">
        <f t="shared" si="28"/>
        <v/>
      </c>
      <c r="H396" s="236" t="str">
        <f t="shared" si="29"/>
        <v/>
      </c>
      <c r="I396" s="237"/>
    </row>
    <row r="397" spans="1:9">
      <c r="A397" s="232">
        <f t="shared" si="26"/>
        <v>395</v>
      </c>
      <c r="B397" s="233">
        <v>45595</v>
      </c>
      <c r="C397" s="234">
        <v>57.047248999999994</v>
      </c>
      <c r="D397" s="235">
        <v>100.21996715704606</v>
      </c>
      <c r="E397" s="234">
        <f t="shared" si="27"/>
        <v>57.047248999999994</v>
      </c>
      <c r="F397" s="239"/>
      <c r="G397" s="188" t="str">
        <f t="shared" si="28"/>
        <v/>
      </c>
      <c r="H397" s="236" t="str">
        <f t="shared" si="29"/>
        <v/>
      </c>
      <c r="I397" s="237"/>
    </row>
    <row r="398" spans="1:9">
      <c r="A398" s="232">
        <f t="shared" si="26"/>
        <v>396</v>
      </c>
      <c r="B398" s="233">
        <v>45596</v>
      </c>
      <c r="C398" s="234">
        <v>54.442112999999999</v>
      </c>
      <c r="D398" s="235">
        <v>100.21996715704606</v>
      </c>
      <c r="E398" s="234">
        <f t="shared" si="27"/>
        <v>54.442112999999999</v>
      </c>
      <c r="F398" s="237"/>
      <c r="G398" s="188" t="str">
        <f t="shared" si="28"/>
        <v/>
      </c>
      <c r="H398" s="236" t="str">
        <f t="shared" si="29"/>
        <v/>
      </c>
      <c r="I398" s="237"/>
    </row>
    <row r="399" spans="1:9">
      <c r="A399" s="232">
        <f t="shared" si="26"/>
        <v>397</v>
      </c>
      <c r="B399" s="233">
        <v>45597</v>
      </c>
      <c r="C399" s="234">
        <v>74.426558999999997</v>
      </c>
      <c r="D399" s="235">
        <v>73.453850578676636</v>
      </c>
      <c r="E399" s="234">
        <f t="shared" si="27"/>
        <v>73.453850578676636</v>
      </c>
      <c r="F399" s="239"/>
      <c r="G399" s="188" t="str">
        <f t="shared" si="28"/>
        <v/>
      </c>
      <c r="H399" s="236" t="str">
        <f t="shared" si="29"/>
        <v/>
      </c>
      <c r="I399" s="237"/>
    </row>
    <row r="400" spans="1:9">
      <c r="A400" s="232">
        <f t="shared" si="26"/>
        <v>398</v>
      </c>
      <c r="B400" s="233">
        <v>45598</v>
      </c>
      <c r="C400" s="234">
        <v>98.642569000000009</v>
      </c>
      <c r="D400" s="235">
        <v>73.453850578676636</v>
      </c>
      <c r="E400" s="234">
        <f t="shared" si="27"/>
        <v>73.453850578676636</v>
      </c>
      <c r="F400" s="239"/>
      <c r="G400" s="188" t="str">
        <f t="shared" si="28"/>
        <v/>
      </c>
      <c r="H400" s="236" t="str">
        <f t="shared" si="29"/>
        <v/>
      </c>
      <c r="I400" s="237"/>
    </row>
    <row r="401" spans="1:9">
      <c r="A401" s="232">
        <f t="shared" si="26"/>
        <v>399</v>
      </c>
      <c r="B401" s="233">
        <v>45599</v>
      </c>
      <c r="C401" s="234">
        <v>94.025517000000008</v>
      </c>
      <c r="D401" s="235">
        <v>73.453850578676636</v>
      </c>
      <c r="E401" s="234">
        <f t="shared" si="27"/>
        <v>73.453850578676636</v>
      </c>
      <c r="F401" s="239"/>
      <c r="G401" s="188" t="str">
        <f t="shared" si="28"/>
        <v/>
      </c>
      <c r="H401" s="236" t="str">
        <f t="shared" si="29"/>
        <v/>
      </c>
      <c r="I401" s="237"/>
    </row>
    <row r="402" spans="1:9">
      <c r="A402" s="232">
        <f t="shared" si="26"/>
        <v>400</v>
      </c>
      <c r="B402" s="233">
        <v>45600</v>
      </c>
      <c r="C402" s="234">
        <v>81.757421000000008</v>
      </c>
      <c r="D402" s="235">
        <v>73.453850578676636</v>
      </c>
      <c r="E402" s="234">
        <f t="shared" si="27"/>
        <v>73.453850578676636</v>
      </c>
      <c r="F402" s="239"/>
      <c r="G402" s="188" t="str">
        <f t="shared" si="28"/>
        <v/>
      </c>
      <c r="H402" s="236" t="str">
        <f t="shared" si="29"/>
        <v/>
      </c>
      <c r="I402" s="237"/>
    </row>
    <row r="403" spans="1:9">
      <c r="A403" s="232">
        <f t="shared" si="26"/>
        <v>401</v>
      </c>
      <c r="B403" s="233">
        <v>45601</v>
      </c>
      <c r="C403" s="234">
        <v>89.750508999999994</v>
      </c>
      <c r="D403" s="235">
        <v>73.453850578676636</v>
      </c>
      <c r="E403" s="234">
        <f t="shared" si="27"/>
        <v>73.453850578676636</v>
      </c>
      <c r="F403" s="239"/>
      <c r="G403" s="188" t="str">
        <f t="shared" si="28"/>
        <v/>
      </c>
      <c r="H403" s="236" t="str">
        <f t="shared" si="29"/>
        <v/>
      </c>
      <c r="I403" s="237"/>
    </row>
    <row r="404" spans="1:9">
      <c r="A404" s="232">
        <f t="shared" si="26"/>
        <v>402</v>
      </c>
      <c r="B404" s="233">
        <v>45602</v>
      </c>
      <c r="C404" s="234">
        <v>109.71186200000001</v>
      </c>
      <c r="D404" s="235">
        <v>73.453850578676636</v>
      </c>
      <c r="E404" s="234">
        <f t="shared" si="27"/>
        <v>73.453850578676636</v>
      </c>
      <c r="F404" s="239"/>
      <c r="G404" s="188" t="str">
        <f t="shared" si="28"/>
        <v/>
      </c>
      <c r="H404" s="236" t="str">
        <f t="shared" si="29"/>
        <v/>
      </c>
      <c r="I404" s="237"/>
    </row>
    <row r="405" spans="1:9">
      <c r="A405" s="232">
        <f t="shared" si="26"/>
        <v>403</v>
      </c>
      <c r="B405" s="233">
        <v>45603</v>
      </c>
      <c r="C405" s="234">
        <v>100.23807600000001</v>
      </c>
      <c r="D405" s="235">
        <v>73.453850578676636</v>
      </c>
      <c r="E405" s="234">
        <f t="shared" si="27"/>
        <v>73.453850578676636</v>
      </c>
      <c r="F405" s="239"/>
      <c r="G405" s="188" t="str">
        <f t="shared" si="28"/>
        <v/>
      </c>
      <c r="H405" s="236" t="str">
        <f t="shared" si="29"/>
        <v/>
      </c>
      <c r="I405" s="237"/>
    </row>
    <row r="406" spans="1:9">
      <c r="A406" s="232">
        <f t="shared" si="26"/>
        <v>404</v>
      </c>
      <c r="B406" s="233">
        <v>45604</v>
      </c>
      <c r="C406" s="234">
        <v>50.781663000000002</v>
      </c>
      <c r="D406" s="235">
        <v>73.453850578676636</v>
      </c>
      <c r="E406" s="234">
        <f t="shared" si="27"/>
        <v>50.781663000000002</v>
      </c>
      <c r="F406" s="239"/>
      <c r="G406" s="188" t="str">
        <f t="shared" si="28"/>
        <v/>
      </c>
      <c r="H406" s="236" t="str">
        <f t="shared" si="29"/>
        <v/>
      </c>
      <c r="I406" s="237"/>
    </row>
    <row r="407" spans="1:9">
      <c r="A407" s="232">
        <f t="shared" si="26"/>
        <v>405</v>
      </c>
      <c r="B407" s="233">
        <v>45605</v>
      </c>
      <c r="C407" s="234">
        <v>78.169955000000002</v>
      </c>
      <c r="D407" s="235">
        <v>73.453850578676636</v>
      </c>
      <c r="E407" s="234">
        <f t="shared" si="27"/>
        <v>73.453850578676636</v>
      </c>
      <c r="F407" s="239"/>
      <c r="G407" s="188" t="str">
        <f t="shared" si="28"/>
        <v/>
      </c>
      <c r="H407" s="236" t="str">
        <f t="shared" si="29"/>
        <v/>
      </c>
      <c r="I407" s="237"/>
    </row>
    <row r="408" spans="1:9">
      <c r="A408" s="232">
        <f t="shared" si="26"/>
        <v>406</v>
      </c>
      <c r="B408" s="233">
        <v>45606</v>
      </c>
      <c r="C408" s="234">
        <v>97.480756</v>
      </c>
      <c r="D408" s="235">
        <v>73.453850578676636</v>
      </c>
      <c r="E408" s="234">
        <f t="shared" si="27"/>
        <v>73.453850578676636</v>
      </c>
      <c r="F408" s="239"/>
      <c r="G408" s="188" t="str">
        <f t="shared" si="28"/>
        <v/>
      </c>
      <c r="H408" s="236" t="str">
        <f t="shared" si="29"/>
        <v/>
      </c>
      <c r="I408" s="237"/>
    </row>
    <row r="409" spans="1:9">
      <c r="A409" s="232">
        <f t="shared" si="26"/>
        <v>407</v>
      </c>
      <c r="B409" s="233">
        <v>45607</v>
      </c>
      <c r="C409" s="234">
        <v>99.553542000000007</v>
      </c>
      <c r="D409" s="235">
        <v>73.453850578676636</v>
      </c>
      <c r="E409" s="234">
        <f t="shared" si="27"/>
        <v>73.453850578676636</v>
      </c>
      <c r="F409" s="239"/>
      <c r="G409" s="188" t="str">
        <f t="shared" si="28"/>
        <v/>
      </c>
      <c r="H409" s="236" t="str">
        <f t="shared" si="29"/>
        <v/>
      </c>
      <c r="I409" s="237"/>
    </row>
    <row r="410" spans="1:9">
      <c r="A410" s="232">
        <f t="shared" si="26"/>
        <v>408</v>
      </c>
      <c r="B410" s="233">
        <v>45608</v>
      </c>
      <c r="C410" s="234">
        <v>94.640654999999995</v>
      </c>
      <c r="D410" s="235">
        <v>73.453850578676636</v>
      </c>
      <c r="E410" s="234">
        <f t="shared" si="27"/>
        <v>73.453850578676636</v>
      </c>
      <c r="F410" s="239"/>
      <c r="G410" s="188" t="str">
        <f t="shared" si="28"/>
        <v/>
      </c>
      <c r="H410" s="236" t="str">
        <f t="shared" si="29"/>
        <v/>
      </c>
      <c r="I410" s="237"/>
    </row>
    <row r="411" spans="1:9">
      <c r="A411" s="232">
        <f t="shared" si="26"/>
        <v>409</v>
      </c>
      <c r="B411" s="233">
        <v>45609</v>
      </c>
      <c r="C411" s="234">
        <v>39.911791000000001</v>
      </c>
      <c r="D411" s="235">
        <v>73.453850578676636</v>
      </c>
      <c r="E411" s="234">
        <f t="shared" si="27"/>
        <v>39.911791000000001</v>
      </c>
      <c r="F411" s="239"/>
      <c r="G411" s="188" t="str">
        <f t="shared" si="28"/>
        <v/>
      </c>
      <c r="H411" s="236" t="str">
        <f t="shared" si="29"/>
        <v/>
      </c>
      <c r="I411" s="237"/>
    </row>
    <row r="412" spans="1:9">
      <c r="A412" s="232">
        <f t="shared" si="26"/>
        <v>410</v>
      </c>
      <c r="B412" s="233">
        <v>45610</v>
      </c>
      <c r="C412" s="234">
        <v>41.106451999999997</v>
      </c>
      <c r="D412" s="235">
        <v>73.453850578676636</v>
      </c>
      <c r="E412" s="234">
        <f t="shared" si="27"/>
        <v>41.106451999999997</v>
      </c>
      <c r="F412" s="239"/>
      <c r="G412" s="188" t="str">
        <f t="shared" si="28"/>
        <v/>
      </c>
      <c r="H412" s="236" t="str">
        <f t="shared" si="29"/>
        <v/>
      </c>
      <c r="I412" s="237"/>
    </row>
    <row r="413" spans="1:9">
      <c r="A413" s="232">
        <f t="shared" si="26"/>
        <v>411</v>
      </c>
      <c r="B413" s="233">
        <v>45611</v>
      </c>
      <c r="C413" s="234">
        <v>62.695011000000001</v>
      </c>
      <c r="D413" s="235">
        <v>73.453850578676636</v>
      </c>
      <c r="E413" s="234">
        <f t="shared" si="27"/>
        <v>62.695011000000001</v>
      </c>
      <c r="F413" s="239"/>
      <c r="G413" s="188" t="str">
        <f t="shared" si="28"/>
        <v>N</v>
      </c>
      <c r="H413" s="236" t="str">
        <f t="shared" si="29"/>
        <v>73,5</v>
      </c>
      <c r="I413" s="237"/>
    </row>
    <row r="414" spans="1:9">
      <c r="A414" s="232">
        <f t="shared" si="26"/>
        <v>412</v>
      </c>
      <c r="B414" s="233">
        <v>45612</v>
      </c>
      <c r="C414" s="234">
        <v>66.970986000000011</v>
      </c>
      <c r="D414" s="235">
        <v>73.453850578676636</v>
      </c>
      <c r="E414" s="234">
        <f t="shared" si="27"/>
        <v>66.970986000000011</v>
      </c>
      <c r="F414" s="239"/>
      <c r="G414" s="188" t="str">
        <f t="shared" si="28"/>
        <v/>
      </c>
      <c r="H414" s="236" t="str">
        <f t="shared" si="29"/>
        <v/>
      </c>
      <c r="I414" s="237"/>
    </row>
    <row r="415" spans="1:9">
      <c r="A415" s="232">
        <f t="shared" si="26"/>
        <v>413</v>
      </c>
      <c r="B415" s="233">
        <v>45613</v>
      </c>
      <c r="C415" s="234">
        <v>66.914023</v>
      </c>
      <c r="D415" s="235">
        <v>73.453850578676636</v>
      </c>
      <c r="E415" s="234">
        <f t="shared" si="27"/>
        <v>66.914023</v>
      </c>
      <c r="F415" s="239"/>
      <c r="G415" s="188" t="str">
        <f t="shared" si="28"/>
        <v/>
      </c>
      <c r="H415" s="236" t="str">
        <f t="shared" si="29"/>
        <v/>
      </c>
      <c r="I415" s="237"/>
    </row>
    <row r="416" spans="1:9">
      <c r="A416" s="232">
        <f t="shared" si="26"/>
        <v>414</v>
      </c>
      <c r="B416" s="233">
        <v>45614</v>
      </c>
      <c r="C416" s="234">
        <v>89.133653999999993</v>
      </c>
      <c r="D416" s="235">
        <v>73.453850578676636</v>
      </c>
      <c r="E416" s="234">
        <f t="shared" si="27"/>
        <v>73.453850578676636</v>
      </c>
      <c r="F416" s="239"/>
      <c r="G416" s="188" t="str">
        <f t="shared" si="28"/>
        <v/>
      </c>
      <c r="H416" s="236" t="str">
        <f t="shared" si="29"/>
        <v/>
      </c>
      <c r="I416" s="237"/>
    </row>
    <row r="417" spans="1:9">
      <c r="A417" s="232">
        <f t="shared" si="26"/>
        <v>415</v>
      </c>
      <c r="B417" s="233">
        <v>45615</v>
      </c>
      <c r="C417" s="234">
        <v>74.652422999999999</v>
      </c>
      <c r="D417" s="235">
        <v>73.453850578676636</v>
      </c>
      <c r="E417" s="234">
        <f t="shared" si="27"/>
        <v>73.453850578676636</v>
      </c>
      <c r="F417" s="239"/>
      <c r="G417" s="188" t="str">
        <f t="shared" si="28"/>
        <v/>
      </c>
      <c r="H417" s="236" t="str">
        <f t="shared" si="29"/>
        <v/>
      </c>
      <c r="I417" s="237"/>
    </row>
    <row r="418" spans="1:9">
      <c r="A418" s="232">
        <f t="shared" si="26"/>
        <v>416</v>
      </c>
      <c r="B418" s="233">
        <v>45616</v>
      </c>
      <c r="C418" s="234">
        <v>84.768444000000002</v>
      </c>
      <c r="D418" s="235">
        <v>73.453850578676636</v>
      </c>
      <c r="E418" s="234">
        <f t="shared" si="27"/>
        <v>73.453850578676636</v>
      </c>
      <c r="F418" s="239"/>
      <c r="G418" s="188" t="str">
        <f t="shared" si="28"/>
        <v/>
      </c>
      <c r="H418" s="236" t="str">
        <f t="shared" si="29"/>
        <v/>
      </c>
      <c r="I418" s="237"/>
    </row>
    <row r="419" spans="1:9">
      <c r="A419" s="232">
        <f t="shared" si="26"/>
        <v>417</v>
      </c>
      <c r="B419" s="233">
        <v>45617</v>
      </c>
      <c r="C419" s="234">
        <v>42.151499000000001</v>
      </c>
      <c r="D419" s="235">
        <v>73.453850578676636</v>
      </c>
      <c r="E419" s="234">
        <f t="shared" si="27"/>
        <v>42.151499000000001</v>
      </c>
      <c r="F419" s="239"/>
      <c r="G419" s="188" t="str">
        <f t="shared" si="28"/>
        <v/>
      </c>
      <c r="H419" s="236" t="str">
        <f t="shared" si="29"/>
        <v/>
      </c>
      <c r="I419" s="237"/>
    </row>
    <row r="420" spans="1:9">
      <c r="A420" s="232">
        <f t="shared" si="26"/>
        <v>418</v>
      </c>
      <c r="B420" s="233">
        <v>45618</v>
      </c>
      <c r="C420" s="234">
        <v>58.160812999999997</v>
      </c>
      <c r="D420" s="235">
        <v>73.453850578676636</v>
      </c>
      <c r="E420" s="234">
        <f t="shared" si="27"/>
        <v>58.160812999999997</v>
      </c>
      <c r="F420" s="239"/>
      <c r="G420" s="188" t="str">
        <f t="shared" si="28"/>
        <v/>
      </c>
      <c r="H420" s="236" t="str">
        <f t="shared" si="29"/>
        <v/>
      </c>
      <c r="I420" s="237"/>
    </row>
    <row r="421" spans="1:9">
      <c r="A421" s="232">
        <f t="shared" si="26"/>
        <v>419</v>
      </c>
      <c r="B421" s="233">
        <v>45619</v>
      </c>
      <c r="C421" s="234">
        <v>80.618313000000001</v>
      </c>
      <c r="D421" s="235">
        <v>73.453850578676636</v>
      </c>
      <c r="E421" s="234">
        <f t="shared" si="27"/>
        <v>73.453850578676636</v>
      </c>
      <c r="F421" s="239"/>
      <c r="G421" s="188" t="str">
        <f t="shared" si="28"/>
        <v/>
      </c>
      <c r="H421" s="236" t="str">
        <f t="shared" si="29"/>
        <v/>
      </c>
      <c r="I421" s="237"/>
    </row>
    <row r="422" spans="1:9">
      <c r="A422" s="232">
        <f t="shared" si="26"/>
        <v>420</v>
      </c>
      <c r="B422" s="233">
        <v>45620</v>
      </c>
      <c r="C422" s="234">
        <v>51.798917000000003</v>
      </c>
      <c r="D422" s="235">
        <v>73.453850578676636</v>
      </c>
      <c r="E422" s="234">
        <f t="shared" si="27"/>
        <v>51.798917000000003</v>
      </c>
      <c r="F422" s="239"/>
      <c r="G422" s="188" t="str">
        <f t="shared" si="28"/>
        <v/>
      </c>
      <c r="H422" s="236" t="str">
        <f t="shared" si="29"/>
        <v/>
      </c>
      <c r="I422" s="237"/>
    </row>
    <row r="423" spans="1:9">
      <c r="A423" s="232">
        <f t="shared" si="26"/>
        <v>421</v>
      </c>
      <c r="B423" s="233">
        <v>45621</v>
      </c>
      <c r="C423" s="234">
        <v>55.326330999999996</v>
      </c>
      <c r="D423" s="235">
        <v>73.453850578676636</v>
      </c>
      <c r="E423" s="234">
        <f t="shared" si="27"/>
        <v>55.326330999999996</v>
      </c>
      <c r="F423" s="239"/>
      <c r="G423" s="188" t="str">
        <f t="shared" si="28"/>
        <v/>
      </c>
      <c r="H423" s="236" t="str">
        <f t="shared" si="29"/>
        <v/>
      </c>
      <c r="I423" s="237"/>
    </row>
    <row r="424" spans="1:9">
      <c r="A424" s="232">
        <f t="shared" si="26"/>
        <v>422</v>
      </c>
      <c r="B424" s="233">
        <v>45622</v>
      </c>
      <c r="C424" s="234">
        <v>64.101357000000007</v>
      </c>
      <c r="D424" s="235">
        <v>73.453850578676636</v>
      </c>
      <c r="E424" s="234">
        <f t="shared" si="27"/>
        <v>64.101357000000007</v>
      </c>
      <c r="F424" s="239"/>
      <c r="G424" s="188" t="str">
        <f t="shared" si="28"/>
        <v/>
      </c>
      <c r="H424" s="236" t="str">
        <f t="shared" si="29"/>
        <v/>
      </c>
      <c r="I424" s="237"/>
    </row>
    <row r="425" spans="1:9">
      <c r="A425" s="232">
        <f t="shared" si="26"/>
        <v>423</v>
      </c>
      <c r="B425" s="233">
        <v>45623</v>
      </c>
      <c r="C425" s="234">
        <v>93.194969999999998</v>
      </c>
      <c r="D425" s="235">
        <v>73.453850578676636</v>
      </c>
      <c r="E425" s="234">
        <f t="shared" si="27"/>
        <v>73.453850578676636</v>
      </c>
      <c r="F425" s="239"/>
      <c r="G425" s="188" t="str">
        <f t="shared" si="28"/>
        <v/>
      </c>
      <c r="H425" s="236" t="str">
        <f t="shared" si="29"/>
        <v/>
      </c>
      <c r="I425" s="237"/>
    </row>
    <row r="426" spans="1:9">
      <c r="A426" s="232">
        <f t="shared" si="26"/>
        <v>424</v>
      </c>
      <c r="B426" s="233">
        <v>45624</v>
      </c>
      <c r="C426" s="234">
        <v>87.411062999999999</v>
      </c>
      <c r="D426" s="235">
        <v>73.453850578676636</v>
      </c>
      <c r="E426" s="234">
        <f t="shared" si="27"/>
        <v>73.453850578676636</v>
      </c>
      <c r="F426" s="239"/>
      <c r="G426" s="188" t="str">
        <f t="shared" si="28"/>
        <v/>
      </c>
      <c r="H426" s="236" t="str">
        <f t="shared" si="29"/>
        <v/>
      </c>
      <c r="I426" s="237"/>
    </row>
    <row r="427" spans="1:9">
      <c r="A427" s="232">
        <f t="shared" si="26"/>
        <v>425</v>
      </c>
      <c r="B427" s="233">
        <v>45625</v>
      </c>
      <c r="C427" s="234">
        <v>69.117960000000011</v>
      </c>
      <c r="D427" s="235">
        <v>73.453850578676636</v>
      </c>
      <c r="E427" s="234">
        <f t="shared" si="27"/>
        <v>69.117960000000011</v>
      </c>
      <c r="F427" s="239"/>
      <c r="G427" s="188" t="str">
        <f t="shared" si="28"/>
        <v/>
      </c>
      <c r="H427" s="236" t="str">
        <f t="shared" si="29"/>
        <v/>
      </c>
      <c r="I427" s="237"/>
    </row>
    <row r="428" spans="1:9">
      <c r="A428" s="232">
        <f t="shared" si="26"/>
        <v>426</v>
      </c>
      <c r="B428" s="233">
        <v>45626</v>
      </c>
      <c r="C428" s="234">
        <v>80.847859999999997</v>
      </c>
      <c r="D428" s="235">
        <v>73.453850578676636</v>
      </c>
      <c r="E428" s="234">
        <f t="shared" si="27"/>
        <v>73.453850578676636</v>
      </c>
      <c r="F428" s="237"/>
      <c r="G428" s="188" t="str">
        <f t="shared" si="28"/>
        <v/>
      </c>
      <c r="H428" s="236" t="str">
        <f t="shared" si="29"/>
        <v/>
      </c>
      <c r="I428" s="237"/>
    </row>
    <row r="429" spans="1:9">
      <c r="A429" s="232">
        <f t="shared" si="26"/>
        <v>427</v>
      </c>
      <c r="B429" s="233">
        <v>45627</v>
      </c>
      <c r="C429" s="234">
        <v>50.372580999999997</v>
      </c>
      <c r="D429" s="235">
        <v>62.626712990807356</v>
      </c>
      <c r="E429" s="234">
        <f t="shared" si="27"/>
        <v>50.372580999999997</v>
      </c>
      <c r="F429" s="239"/>
      <c r="G429" s="188" t="str">
        <f t="shared" si="28"/>
        <v/>
      </c>
      <c r="H429" s="236" t="str">
        <f t="shared" si="29"/>
        <v/>
      </c>
      <c r="I429" s="237"/>
    </row>
    <row r="430" spans="1:9">
      <c r="A430" s="232">
        <f t="shared" si="26"/>
        <v>428</v>
      </c>
      <c r="B430" s="233">
        <v>45628</v>
      </c>
      <c r="C430" s="234">
        <v>57.035404999999997</v>
      </c>
      <c r="D430" s="235">
        <v>62.626712990807356</v>
      </c>
      <c r="E430" s="234">
        <f t="shared" si="27"/>
        <v>57.035404999999997</v>
      </c>
      <c r="F430" s="239"/>
      <c r="G430" s="188" t="str">
        <f t="shared" si="28"/>
        <v/>
      </c>
      <c r="H430" s="236" t="str">
        <f t="shared" si="29"/>
        <v/>
      </c>
      <c r="I430" s="237"/>
    </row>
    <row r="431" spans="1:9">
      <c r="A431" s="232">
        <f t="shared" si="26"/>
        <v>429</v>
      </c>
      <c r="B431" s="233">
        <v>45629</v>
      </c>
      <c r="C431" s="234">
        <v>60.978746000000001</v>
      </c>
      <c r="D431" s="235">
        <v>62.626712990807356</v>
      </c>
      <c r="E431" s="234">
        <f t="shared" si="27"/>
        <v>60.978746000000001</v>
      </c>
      <c r="F431" s="239"/>
      <c r="G431" s="188" t="str">
        <f t="shared" si="28"/>
        <v/>
      </c>
      <c r="H431" s="236" t="str">
        <f t="shared" si="29"/>
        <v/>
      </c>
      <c r="I431" s="237"/>
    </row>
    <row r="432" spans="1:9">
      <c r="A432" s="232">
        <f t="shared" si="26"/>
        <v>430</v>
      </c>
      <c r="B432" s="233">
        <v>45630</v>
      </c>
      <c r="C432" s="234">
        <v>77.795842999999991</v>
      </c>
      <c r="D432" s="235">
        <v>62.626712990807356</v>
      </c>
      <c r="E432" s="234">
        <f t="shared" si="27"/>
        <v>62.626712990807356</v>
      </c>
      <c r="F432" s="239"/>
      <c r="G432" s="188" t="str">
        <f t="shared" si="28"/>
        <v/>
      </c>
      <c r="H432" s="236" t="str">
        <f t="shared" si="29"/>
        <v/>
      </c>
      <c r="I432" s="237"/>
    </row>
    <row r="433" spans="1:9">
      <c r="A433" s="232">
        <f t="shared" si="26"/>
        <v>431</v>
      </c>
      <c r="B433" s="233">
        <v>45631</v>
      </c>
      <c r="C433" s="234">
        <v>85.488790999999992</v>
      </c>
      <c r="D433" s="235">
        <v>62.626712990807356</v>
      </c>
      <c r="E433" s="234">
        <f t="shared" si="27"/>
        <v>62.626712990807356</v>
      </c>
      <c r="F433" s="239"/>
      <c r="G433" s="188" t="str">
        <f t="shared" si="28"/>
        <v/>
      </c>
      <c r="H433" s="236" t="str">
        <f t="shared" si="29"/>
        <v/>
      </c>
      <c r="I433" s="237"/>
    </row>
    <row r="434" spans="1:9">
      <c r="A434" s="232">
        <f t="shared" si="26"/>
        <v>432</v>
      </c>
      <c r="B434" s="233">
        <v>45632</v>
      </c>
      <c r="C434" s="234">
        <v>79.789164999999997</v>
      </c>
      <c r="D434" s="235">
        <v>62.626712990807356</v>
      </c>
      <c r="E434" s="234">
        <f t="shared" si="27"/>
        <v>62.626712990807356</v>
      </c>
      <c r="F434" s="239"/>
      <c r="G434" s="188" t="str">
        <f t="shared" si="28"/>
        <v/>
      </c>
      <c r="H434" s="236" t="str">
        <f t="shared" si="29"/>
        <v/>
      </c>
      <c r="I434" s="237"/>
    </row>
    <row r="435" spans="1:9">
      <c r="A435" s="232">
        <f t="shared" si="26"/>
        <v>433</v>
      </c>
      <c r="B435" s="233">
        <v>45633</v>
      </c>
      <c r="C435" s="234">
        <v>71.945085999999989</v>
      </c>
      <c r="D435" s="235">
        <v>62.626712990807356</v>
      </c>
      <c r="E435" s="234">
        <f t="shared" si="27"/>
        <v>62.626712990807356</v>
      </c>
      <c r="F435" s="239"/>
      <c r="G435" s="188" t="str">
        <f t="shared" si="28"/>
        <v/>
      </c>
      <c r="H435" s="236" t="str">
        <f t="shared" si="29"/>
        <v/>
      </c>
      <c r="I435" s="237"/>
    </row>
    <row r="436" spans="1:9">
      <c r="A436" s="232">
        <f t="shared" si="26"/>
        <v>434</v>
      </c>
      <c r="B436" s="233">
        <v>45634</v>
      </c>
      <c r="C436" s="234">
        <v>80.554946000000001</v>
      </c>
      <c r="D436" s="235">
        <v>62.626712990807356</v>
      </c>
      <c r="E436" s="234">
        <f t="shared" si="27"/>
        <v>62.626712990807356</v>
      </c>
      <c r="F436" s="239"/>
      <c r="G436" s="188" t="str">
        <f t="shared" si="28"/>
        <v/>
      </c>
      <c r="H436" s="236" t="str">
        <f t="shared" si="29"/>
        <v/>
      </c>
      <c r="I436" s="237"/>
    </row>
    <row r="437" spans="1:9">
      <c r="A437" s="232">
        <f t="shared" si="26"/>
        <v>435</v>
      </c>
      <c r="B437" s="233">
        <v>45635</v>
      </c>
      <c r="C437" s="234">
        <v>89.193346999999989</v>
      </c>
      <c r="D437" s="235">
        <v>62.626712990807356</v>
      </c>
      <c r="E437" s="234">
        <f t="shared" si="27"/>
        <v>62.626712990807356</v>
      </c>
      <c r="F437" s="239"/>
      <c r="G437" s="188" t="str">
        <f t="shared" si="28"/>
        <v/>
      </c>
      <c r="H437" s="236" t="str">
        <f t="shared" si="29"/>
        <v/>
      </c>
      <c r="I437" s="237"/>
    </row>
    <row r="438" spans="1:9">
      <c r="A438" s="232">
        <f t="shared" si="26"/>
        <v>436</v>
      </c>
      <c r="B438" s="233">
        <v>45636</v>
      </c>
      <c r="C438" s="234">
        <v>92.45692600000001</v>
      </c>
      <c r="D438" s="235">
        <v>62.626712990807356</v>
      </c>
      <c r="E438" s="234">
        <f t="shared" si="27"/>
        <v>62.626712990807356</v>
      </c>
      <c r="F438" s="239"/>
      <c r="G438" s="188" t="str">
        <f t="shared" si="28"/>
        <v/>
      </c>
      <c r="H438" s="236" t="str">
        <f t="shared" si="29"/>
        <v/>
      </c>
      <c r="I438" s="237"/>
    </row>
    <row r="439" spans="1:9">
      <c r="A439" s="232">
        <f t="shared" si="26"/>
        <v>437</v>
      </c>
      <c r="B439" s="233">
        <v>45637</v>
      </c>
      <c r="C439" s="234">
        <v>62.781105000000004</v>
      </c>
      <c r="D439" s="235">
        <v>62.626712990807356</v>
      </c>
      <c r="E439" s="234">
        <f t="shared" si="27"/>
        <v>62.626712990807356</v>
      </c>
      <c r="F439" s="239"/>
      <c r="G439" s="188" t="str">
        <f t="shared" si="28"/>
        <v/>
      </c>
      <c r="H439" s="236" t="str">
        <f t="shared" si="29"/>
        <v/>
      </c>
      <c r="I439" s="237"/>
    </row>
    <row r="440" spans="1:9">
      <c r="A440" s="232">
        <f t="shared" si="26"/>
        <v>438</v>
      </c>
      <c r="B440" s="233">
        <v>45638</v>
      </c>
      <c r="C440" s="234">
        <v>54.772286999999999</v>
      </c>
      <c r="D440" s="235">
        <v>62.626712990807356</v>
      </c>
      <c r="E440" s="234">
        <f t="shared" si="27"/>
        <v>54.772286999999999</v>
      </c>
      <c r="F440" s="239"/>
      <c r="G440" s="188" t="str">
        <f t="shared" si="28"/>
        <v/>
      </c>
      <c r="H440" s="236" t="str">
        <f t="shared" si="29"/>
        <v/>
      </c>
      <c r="I440" s="237"/>
    </row>
    <row r="441" spans="1:9">
      <c r="A441" s="232">
        <f t="shared" si="26"/>
        <v>439</v>
      </c>
      <c r="B441" s="233">
        <v>45639</v>
      </c>
      <c r="C441" s="234">
        <v>70.571113999999994</v>
      </c>
      <c r="D441" s="235">
        <v>62.626712990807356</v>
      </c>
      <c r="E441" s="234">
        <f t="shared" si="27"/>
        <v>62.626712990807356</v>
      </c>
      <c r="F441" s="239"/>
      <c r="G441" s="188" t="str">
        <f t="shared" si="28"/>
        <v/>
      </c>
      <c r="H441" s="236" t="str">
        <f t="shared" si="29"/>
        <v/>
      </c>
      <c r="I441" s="237"/>
    </row>
    <row r="442" spans="1:9">
      <c r="A442" s="232">
        <f t="shared" si="26"/>
        <v>440</v>
      </c>
      <c r="B442" s="233">
        <v>45640</v>
      </c>
      <c r="C442" s="234">
        <v>78.080439999999996</v>
      </c>
      <c r="D442" s="235">
        <v>62.626712990807356</v>
      </c>
      <c r="E442" s="234">
        <f t="shared" si="27"/>
        <v>62.626712990807356</v>
      </c>
      <c r="F442" s="239"/>
      <c r="G442" s="188" t="str">
        <f t="shared" si="28"/>
        <v/>
      </c>
      <c r="H442" s="236" t="str">
        <f t="shared" si="29"/>
        <v/>
      </c>
      <c r="I442" s="237"/>
    </row>
    <row r="443" spans="1:9">
      <c r="A443" s="232">
        <f t="shared" si="26"/>
        <v>441</v>
      </c>
      <c r="B443" s="233">
        <v>45641</v>
      </c>
      <c r="C443" s="234">
        <v>85.188813999999994</v>
      </c>
      <c r="D443" s="235">
        <v>62.626712990807356</v>
      </c>
      <c r="E443" s="234">
        <f t="shared" si="27"/>
        <v>62.626712990807356</v>
      </c>
      <c r="F443" s="239"/>
      <c r="G443" s="188" t="str">
        <f t="shared" si="28"/>
        <v>D</v>
      </c>
      <c r="H443" s="236" t="str">
        <f t="shared" si="29"/>
        <v>62,6</v>
      </c>
      <c r="I443" s="237"/>
    </row>
    <row r="444" spans="1:9">
      <c r="A444" s="232">
        <f t="shared" si="26"/>
        <v>442</v>
      </c>
      <c r="B444" s="233">
        <v>45642</v>
      </c>
      <c r="C444" s="234">
        <v>95.217713000000003</v>
      </c>
      <c r="D444" s="235">
        <v>62.626712990807356</v>
      </c>
      <c r="E444" s="234">
        <f t="shared" si="27"/>
        <v>62.626712990807356</v>
      </c>
      <c r="F444" s="239"/>
      <c r="G444" s="188" t="str">
        <f t="shared" si="28"/>
        <v/>
      </c>
      <c r="H444" s="236" t="str">
        <f t="shared" si="29"/>
        <v/>
      </c>
      <c r="I444" s="237"/>
    </row>
    <row r="445" spans="1:9">
      <c r="A445" s="232">
        <f t="shared" si="26"/>
        <v>443</v>
      </c>
      <c r="B445" s="233">
        <v>45643</v>
      </c>
      <c r="C445" s="234">
        <v>73.913055</v>
      </c>
      <c r="D445" s="235">
        <v>62.626712990807356</v>
      </c>
      <c r="E445" s="234">
        <f t="shared" si="27"/>
        <v>62.626712990807356</v>
      </c>
      <c r="F445" s="239"/>
      <c r="G445" s="188" t="str">
        <f t="shared" si="28"/>
        <v/>
      </c>
      <c r="H445" s="236" t="str">
        <f t="shared" si="29"/>
        <v/>
      </c>
      <c r="I445" s="237"/>
    </row>
    <row r="446" spans="1:9">
      <c r="A446" s="232">
        <f t="shared" si="26"/>
        <v>444</v>
      </c>
      <c r="B446" s="233">
        <v>45644</v>
      </c>
      <c r="C446" s="234">
        <v>69.242447999999996</v>
      </c>
      <c r="D446" s="235">
        <v>62.626712990807356</v>
      </c>
      <c r="E446" s="234">
        <f t="shared" si="27"/>
        <v>62.626712990807356</v>
      </c>
      <c r="F446" s="239"/>
      <c r="G446" s="188" t="str">
        <f t="shared" si="28"/>
        <v/>
      </c>
      <c r="H446" s="236" t="str">
        <f t="shared" si="29"/>
        <v/>
      </c>
      <c r="I446" s="237"/>
    </row>
    <row r="447" spans="1:9">
      <c r="A447" s="232">
        <f t="shared" si="26"/>
        <v>445</v>
      </c>
      <c r="B447" s="233">
        <v>45645</v>
      </c>
      <c r="C447" s="234">
        <v>47.243042000000003</v>
      </c>
      <c r="D447" s="235">
        <v>62.626712990807356</v>
      </c>
      <c r="E447" s="234">
        <f t="shared" si="27"/>
        <v>47.243042000000003</v>
      </c>
      <c r="F447" s="239"/>
      <c r="G447" s="188" t="str">
        <f t="shared" si="28"/>
        <v/>
      </c>
      <c r="H447" s="236" t="str">
        <f t="shared" si="29"/>
        <v/>
      </c>
      <c r="I447" s="237"/>
    </row>
    <row r="448" spans="1:9">
      <c r="A448" s="232">
        <f t="shared" si="26"/>
        <v>446</v>
      </c>
      <c r="B448" s="233">
        <v>45646</v>
      </c>
      <c r="C448" s="234">
        <v>87.999273999999986</v>
      </c>
      <c r="D448" s="235">
        <v>62.626712990807356</v>
      </c>
      <c r="E448" s="234">
        <f t="shared" si="27"/>
        <v>62.626712990807356</v>
      </c>
      <c r="F448" s="239"/>
      <c r="G448" s="188" t="str">
        <f t="shared" si="28"/>
        <v/>
      </c>
      <c r="H448" s="236" t="str">
        <f t="shared" si="29"/>
        <v/>
      </c>
      <c r="I448" s="237"/>
    </row>
    <row r="449" spans="1:9">
      <c r="A449" s="232">
        <f t="shared" si="26"/>
        <v>447</v>
      </c>
      <c r="B449" s="233">
        <v>45647</v>
      </c>
      <c r="C449" s="234">
        <v>95.746225999999993</v>
      </c>
      <c r="D449" s="235">
        <v>62.626712990807356</v>
      </c>
      <c r="E449" s="234">
        <f t="shared" si="27"/>
        <v>62.626712990807356</v>
      </c>
      <c r="F449" s="239"/>
      <c r="G449" s="188" t="str">
        <f t="shared" si="28"/>
        <v/>
      </c>
      <c r="H449" s="236" t="str">
        <f t="shared" si="29"/>
        <v/>
      </c>
      <c r="I449" s="237"/>
    </row>
    <row r="450" spans="1:9">
      <c r="A450" s="232">
        <f t="shared" si="26"/>
        <v>448</v>
      </c>
      <c r="B450" s="233">
        <v>45648</v>
      </c>
      <c r="C450" s="234">
        <v>97.264843999999997</v>
      </c>
      <c r="D450" s="235">
        <v>62.626712990807356</v>
      </c>
      <c r="E450" s="234">
        <f t="shared" si="27"/>
        <v>62.626712990807356</v>
      </c>
      <c r="F450" s="239"/>
      <c r="G450" s="188" t="str">
        <f t="shared" si="28"/>
        <v/>
      </c>
      <c r="H450" s="236" t="str">
        <f t="shared" si="29"/>
        <v/>
      </c>
      <c r="I450" s="237"/>
    </row>
    <row r="451" spans="1:9">
      <c r="A451" s="232">
        <f t="shared" si="26"/>
        <v>449</v>
      </c>
      <c r="B451" s="233">
        <v>45649</v>
      </c>
      <c r="C451" s="234">
        <v>91.780792000000005</v>
      </c>
      <c r="D451" s="235">
        <v>62.626712990807356</v>
      </c>
      <c r="E451" s="234">
        <f t="shared" si="27"/>
        <v>62.626712990807356</v>
      </c>
      <c r="F451" s="239"/>
      <c r="G451" s="188" t="str">
        <f t="shared" si="28"/>
        <v/>
      </c>
      <c r="H451" s="236" t="str">
        <f t="shared" si="29"/>
        <v/>
      </c>
      <c r="I451" s="237"/>
    </row>
    <row r="452" spans="1:9">
      <c r="A452" s="232">
        <f t="shared" ref="A452:A515" si="30">+A451+1</f>
        <v>450</v>
      </c>
      <c r="B452" s="233">
        <v>45650</v>
      </c>
      <c r="C452" s="234">
        <v>94.022751</v>
      </c>
      <c r="D452" s="235">
        <v>62.626712990807356</v>
      </c>
      <c r="E452" s="234">
        <f t="shared" ref="E452:E515" si="31">IF(C452&gt;D452,D452,C452)</f>
        <v>62.626712990807356</v>
      </c>
      <c r="F452" s="239"/>
      <c r="G452" s="188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36" t="str">
        <f t="shared" ref="H452:H515" si="33">IF(DAY($B452)=15,TEXT(D452,"#,0"),"")</f>
        <v/>
      </c>
      <c r="I452" s="237"/>
    </row>
    <row r="453" spans="1:9">
      <c r="A453" s="232">
        <f t="shared" si="30"/>
        <v>451</v>
      </c>
      <c r="B453" s="233">
        <v>45651</v>
      </c>
      <c r="C453" s="234">
        <v>95.685118000000003</v>
      </c>
      <c r="D453" s="235">
        <v>62.626712990807356</v>
      </c>
      <c r="E453" s="234">
        <f t="shared" si="31"/>
        <v>62.626712990807356</v>
      </c>
      <c r="F453" s="239"/>
      <c r="G453" s="188" t="str">
        <f t="shared" si="32"/>
        <v/>
      </c>
      <c r="H453" s="236" t="str">
        <f t="shared" si="33"/>
        <v/>
      </c>
      <c r="I453" s="237"/>
    </row>
    <row r="454" spans="1:9">
      <c r="A454" s="232">
        <f t="shared" si="30"/>
        <v>452</v>
      </c>
      <c r="B454" s="233">
        <v>45652</v>
      </c>
      <c r="C454" s="234">
        <v>81.822732999999999</v>
      </c>
      <c r="D454" s="235">
        <v>62.626712990807356</v>
      </c>
      <c r="E454" s="234">
        <f t="shared" si="31"/>
        <v>62.626712990807356</v>
      </c>
      <c r="F454" s="239"/>
      <c r="G454" s="188" t="str">
        <f t="shared" si="32"/>
        <v/>
      </c>
      <c r="H454" s="236" t="str">
        <f t="shared" si="33"/>
        <v/>
      </c>
      <c r="I454" s="237"/>
    </row>
    <row r="455" spans="1:9">
      <c r="A455" s="232">
        <f t="shared" si="30"/>
        <v>453</v>
      </c>
      <c r="B455" s="233">
        <v>45653</v>
      </c>
      <c r="C455" s="234">
        <v>85.083970000000008</v>
      </c>
      <c r="D455" s="235">
        <v>62.626712990807356</v>
      </c>
      <c r="E455" s="234">
        <f t="shared" si="31"/>
        <v>62.626712990807356</v>
      </c>
      <c r="F455" s="239"/>
      <c r="G455" s="188" t="str">
        <f t="shared" si="32"/>
        <v/>
      </c>
      <c r="H455" s="236" t="str">
        <f t="shared" si="33"/>
        <v/>
      </c>
      <c r="I455" s="237"/>
    </row>
    <row r="456" spans="1:9">
      <c r="A456" s="232">
        <f t="shared" si="30"/>
        <v>454</v>
      </c>
      <c r="B456" s="233">
        <v>45654</v>
      </c>
      <c r="C456" s="234">
        <v>86.094481999999999</v>
      </c>
      <c r="D456" s="235">
        <v>62.626712990807356</v>
      </c>
      <c r="E456" s="234">
        <f t="shared" si="31"/>
        <v>62.626712990807356</v>
      </c>
      <c r="F456" s="239"/>
      <c r="G456" s="188" t="str">
        <f t="shared" si="32"/>
        <v/>
      </c>
      <c r="H456" s="236" t="str">
        <f t="shared" si="33"/>
        <v/>
      </c>
      <c r="I456" s="237"/>
    </row>
    <row r="457" spans="1:9">
      <c r="A457" s="232">
        <f t="shared" si="30"/>
        <v>455</v>
      </c>
      <c r="B457" s="233">
        <v>45655</v>
      </c>
      <c r="C457" s="234">
        <v>83.740314999999995</v>
      </c>
      <c r="D457" s="235">
        <v>62.626712990807356</v>
      </c>
      <c r="E457" s="234">
        <f t="shared" si="31"/>
        <v>62.626712990807356</v>
      </c>
      <c r="F457" s="239"/>
      <c r="G457" s="188" t="str">
        <f t="shared" si="32"/>
        <v/>
      </c>
      <c r="H457" s="236" t="str">
        <f t="shared" si="33"/>
        <v/>
      </c>
      <c r="I457" s="237"/>
    </row>
    <row r="458" spans="1:9">
      <c r="A458" s="232">
        <f t="shared" si="30"/>
        <v>456</v>
      </c>
      <c r="B458" s="233">
        <v>45656</v>
      </c>
      <c r="C458" s="234">
        <v>85.281542000000002</v>
      </c>
      <c r="D458" s="235">
        <v>62.626712990807356</v>
      </c>
      <c r="E458" s="234">
        <f t="shared" si="31"/>
        <v>62.626712990807356</v>
      </c>
      <c r="F458" s="239"/>
      <c r="G458" s="188" t="str">
        <f t="shared" si="32"/>
        <v/>
      </c>
      <c r="H458" s="236" t="str">
        <f t="shared" si="33"/>
        <v/>
      </c>
      <c r="I458" s="237"/>
    </row>
    <row r="459" spans="1:9">
      <c r="A459" s="232">
        <f t="shared" si="30"/>
        <v>457</v>
      </c>
      <c r="B459" s="233">
        <v>45657</v>
      </c>
      <c r="C459" s="234">
        <v>76.353207999999995</v>
      </c>
      <c r="D459" s="235">
        <v>62.626712990807356</v>
      </c>
      <c r="E459" s="234">
        <f t="shared" si="31"/>
        <v>62.626712990807356</v>
      </c>
      <c r="F459" s="237"/>
      <c r="G459" s="188" t="str">
        <f t="shared" si="32"/>
        <v/>
      </c>
      <c r="H459" s="236" t="str">
        <f t="shared" si="33"/>
        <v/>
      </c>
      <c r="I459" s="237"/>
    </row>
    <row r="460" spans="1:9">
      <c r="A460" s="232">
        <f t="shared" si="30"/>
        <v>458</v>
      </c>
      <c r="B460" s="233">
        <v>45658</v>
      </c>
      <c r="C460" s="234">
        <v>77.115217999999999</v>
      </c>
      <c r="D460" s="235">
        <v>91.910462511652426</v>
      </c>
      <c r="E460" s="234">
        <f t="shared" si="31"/>
        <v>77.115217999999999</v>
      </c>
      <c r="F460" s="237">
        <f>YEAR(B460)</f>
        <v>2025</v>
      </c>
      <c r="G460" s="188" t="str">
        <f t="shared" si="32"/>
        <v/>
      </c>
      <c r="H460" s="236" t="str">
        <f t="shared" si="33"/>
        <v/>
      </c>
      <c r="I460" s="237"/>
    </row>
    <row r="461" spans="1:9">
      <c r="A461" s="232">
        <f t="shared" si="30"/>
        <v>459</v>
      </c>
      <c r="B461" s="233">
        <v>45659</v>
      </c>
      <c r="C461" s="234">
        <v>91.034464999999997</v>
      </c>
      <c r="D461" s="235">
        <v>91.910462511652426</v>
      </c>
      <c r="E461" s="234">
        <f t="shared" si="31"/>
        <v>91.034464999999997</v>
      </c>
      <c r="F461" s="239"/>
      <c r="G461" s="188" t="str">
        <f t="shared" si="32"/>
        <v/>
      </c>
      <c r="H461" s="236" t="str">
        <f t="shared" si="33"/>
        <v/>
      </c>
      <c r="I461" s="237"/>
    </row>
    <row r="462" spans="1:9">
      <c r="A462" s="232">
        <f t="shared" si="30"/>
        <v>460</v>
      </c>
      <c r="B462" s="233">
        <v>45660</v>
      </c>
      <c r="C462" s="234">
        <v>73.349131999999997</v>
      </c>
      <c r="D462" s="235">
        <v>91.910462511652426</v>
      </c>
      <c r="E462" s="234">
        <f t="shared" si="31"/>
        <v>73.349131999999997</v>
      </c>
      <c r="F462" s="239"/>
      <c r="G462" s="188" t="str">
        <f t="shared" si="32"/>
        <v/>
      </c>
      <c r="H462" s="236" t="str">
        <f t="shared" si="33"/>
        <v/>
      </c>
      <c r="I462" s="237"/>
    </row>
    <row r="463" spans="1:9">
      <c r="A463" s="232">
        <f t="shared" si="30"/>
        <v>461</v>
      </c>
      <c r="B463" s="233">
        <v>45661</v>
      </c>
      <c r="C463" s="234">
        <v>68.004445000000004</v>
      </c>
      <c r="D463" s="235">
        <v>91.910462511652426</v>
      </c>
      <c r="E463" s="234">
        <f t="shared" si="31"/>
        <v>68.004445000000004</v>
      </c>
      <c r="F463" s="239"/>
      <c r="G463" s="188" t="str">
        <f t="shared" si="32"/>
        <v/>
      </c>
      <c r="H463" s="236" t="str">
        <f t="shared" si="33"/>
        <v/>
      </c>
      <c r="I463" s="237"/>
    </row>
    <row r="464" spans="1:9">
      <c r="A464" s="232">
        <f t="shared" si="30"/>
        <v>462</v>
      </c>
      <c r="B464" s="233">
        <v>45662</v>
      </c>
      <c r="C464" s="234">
        <v>38.204943</v>
      </c>
      <c r="D464" s="235">
        <v>91.910462511652426</v>
      </c>
      <c r="E464" s="234">
        <f t="shared" si="31"/>
        <v>38.204943</v>
      </c>
      <c r="F464" s="239"/>
      <c r="G464" s="188" t="str">
        <f t="shared" si="32"/>
        <v/>
      </c>
      <c r="H464" s="236" t="str">
        <f t="shared" si="33"/>
        <v/>
      </c>
      <c r="I464" s="237"/>
    </row>
    <row r="465" spans="1:9">
      <c r="A465" s="232">
        <f t="shared" si="30"/>
        <v>463</v>
      </c>
      <c r="B465" s="233">
        <v>45663</v>
      </c>
      <c r="C465" s="234">
        <v>57.554462000000001</v>
      </c>
      <c r="D465" s="235">
        <v>91.910462511652426</v>
      </c>
      <c r="E465" s="234">
        <f t="shared" si="31"/>
        <v>57.554462000000001</v>
      </c>
      <c r="F465" s="239"/>
      <c r="G465" s="188" t="str">
        <f t="shared" si="32"/>
        <v/>
      </c>
      <c r="H465" s="236" t="str">
        <f t="shared" si="33"/>
        <v/>
      </c>
      <c r="I465" s="237"/>
    </row>
    <row r="466" spans="1:9">
      <c r="A466" s="232">
        <f t="shared" si="30"/>
        <v>464</v>
      </c>
      <c r="B466" s="233">
        <v>45664</v>
      </c>
      <c r="C466" s="234">
        <v>73.147145000000009</v>
      </c>
      <c r="D466" s="235">
        <v>91.910462511652426</v>
      </c>
      <c r="E466" s="234">
        <f t="shared" si="31"/>
        <v>73.147145000000009</v>
      </c>
      <c r="F466" s="239"/>
      <c r="G466" s="188" t="str">
        <f t="shared" si="32"/>
        <v/>
      </c>
      <c r="H466" s="236" t="str">
        <f t="shared" si="33"/>
        <v/>
      </c>
      <c r="I466" s="237"/>
    </row>
    <row r="467" spans="1:9">
      <c r="A467" s="232">
        <f t="shared" si="30"/>
        <v>465</v>
      </c>
      <c r="B467" s="233">
        <v>45665</v>
      </c>
      <c r="C467" s="234">
        <v>56.898694999999996</v>
      </c>
      <c r="D467" s="235">
        <v>91.910462511652426</v>
      </c>
      <c r="E467" s="234">
        <f t="shared" si="31"/>
        <v>56.898694999999996</v>
      </c>
      <c r="F467" s="239"/>
      <c r="G467" s="188" t="str">
        <f t="shared" si="32"/>
        <v/>
      </c>
      <c r="H467" s="236" t="str">
        <f t="shared" si="33"/>
        <v/>
      </c>
      <c r="I467" s="237"/>
    </row>
    <row r="468" spans="1:9">
      <c r="A468" s="232">
        <f t="shared" si="30"/>
        <v>466</v>
      </c>
      <c r="B468" s="233">
        <v>45666</v>
      </c>
      <c r="C468" s="234">
        <v>71.220889999999997</v>
      </c>
      <c r="D468" s="235">
        <v>91.910462511652426</v>
      </c>
      <c r="E468" s="234">
        <f t="shared" si="31"/>
        <v>71.220889999999997</v>
      </c>
      <c r="F468" s="239"/>
      <c r="G468" s="188" t="str">
        <f t="shared" si="32"/>
        <v/>
      </c>
      <c r="H468" s="236" t="str">
        <f t="shared" si="33"/>
        <v/>
      </c>
      <c r="I468" s="237"/>
    </row>
    <row r="469" spans="1:9">
      <c r="A469" s="232">
        <f t="shared" si="30"/>
        <v>467</v>
      </c>
      <c r="B469" s="233">
        <v>45667</v>
      </c>
      <c r="C469" s="234">
        <v>59.271692000000002</v>
      </c>
      <c r="D469" s="235">
        <v>91.910462511652426</v>
      </c>
      <c r="E469" s="234">
        <f t="shared" si="31"/>
        <v>59.271692000000002</v>
      </c>
      <c r="F469" s="239"/>
      <c r="G469" s="188" t="str">
        <f t="shared" si="32"/>
        <v/>
      </c>
      <c r="H469" s="236" t="str">
        <f t="shared" si="33"/>
        <v/>
      </c>
      <c r="I469" s="237"/>
    </row>
    <row r="470" spans="1:9">
      <c r="A470" s="232">
        <f t="shared" si="30"/>
        <v>468</v>
      </c>
      <c r="B470" s="233">
        <v>45668</v>
      </c>
      <c r="C470" s="234">
        <v>57.396920999999992</v>
      </c>
      <c r="D470" s="235">
        <v>91.910462511652426</v>
      </c>
      <c r="E470" s="234">
        <f t="shared" si="31"/>
        <v>57.396920999999992</v>
      </c>
      <c r="F470" s="239"/>
      <c r="G470" s="188" t="str">
        <f t="shared" si="32"/>
        <v/>
      </c>
      <c r="H470" s="236" t="str">
        <f t="shared" si="33"/>
        <v/>
      </c>
      <c r="I470" s="237"/>
    </row>
    <row r="471" spans="1:9">
      <c r="A471" s="232">
        <f t="shared" si="30"/>
        <v>469</v>
      </c>
      <c r="B471" s="233">
        <v>45669</v>
      </c>
      <c r="C471" s="234">
        <v>87.390383999999997</v>
      </c>
      <c r="D471" s="235">
        <v>91.910462511652426</v>
      </c>
      <c r="E471" s="234">
        <f t="shared" si="31"/>
        <v>87.390383999999997</v>
      </c>
      <c r="F471" s="239"/>
      <c r="G471" s="188" t="str">
        <f t="shared" si="32"/>
        <v/>
      </c>
      <c r="H471" s="236" t="str">
        <f t="shared" si="33"/>
        <v/>
      </c>
      <c r="I471" s="237"/>
    </row>
    <row r="472" spans="1:9">
      <c r="A472" s="232">
        <f t="shared" si="30"/>
        <v>470</v>
      </c>
      <c r="B472" s="233">
        <v>45670</v>
      </c>
      <c r="C472" s="234">
        <v>110.06255899999999</v>
      </c>
      <c r="D472" s="235">
        <v>91.910462511652426</v>
      </c>
      <c r="E472" s="234">
        <f t="shared" si="31"/>
        <v>91.910462511652426</v>
      </c>
      <c r="F472" s="239"/>
      <c r="G472" s="188" t="str">
        <f t="shared" si="32"/>
        <v/>
      </c>
      <c r="H472" s="236" t="str">
        <f t="shared" si="33"/>
        <v/>
      </c>
      <c r="I472" s="237"/>
    </row>
    <row r="473" spans="1:9">
      <c r="A473" s="232">
        <f t="shared" si="30"/>
        <v>471</v>
      </c>
      <c r="B473" s="233">
        <v>45671</v>
      </c>
      <c r="C473" s="234">
        <v>113.461765</v>
      </c>
      <c r="D473" s="235">
        <v>91.910462511652426</v>
      </c>
      <c r="E473" s="234">
        <f t="shared" si="31"/>
        <v>91.910462511652426</v>
      </c>
      <c r="F473" s="239"/>
      <c r="G473" s="188" t="str">
        <f t="shared" si="32"/>
        <v/>
      </c>
      <c r="H473" s="236" t="str">
        <f t="shared" si="33"/>
        <v/>
      </c>
      <c r="I473" s="237"/>
    </row>
    <row r="474" spans="1:9">
      <c r="A474" s="232">
        <f t="shared" si="30"/>
        <v>472</v>
      </c>
      <c r="B474" s="233">
        <v>45672</v>
      </c>
      <c r="C474" s="234">
        <v>113.148842</v>
      </c>
      <c r="D474" s="235">
        <v>91.910462511652426</v>
      </c>
      <c r="E474" s="234">
        <f t="shared" si="31"/>
        <v>91.910462511652426</v>
      </c>
      <c r="F474" s="239"/>
      <c r="G474" s="188" t="str">
        <f t="shared" si="32"/>
        <v>E</v>
      </c>
      <c r="H474" s="236" t="str">
        <f t="shared" si="33"/>
        <v>91,9</v>
      </c>
      <c r="I474" s="237"/>
    </row>
    <row r="475" spans="1:9">
      <c r="A475" s="232">
        <f t="shared" si="30"/>
        <v>473</v>
      </c>
      <c r="B475" s="233">
        <v>45673</v>
      </c>
      <c r="C475" s="234">
        <v>103.216477</v>
      </c>
      <c r="D475" s="235">
        <v>91.910462511652426</v>
      </c>
      <c r="E475" s="234">
        <f t="shared" si="31"/>
        <v>91.910462511652426</v>
      </c>
      <c r="F475" s="239"/>
      <c r="G475" s="188" t="str">
        <f t="shared" si="32"/>
        <v/>
      </c>
      <c r="H475" s="236" t="str">
        <f t="shared" si="33"/>
        <v/>
      </c>
      <c r="I475" s="237"/>
    </row>
    <row r="476" spans="1:9">
      <c r="A476" s="232">
        <f t="shared" si="30"/>
        <v>474</v>
      </c>
      <c r="B476" s="233">
        <v>45674</v>
      </c>
      <c r="C476" s="234">
        <v>100.881015</v>
      </c>
      <c r="D476" s="235">
        <v>91.910462511652426</v>
      </c>
      <c r="E476" s="234">
        <f t="shared" si="31"/>
        <v>91.910462511652426</v>
      </c>
      <c r="F476" s="239"/>
      <c r="G476" s="188" t="str">
        <f t="shared" si="32"/>
        <v/>
      </c>
      <c r="H476" s="236" t="str">
        <f t="shared" si="33"/>
        <v/>
      </c>
      <c r="I476" s="237"/>
    </row>
    <row r="477" spans="1:9">
      <c r="A477" s="232">
        <f t="shared" si="30"/>
        <v>475</v>
      </c>
      <c r="B477" s="233">
        <v>45675</v>
      </c>
      <c r="C477" s="234">
        <v>115.321045</v>
      </c>
      <c r="D477" s="235">
        <v>91.910462511652426</v>
      </c>
      <c r="E477" s="234">
        <f t="shared" si="31"/>
        <v>91.910462511652426</v>
      </c>
      <c r="F477" s="239"/>
      <c r="G477" s="188" t="str">
        <f t="shared" si="32"/>
        <v/>
      </c>
      <c r="H477" s="236" t="str">
        <f t="shared" si="33"/>
        <v/>
      </c>
      <c r="I477" s="237"/>
    </row>
    <row r="478" spans="1:9">
      <c r="A478" s="232">
        <f t="shared" si="30"/>
        <v>476</v>
      </c>
      <c r="B478" s="233">
        <v>45676</v>
      </c>
      <c r="C478" s="234">
        <v>97.707898</v>
      </c>
      <c r="D478" s="235">
        <v>91.910462511652426</v>
      </c>
      <c r="E478" s="234">
        <f t="shared" si="31"/>
        <v>91.910462511652426</v>
      </c>
      <c r="F478" s="239"/>
      <c r="G478" s="188" t="str">
        <f t="shared" si="32"/>
        <v/>
      </c>
      <c r="H478" s="236" t="str">
        <f t="shared" si="33"/>
        <v/>
      </c>
      <c r="I478" s="237"/>
    </row>
    <row r="479" spans="1:9">
      <c r="A479" s="232">
        <f t="shared" si="30"/>
        <v>477</v>
      </c>
      <c r="B479" s="233">
        <v>45677</v>
      </c>
      <c r="C479" s="234">
        <v>26.644197999999999</v>
      </c>
      <c r="D479" s="235">
        <v>91.910462511652426</v>
      </c>
      <c r="E479" s="234">
        <f t="shared" si="31"/>
        <v>26.644197999999999</v>
      </c>
      <c r="F479" s="239"/>
      <c r="G479" s="188" t="str">
        <f t="shared" si="32"/>
        <v/>
      </c>
      <c r="H479" s="236" t="str">
        <f t="shared" si="33"/>
        <v/>
      </c>
      <c r="I479" s="237"/>
    </row>
    <row r="480" spans="1:9">
      <c r="A480" s="232">
        <f t="shared" si="30"/>
        <v>478</v>
      </c>
      <c r="B480" s="233">
        <v>45678</v>
      </c>
      <c r="C480" s="234">
        <v>32.612163000000002</v>
      </c>
      <c r="D480" s="235">
        <v>91.910462511652426</v>
      </c>
      <c r="E480" s="234">
        <f t="shared" si="31"/>
        <v>32.612163000000002</v>
      </c>
      <c r="F480" s="239"/>
      <c r="G480" s="188" t="str">
        <f t="shared" si="32"/>
        <v/>
      </c>
      <c r="H480" s="236" t="str">
        <f t="shared" si="33"/>
        <v/>
      </c>
      <c r="I480" s="237"/>
    </row>
    <row r="481" spans="1:9">
      <c r="A481" s="232">
        <f t="shared" si="30"/>
        <v>479</v>
      </c>
      <c r="B481" s="233">
        <v>45679</v>
      </c>
      <c r="C481" s="234">
        <v>45.841730000000005</v>
      </c>
      <c r="D481" s="235">
        <v>91.910462511652426</v>
      </c>
      <c r="E481" s="234">
        <f t="shared" si="31"/>
        <v>45.841730000000005</v>
      </c>
      <c r="F481" s="239"/>
      <c r="G481" s="188" t="str">
        <f t="shared" si="32"/>
        <v/>
      </c>
      <c r="H481" s="236" t="str">
        <f t="shared" si="33"/>
        <v/>
      </c>
      <c r="I481" s="237"/>
    </row>
    <row r="482" spans="1:9">
      <c r="A482" s="232">
        <f t="shared" si="30"/>
        <v>480</v>
      </c>
      <c r="B482" s="233">
        <v>45680</v>
      </c>
      <c r="C482" s="234">
        <v>69.403064999999998</v>
      </c>
      <c r="D482" s="235">
        <v>91.910462511652426</v>
      </c>
      <c r="E482" s="234">
        <f t="shared" si="31"/>
        <v>69.403064999999998</v>
      </c>
      <c r="F482" s="239"/>
      <c r="G482" s="188" t="str">
        <f t="shared" si="32"/>
        <v/>
      </c>
      <c r="H482" s="236" t="str">
        <f t="shared" si="33"/>
        <v/>
      </c>
      <c r="I482" s="237"/>
    </row>
    <row r="483" spans="1:9">
      <c r="A483" s="232">
        <f t="shared" si="30"/>
        <v>481</v>
      </c>
      <c r="B483" s="233">
        <v>45681</v>
      </c>
      <c r="C483" s="234">
        <v>62.935108999999997</v>
      </c>
      <c r="D483" s="235">
        <v>91.910462511652426</v>
      </c>
      <c r="E483" s="234">
        <f t="shared" si="31"/>
        <v>62.935108999999997</v>
      </c>
      <c r="F483" s="239"/>
      <c r="G483" s="188" t="str">
        <f t="shared" si="32"/>
        <v/>
      </c>
      <c r="H483" s="236" t="str">
        <f t="shared" si="33"/>
        <v/>
      </c>
      <c r="I483" s="237"/>
    </row>
    <row r="484" spans="1:9">
      <c r="A484" s="232">
        <f t="shared" si="30"/>
        <v>482</v>
      </c>
      <c r="B484" s="233">
        <v>45682</v>
      </c>
      <c r="C484" s="234">
        <v>47.461359999999999</v>
      </c>
      <c r="D484" s="235">
        <v>91.910462511652426</v>
      </c>
      <c r="E484" s="234">
        <f t="shared" si="31"/>
        <v>47.461359999999999</v>
      </c>
      <c r="F484" s="239"/>
      <c r="G484" s="188" t="str">
        <f t="shared" si="32"/>
        <v/>
      </c>
      <c r="H484" s="236" t="str">
        <f t="shared" si="33"/>
        <v/>
      </c>
      <c r="I484" s="237"/>
    </row>
    <row r="485" spans="1:9">
      <c r="A485" s="232">
        <f t="shared" si="30"/>
        <v>483</v>
      </c>
      <c r="B485" s="233">
        <v>45683</v>
      </c>
      <c r="C485" s="234">
        <v>41.297497</v>
      </c>
      <c r="D485" s="235">
        <v>91.910462511652426</v>
      </c>
      <c r="E485" s="234">
        <f t="shared" si="31"/>
        <v>41.297497</v>
      </c>
      <c r="F485" s="239"/>
      <c r="G485" s="188" t="str">
        <f t="shared" si="32"/>
        <v/>
      </c>
      <c r="H485" s="236" t="str">
        <f t="shared" si="33"/>
        <v/>
      </c>
      <c r="I485" s="237"/>
    </row>
    <row r="486" spans="1:9">
      <c r="A486" s="232">
        <f t="shared" si="30"/>
        <v>484</v>
      </c>
      <c r="B486" s="233">
        <v>45684</v>
      </c>
      <c r="C486" s="234">
        <v>47.103557000000002</v>
      </c>
      <c r="D486" s="235">
        <v>91.910462511652426</v>
      </c>
      <c r="E486" s="234">
        <f t="shared" si="31"/>
        <v>47.103557000000002</v>
      </c>
      <c r="F486" s="239"/>
      <c r="G486" s="188" t="str">
        <f t="shared" si="32"/>
        <v/>
      </c>
      <c r="H486" s="236" t="str">
        <f t="shared" si="33"/>
        <v/>
      </c>
      <c r="I486" s="237"/>
    </row>
    <row r="487" spans="1:9">
      <c r="A487" s="232">
        <f t="shared" si="30"/>
        <v>485</v>
      </c>
      <c r="B487" s="233">
        <v>45685</v>
      </c>
      <c r="C487" s="234">
        <v>73.383144000000001</v>
      </c>
      <c r="D487" s="235">
        <v>91.910462511652426</v>
      </c>
      <c r="E487" s="234">
        <f t="shared" si="31"/>
        <v>73.383144000000001</v>
      </c>
      <c r="F487" s="239"/>
      <c r="G487" s="188" t="str">
        <f t="shared" si="32"/>
        <v/>
      </c>
      <c r="H487" s="236" t="str">
        <f t="shared" si="33"/>
        <v/>
      </c>
      <c r="I487" s="237"/>
    </row>
    <row r="488" spans="1:9">
      <c r="A488" s="232">
        <f t="shared" si="30"/>
        <v>486</v>
      </c>
      <c r="B488" s="233">
        <v>45686</v>
      </c>
      <c r="C488" s="234">
        <v>33.451029000000005</v>
      </c>
      <c r="D488" s="235">
        <v>91.910462511652426</v>
      </c>
      <c r="E488" s="234">
        <f t="shared" si="31"/>
        <v>33.451029000000005</v>
      </c>
      <c r="F488" s="239"/>
      <c r="G488" s="188" t="str">
        <f t="shared" si="32"/>
        <v/>
      </c>
      <c r="H488" s="236" t="str">
        <f t="shared" si="33"/>
        <v/>
      </c>
      <c r="I488" s="237"/>
    </row>
    <row r="489" spans="1:9">
      <c r="A489" s="232">
        <f t="shared" si="30"/>
        <v>487</v>
      </c>
      <c r="B489" s="233">
        <v>45687</v>
      </c>
      <c r="C489" s="234">
        <v>90.764956999999995</v>
      </c>
      <c r="D489" s="235">
        <v>91.910462511652426</v>
      </c>
      <c r="E489" s="234">
        <f t="shared" si="31"/>
        <v>90.764956999999995</v>
      </c>
      <c r="F489" s="237"/>
      <c r="G489" s="188" t="str">
        <f t="shared" si="32"/>
        <v/>
      </c>
      <c r="H489" s="236" t="str">
        <f t="shared" si="33"/>
        <v/>
      </c>
    </row>
    <row r="490" spans="1:9">
      <c r="A490" s="232">
        <f t="shared" si="30"/>
        <v>488</v>
      </c>
      <c r="B490" s="233">
        <v>45688</v>
      </c>
      <c r="C490" s="234">
        <v>122.132707</v>
      </c>
      <c r="D490" s="235">
        <v>91.910462511652426</v>
      </c>
      <c r="E490" s="234">
        <f t="shared" si="31"/>
        <v>91.910462511652426</v>
      </c>
      <c r="F490" s="237"/>
      <c r="G490" s="188" t="str">
        <f t="shared" si="32"/>
        <v/>
      </c>
      <c r="H490" s="236" t="str">
        <f t="shared" si="33"/>
        <v/>
      </c>
    </row>
    <row r="491" spans="1:9">
      <c r="A491" s="232">
        <f t="shared" si="30"/>
        <v>489</v>
      </c>
      <c r="B491" s="233">
        <v>45689</v>
      </c>
      <c r="C491" s="234">
        <v>113.19687800000001</v>
      </c>
      <c r="D491" s="235">
        <v>118.61335757704707</v>
      </c>
      <c r="E491" s="234">
        <f t="shared" si="31"/>
        <v>113.19687800000001</v>
      </c>
      <c r="F491" s="239"/>
      <c r="G491" s="188" t="str">
        <f t="shared" si="32"/>
        <v/>
      </c>
      <c r="H491" s="236" t="str">
        <f t="shared" si="33"/>
        <v/>
      </c>
    </row>
    <row r="492" spans="1:9">
      <c r="A492" s="232">
        <f t="shared" si="30"/>
        <v>490</v>
      </c>
      <c r="B492" s="233">
        <v>45690</v>
      </c>
      <c r="C492" s="234">
        <v>81.616292999999999</v>
      </c>
      <c r="D492" s="235">
        <v>118.61335757704707</v>
      </c>
      <c r="E492" s="234">
        <f t="shared" si="31"/>
        <v>81.616292999999999</v>
      </c>
      <c r="F492" s="239"/>
      <c r="G492" s="188" t="str">
        <f t="shared" si="32"/>
        <v/>
      </c>
      <c r="H492" s="236" t="str">
        <f t="shared" si="33"/>
        <v/>
      </c>
    </row>
    <row r="493" spans="1:9">
      <c r="A493" s="232">
        <f t="shared" si="30"/>
        <v>491</v>
      </c>
      <c r="B493" s="233">
        <v>45691</v>
      </c>
      <c r="C493" s="234">
        <v>105.43754800000001</v>
      </c>
      <c r="D493" s="235">
        <v>118.61335757704707</v>
      </c>
      <c r="E493" s="234">
        <f t="shared" si="31"/>
        <v>105.43754800000001</v>
      </c>
      <c r="F493" s="239"/>
      <c r="G493" s="188" t="str">
        <f t="shared" si="32"/>
        <v/>
      </c>
      <c r="H493" s="236" t="str">
        <f t="shared" si="33"/>
        <v/>
      </c>
    </row>
    <row r="494" spans="1:9">
      <c r="A494" s="232">
        <f t="shared" si="30"/>
        <v>492</v>
      </c>
      <c r="B494" s="233">
        <v>45692</v>
      </c>
      <c r="C494" s="234">
        <v>126.73211500000001</v>
      </c>
      <c r="D494" s="235">
        <v>118.61335757704707</v>
      </c>
      <c r="E494" s="234">
        <f t="shared" si="31"/>
        <v>118.61335757704707</v>
      </c>
      <c r="F494" s="239"/>
      <c r="G494" s="188" t="str">
        <f t="shared" si="32"/>
        <v/>
      </c>
      <c r="H494" s="236" t="str">
        <f t="shared" si="33"/>
        <v/>
      </c>
    </row>
    <row r="495" spans="1:9">
      <c r="A495" s="232">
        <f t="shared" si="30"/>
        <v>493</v>
      </c>
      <c r="B495" s="233">
        <v>45693</v>
      </c>
      <c r="C495" s="234">
        <v>135.92136199999999</v>
      </c>
      <c r="D495" s="235">
        <v>118.61335757704707</v>
      </c>
      <c r="E495" s="234">
        <f t="shared" si="31"/>
        <v>118.61335757704707</v>
      </c>
      <c r="F495" s="239"/>
      <c r="G495" s="188" t="str">
        <f t="shared" si="32"/>
        <v/>
      </c>
      <c r="H495" s="236" t="str">
        <f t="shared" si="33"/>
        <v/>
      </c>
    </row>
    <row r="496" spans="1:9">
      <c r="A496" s="232">
        <f t="shared" si="30"/>
        <v>494</v>
      </c>
      <c r="B496" s="233">
        <v>45694</v>
      </c>
      <c r="C496" s="234">
        <v>138.499796</v>
      </c>
      <c r="D496" s="235">
        <v>118.61335757704707</v>
      </c>
      <c r="E496" s="234">
        <f t="shared" si="31"/>
        <v>118.61335757704707</v>
      </c>
      <c r="F496" s="239"/>
      <c r="G496" s="188" t="str">
        <f t="shared" si="32"/>
        <v/>
      </c>
      <c r="H496" s="236" t="str">
        <f t="shared" si="33"/>
        <v/>
      </c>
    </row>
    <row r="497" spans="1:8">
      <c r="A497" s="232">
        <f t="shared" si="30"/>
        <v>495</v>
      </c>
      <c r="B497" s="233">
        <v>45695</v>
      </c>
      <c r="C497" s="234">
        <v>84.047921000000002</v>
      </c>
      <c r="D497" s="235">
        <v>118.61335757704707</v>
      </c>
      <c r="E497" s="234">
        <f t="shared" si="31"/>
        <v>84.047921000000002</v>
      </c>
      <c r="F497" s="239"/>
      <c r="G497" s="188" t="str">
        <f t="shared" si="32"/>
        <v/>
      </c>
      <c r="H497" s="236" t="str">
        <f t="shared" si="33"/>
        <v/>
      </c>
    </row>
    <row r="498" spans="1:8">
      <c r="A498" s="232">
        <f t="shared" si="30"/>
        <v>496</v>
      </c>
      <c r="B498" s="233">
        <v>45696</v>
      </c>
      <c r="C498" s="234">
        <v>119.493151</v>
      </c>
      <c r="D498" s="235">
        <v>118.61335757704707</v>
      </c>
      <c r="E498" s="234">
        <f t="shared" si="31"/>
        <v>118.61335757704707</v>
      </c>
      <c r="F498" s="239"/>
      <c r="G498" s="188" t="str">
        <f t="shared" si="32"/>
        <v/>
      </c>
      <c r="H498" s="236" t="str">
        <f t="shared" si="33"/>
        <v/>
      </c>
    </row>
    <row r="499" spans="1:8">
      <c r="A499" s="232">
        <f t="shared" si="30"/>
        <v>497</v>
      </c>
      <c r="B499" s="233">
        <v>45697</v>
      </c>
      <c r="C499" s="234">
        <v>117.596142</v>
      </c>
      <c r="D499" s="235">
        <v>118.61335757704707</v>
      </c>
      <c r="E499" s="234">
        <f t="shared" si="31"/>
        <v>117.596142</v>
      </c>
      <c r="F499" s="239"/>
      <c r="G499" s="188" t="str">
        <f t="shared" si="32"/>
        <v/>
      </c>
      <c r="H499" s="236" t="str">
        <f t="shared" si="33"/>
        <v/>
      </c>
    </row>
    <row r="500" spans="1:8">
      <c r="A500" s="232">
        <f t="shared" si="30"/>
        <v>498</v>
      </c>
      <c r="B500" s="233">
        <v>45698</v>
      </c>
      <c r="C500" s="234">
        <v>89.276903000000004</v>
      </c>
      <c r="D500" s="235">
        <v>118.61335757704707</v>
      </c>
      <c r="E500" s="234">
        <f t="shared" si="31"/>
        <v>89.276903000000004</v>
      </c>
      <c r="F500" s="239"/>
      <c r="G500" s="188" t="str">
        <f t="shared" si="32"/>
        <v/>
      </c>
      <c r="H500" s="236" t="str">
        <f t="shared" si="33"/>
        <v/>
      </c>
    </row>
    <row r="501" spans="1:8">
      <c r="A501" s="232">
        <f t="shared" si="30"/>
        <v>499</v>
      </c>
      <c r="B501" s="233">
        <v>45699</v>
      </c>
      <c r="C501" s="234">
        <v>88.229706999999991</v>
      </c>
      <c r="D501" s="235">
        <v>118.61335757704707</v>
      </c>
      <c r="E501" s="234">
        <f t="shared" si="31"/>
        <v>88.229706999999991</v>
      </c>
      <c r="F501" s="239"/>
      <c r="G501" s="188" t="str">
        <f t="shared" si="32"/>
        <v/>
      </c>
      <c r="H501" s="236" t="str">
        <f t="shared" si="33"/>
        <v/>
      </c>
    </row>
    <row r="502" spans="1:8">
      <c r="A502" s="232">
        <f t="shared" si="30"/>
        <v>500</v>
      </c>
      <c r="B502" s="233">
        <v>45700</v>
      </c>
      <c r="C502" s="234">
        <v>101.48053400000001</v>
      </c>
      <c r="D502" s="235">
        <v>118.61335757704707</v>
      </c>
      <c r="E502" s="234">
        <f t="shared" si="31"/>
        <v>101.48053400000001</v>
      </c>
      <c r="F502" s="239"/>
      <c r="G502" s="188" t="str">
        <f t="shared" si="32"/>
        <v/>
      </c>
      <c r="H502" s="236" t="str">
        <f t="shared" si="33"/>
        <v/>
      </c>
    </row>
    <row r="503" spans="1:8">
      <c r="A503" s="232">
        <f t="shared" si="30"/>
        <v>501</v>
      </c>
      <c r="B503" s="233">
        <v>45701</v>
      </c>
      <c r="C503" s="234">
        <v>133.35174699999999</v>
      </c>
      <c r="D503" s="235">
        <v>118.61335757704707</v>
      </c>
      <c r="E503" s="234">
        <f t="shared" si="31"/>
        <v>118.61335757704707</v>
      </c>
      <c r="F503" s="239"/>
      <c r="G503" s="188" t="str">
        <f t="shared" si="32"/>
        <v/>
      </c>
      <c r="H503" s="236" t="str">
        <f t="shared" si="33"/>
        <v/>
      </c>
    </row>
    <row r="504" spans="1:8">
      <c r="A504" s="232">
        <f t="shared" si="30"/>
        <v>502</v>
      </c>
      <c r="B504" s="233">
        <v>45702</v>
      </c>
      <c r="C504" s="234">
        <v>137.86181200000001</v>
      </c>
      <c r="D504" s="235">
        <v>118.61335757704707</v>
      </c>
      <c r="E504" s="234">
        <f t="shared" si="31"/>
        <v>118.61335757704707</v>
      </c>
      <c r="F504" s="239"/>
      <c r="G504" s="188" t="str">
        <f t="shared" si="32"/>
        <v/>
      </c>
      <c r="H504" s="236" t="str">
        <f t="shared" si="33"/>
        <v/>
      </c>
    </row>
    <row r="505" spans="1:8">
      <c r="A505" s="232">
        <f t="shared" si="30"/>
        <v>503</v>
      </c>
      <c r="B505" s="233">
        <v>45703</v>
      </c>
      <c r="C505" s="234">
        <v>108.76164200000001</v>
      </c>
      <c r="D505" s="235">
        <v>118.61335757704707</v>
      </c>
      <c r="E505" s="234">
        <f t="shared" si="31"/>
        <v>108.76164200000001</v>
      </c>
      <c r="F505" s="239"/>
      <c r="G505" s="188" t="str">
        <f t="shared" si="32"/>
        <v>F</v>
      </c>
      <c r="H505" s="236" t="str">
        <f t="shared" si="33"/>
        <v>118,6</v>
      </c>
    </row>
    <row r="506" spans="1:8">
      <c r="A506" s="232">
        <f t="shared" si="30"/>
        <v>504</v>
      </c>
      <c r="B506" s="233">
        <v>45704</v>
      </c>
      <c r="C506" s="234">
        <v>127.353235</v>
      </c>
      <c r="D506" s="235">
        <v>118.61335757704707</v>
      </c>
      <c r="E506" s="234">
        <f t="shared" si="31"/>
        <v>118.61335757704707</v>
      </c>
      <c r="F506" s="239"/>
      <c r="G506" s="188" t="str">
        <f t="shared" si="32"/>
        <v/>
      </c>
      <c r="H506" s="236" t="str">
        <f t="shared" si="33"/>
        <v/>
      </c>
    </row>
    <row r="507" spans="1:8">
      <c r="A507" s="232">
        <f t="shared" si="30"/>
        <v>505</v>
      </c>
      <c r="B507" s="233">
        <v>45705</v>
      </c>
      <c r="C507" s="234">
        <v>119.143709</v>
      </c>
      <c r="D507" s="235">
        <v>118.61335757704707</v>
      </c>
      <c r="E507" s="234">
        <f t="shared" si="31"/>
        <v>118.61335757704707</v>
      </c>
      <c r="F507" s="239"/>
      <c r="G507" s="188" t="str">
        <f t="shared" si="32"/>
        <v/>
      </c>
      <c r="H507" s="236" t="str">
        <f t="shared" si="33"/>
        <v/>
      </c>
    </row>
    <row r="508" spans="1:8">
      <c r="A508" s="232">
        <f t="shared" si="30"/>
        <v>506</v>
      </c>
      <c r="B508" s="233">
        <v>45706</v>
      </c>
      <c r="C508" s="234">
        <v>86.216346999999999</v>
      </c>
      <c r="D508" s="235">
        <v>118.61335757704707</v>
      </c>
      <c r="E508" s="234">
        <f t="shared" si="31"/>
        <v>86.216346999999999</v>
      </c>
      <c r="F508" s="239"/>
      <c r="G508" s="188" t="str">
        <f t="shared" si="32"/>
        <v/>
      </c>
      <c r="H508" s="236" t="str">
        <f t="shared" si="33"/>
        <v/>
      </c>
    </row>
    <row r="509" spans="1:8">
      <c r="A509" s="232">
        <f t="shared" si="30"/>
        <v>507</v>
      </c>
      <c r="B509" s="233">
        <v>45707</v>
      </c>
      <c r="C509" s="234">
        <v>111.382582</v>
      </c>
      <c r="D509" s="235">
        <v>118.61335757704707</v>
      </c>
      <c r="E509" s="234">
        <f t="shared" si="31"/>
        <v>111.382582</v>
      </c>
      <c r="F509" s="239"/>
      <c r="G509" s="188" t="str">
        <f t="shared" si="32"/>
        <v/>
      </c>
      <c r="H509" s="236" t="str">
        <f t="shared" si="33"/>
        <v/>
      </c>
    </row>
    <row r="510" spans="1:8">
      <c r="A510" s="232">
        <f t="shared" si="30"/>
        <v>508</v>
      </c>
      <c r="B510" s="233">
        <v>45708</v>
      </c>
      <c r="C510" s="234">
        <v>135.563748</v>
      </c>
      <c r="D510" s="235">
        <v>118.61335757704707</v>
      </c>
      <c r="E510" s="234">
        <f t="shared" si="31"/>
        <v>118.61335757704707</v>
      </c>
      <c r="F510" s="239"/>
      <c r="G510" s="188" t="str">
        <f t="shared" si="32"/>
        <v/>
      </c>
      <c r="H510" s="236" t="str">
        <f t="shared" si="33"/>
        <v/>
      </c>
    </row>
    <row r="511" spans="1:8">
      <c r="A511" s="232">
        <f t="shared" si="30"/>
        <v>509</v>
      </c>
      <c r="B511" s="233">
        <v>45709</v>
      </c>
      <c r="C511" s="234">
        <v>77.569532000000009</v>
      </c>
      <c r="D511" s="235">
        <v>118.61335757704707</v>
      </c>
      <c r="E511" s="234">
        <f t="shared" si="31"/>
        <v>77.569532000000009</v>
      </c>
      <c r="F511" s="239"/>
      <c r="G511" s="188" t="str">
        <f t="shared" si="32"/>
        <v/>
      </c>
      <c r="H511" s="236" t="str">
        <f t="shared" si="33"/>
        <v/>
      </c>
    </row>
    <row r="512" spans="1:8">
      <c r="A512" s="232">
        <f t="shared" si="30"/>
        <v>510</v>
      </c>
      <c r="B512" s="233">
        <v>45710</v>
      </c>
      <c r="C512" s="234">
        <v>100.92303200000001</v>
      </c>
      <c r="D512" s="235">
        <v>118.61335757704707</v>
      </c>
      <c r="E512" s="234">
        <f t="shared" si="31"/>
        <v>100.92303200000001</v>
      </c>
      <c r="F512" s="239"/>
      <c r="G512" s="188" t="str">
        <f t="shared" si="32"/>
        <v/>
      </c>
      <c r="H512" s="236" t="str">
        <f t="shared" si="33"/>
        <v/>
      </c>
    </row>
    <row r="513" spans="1:8">
      <c r="A513" s="232">
        <f t="shared" si="30"/>
        <v>511</v>
      </c>
      <c r="B513" s="233">
        <v>45711</v>
      </c>
      <c r="C513" s="234">
        <v>143.74861900000002</v>
      </c>
      <c r="D513" s="235">
        <v>118.61335757704707</v>
      </c>
      <c r="E513" s="234">
        <f t="shared" si="31"/>
        <v>118.61335757704707</v>
      </c>
      <c r="F513" s="239"/>
      <c r="G513" s="188" t="str">
        <f t="shared" si="32"/>
        <v/>
      </c>
      <c r="H513" s="236" t="str">
        <f t="shared" si="33"/>
        <v/>
      </c>
    </row>
    <row r="514" spans="1:8">
      <c r="A514" s="232">
        <f t="shared" si="30"/>
        <v>512</v>
      </c>
      <c r="B514" s="233">
        <v>45712</v>
      </c>
      <c r="C514" s="234">
        <v>123.30511800000001</v>
      </c>
      <c r="D514" s="235">
        <v>118.61335757704707</v>
      </c>
      <c r="E514" s="234">
        <f t="shared" si="31"/>
        <v>118.61335757704707</v>
      </c>
      <c r="F514" s="239"/>
      <c r="G514" s="188" t="str">
        <f t="shared" si="32"/>
        <v/>
      </c>
      <c r="H514" s="236" t="str">
        <f t="shared" si="33"/>
        <v/>
      </c>
    </row>
    <row r="515" spans="1:8">
      <c r="A515" s="232">
        <f t="shared" si="30"/>
        <v>513</v>
      </c>
      <c r="B515" s="233">
        <v>45713</v>
      </c>
      <c r="C515" s="234">
        <v>82.545918999999998</v>
      </c>
      <c r="D515" s="235">
        <v>118.61335757704707</v>
      </c>
      <c r="E515" s="234">
        <f t="shared" si="31"/>
        <v>82.545918999999998</v>
      </c>
      <c r="F515" s="239"/>
      <c r="G515" s="188" t="str">
        <f t="shared" si="32"/>
        <v/>
      </c>
      <c r="H515" s="236" t="str">
        <f t="shared" si="33"/>
        <v/>
      </c>
    </row>
    <row r="516" spans="1:8">
      <c r="A516" s="232">
        <f t="shared" ref="A516:A579" si="34">+A515+1</f>
        <v>514</v>
      </c>
      <c r="B516" s="233">
        <v>45714</v>
      </c>
      <c r="C516" s="234">
        <v>151.125438</v>
      </c>
      <c r="D516" s="235">
        <v>118.61335757704707</v>
      </c>
      <c r="E516" s="234">
        <f t="shared" ref="E516:E579" si="35">IF(C516&gt;D516,D516,C516)</f>
        <v>118.61335757704707</v>
      </c>
      <c r="F516" s="239"/>
      <c r="G516" s="188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36" t="str">
        <f t="shared" ref="H516:H579" si="37">IF(DAY($B516)=15,TEXT(D516,"#,0"),"")</f>
        <v/>
      </c>
    </row>
    <row r="517" spans="1:8">
      <c r="A517" s="232">
        <f t="shared" si="34"/>
        <v>515</v>
      </c>
      <c r="B517" s="233">
        <v>45715</v>
      </c>
      <c r="C517" s="234">
        <v>112.52333</v>
      </c>
      <c r="D517" s="235">
        <v>118.61335757704707</v>
      </c>
      <c r="E517" s="234">
        <f t="shared" si="35"/>
        <v>112.52333</v>
      </c>
      <c r="F517" s="239"/>
      <c r="G517" s="188" t="str">
        <f t="shared" si="36"/>
        <v/>
      </c>
      <c r="H517" s="236" t="str">
        <f t="shared" si="37"/>
        <v/>
      </c>
    </row>
    <row r="518" spans="1:8">
      <c r="A518" s="232">
        <f t="shared" si="34"/>
        <v>516</v>
      </c>
      <c r="B518" s="233">
        <v>45716</v>
      </c>
      <c r="C518" s="234">
        <v>87.990116</v>
      </c>
      <c r="D518" s="235">
        <v>118.61335757704707</v>
      </c>
      <c r="E518" s="234">
        <f t="shared" si="35"/>
        <v>87.990116</v>
      </c>
      <c r="F518" s="239"/>
      <c r="G518" s="188" t="str">
        <f t="shared" si="36"/>
        <v/>
      </c>
      <c r="H518" s="236" t="str">
        <f t="shared" si="37"/>
        <v/>
      </c>
    </row>
    <row r="519" spans="1:8">
      <c r="A519" s="232">
        <f t="shared" si="34"/>
        <v>517</v>
      </c>
      <c r="B519" s="233">
        <v>45717</v>
      </c>
      <c r="C519" s="234">
        <v>61.562010999999998</v>
      </c>
      <c r="D519" s="235">
        <v>138.94322861851279</v>
      </c>
      <c r="E519" s="234">
        <f t="shared" si="35"/>
        <v>61.562010999999998</v>
      </c>
      <c r="F519" s="239"/>
      <c r="G519" s="188" t="str">
        <f t="shared" si="36"/>
        <v/>
      </c>
      <c r="H519" s="236" t="str">
        <f t="shared" si="37"/>
        <v/>
      </c>
    </row>
    <row r="520" spans="1:8">
      <c r="A520" s="232">
        <f t="shared" si="34"/>
        <v>518</v>
      </c>
      <c r="B520" s="233">
        <v>45718</v>
      </c>
      <c r="C520" s="234">
        <v>40.777362000000004</v>
      </c>
      <c r="D520" s="235">
        <v>138.94322861851279</v>
      </c>
      <c r="E520" s="234">
        <f t="shared" si="35"/>
        <v>40.777362000000004</v>
      </c>
      <c r="F520" s="237"/>
      <c r="G520" s="188" t="str">
        <f t="shared" si="36"/>
        <v/>
      </c>
      <c r="H520" s="236" t="str">
        <f t="shared" si="37"/>
        <v/>
      </c>
    </row>
    <row r="521" spans="1:8">
      <c r="A521" s="232">
        <f t="shared" si="34"/>
        <v>519</v>
      </c>
      <c r="B521" s="233">
        <v>45719</v>
      </c>
      <c r="C521" s="234">
        <v>58.136489000000005</v>
      </c>
      <c r="D521" s="235">
        <v>138.94322861851279</v>
      </c>
      <c r="E521" s="234">
        <f t="shared" si="35"/>
        <v>58.136489000000005</v>
      </c>
      <c r="F521" s="237"/>
      <c r="G521" s="188" t="str">
        <f t="shared" si="36"/>
        <v/>
      </c>
      <c r="H521" s="236" t="str">
        <f t="shared" si="37"/>
        <v/>
      </c>
    </row>
    <row r="522" spans="1:8">
      <c r="A522" s="232">
        <f t="shared" si="34"/>
        <v>520</v>
      </c>
      <c r="B522" s="233">
        <v>45720</v>
      </c>
      <c r="C522" s="234">
        <v>84.467686</v>
      </c>
      <c r="D522" s="235">
        <v>138.94322861851279</v>
      </c>
      <c r="E522" s="234">
        <f t="shared" si="35"/>
        <v>84.467686</v>
      </c>
      <c r="F522" s="239"/>
      <c r="G522" s="188" t="str">
        <f t="shared" si="36"/>
        <v/>
      </c>
      <c r="H522" s="236" t="str">
        <f t="shared" si="37"/>
        <v/>
      </c>
    </row>
    <row r="523" spans="1:8">
      <c r="A523" s="232">
        <f t="shared" si="34"/>
        <v>521</v>
      </c>
      <c r="B523" s="233">
        <v>45721</v>
      </c>
      <c r="C523" s="234">
        <v>60.281048000000006</v>
      </c>
      <c r="D523" s="235">
        <v>138.94322861851279</v>
      </c>
      <c r="E523" s="234">
        <f t="shared" si="35"/>
        <v>60.281048000000006</v>
      </c>
      <c r="F523" s="239"/>
      <c r="G523" s="188" t="str">
        <f t="shared" si="36"/>
        <v/>
      </c>
      <c r="H523" s="236" t="str">
        <f t="shared" si="37"/>
        <v/>
      </c>
    </row>
    <row r="524" spans="1:8">
      <c r="A524" s="232">
        <f t="shared" si="34"/>
        <v>522</v>
      </c>
      <c r="B524" s="233">
        <v>45722</v>
      </c>
      <c r="C524" s="234">
        <v>83.488789999999995</v>
      </c>
      <c r="D524" s="235">
        <v>138.94322861851279</v>
      </c>
      <c r="E524" s="234">
        <f t="shared" si="35"/>
        <v>83.488789999999995</v>
      </c>
      <c r="F524" s="239"/>
      <c r="G524" s="188" t="str">
        <f t="shared" si="36"/>
        <v/>
      </c>
      <c r="H524" s="236" t="str">
        <f t="shared" si="37"/>
        <v/>
      </c>
    </row>
    <row r="525" spans="1:8">
      <c r="A525" s="232">
        <f t="shared" si="34"/>
        <v>523</v>
      </c>
      <c r="B525" s="233">
        <v>45723</v>
      </c>
      <c r="C525" s="234">
        <v>62.668112000000001</v>
      </c>
      <c r="D525" s="235">
        <v>138.94322861851279</v>
      </c>
      <c r="E525" s="234">
        <f t="shared" si="35"/>
        <v>62.668112000000001</v>
      </c>
      <c r="F525" s="239"/>
      <c r="G525" s="188" t="str">
        <f t="shared" si="36"/>
        <v/>
      </c>
      <c r="H525" s="236" t="str">
        <f t="shared" si="37"/>
        <v/>
      </c>
    </row>
    <row r="526" spans="1:8">
      <c r="A526" s="232">
        <f t="shared" si="34"/>
        <v>524</v>
      </c>
      <c r="B526" s="233">
        <v>45724</v>
      </c>
      <c r="C526" s="234">
        <v>54.038618</v>
      </c>
      <c r="D526" s="235">
        <v>138.94322861851279</v>
      </c>
      <c r="E526" s="234">
        <f t="shared" si="35"/>
        <v>54.038618</v>
      </c>
      <c r="F526" s="239"/>
      <c r="G526" s="188" t="str">
        <f t="shared" si="36"/>
        <v/>
      </c>
      <c r="H526" s="236" t="str">
        <f t="shared" si="37"/>
        <v/>
      </c>
    </row>
    <row r="527" spans="1:8">
      <c r="A527" s="232">
        <f t="shared" si="34"/>
        <v>525</v>
      </c>
      <c r="B527" s="233">
        <v>45725</v>
      </c>
      <c r="C527" s="234">
        <v>98.114784999999998</v>
      </c>
      <c r="D527" s="235">
        <v>138.94322861851279</v>
      </c>
      <c r="E527" s="234">
        <f t="shared" si="35"/>
        <v>98.114784999999998</v>
      </c>
      <c r="F527" s="239"/>
      <c r="G527" s="188" t="str">
        <f t="shared" si="36"/>
        <v/>
      </c>
      <c r="H527" s="236" t="str">
        <f t="shared" si="37"/>
        <v/>
      </c>
    </row>
    <row r="528" spans="1:8">
      <c r="A528" s="232">
        <f t="shared" si="34"/>
        <v>526</v>
      </c>
      <c r="B528" s="233">
        <v>45726</v>
      </c>
      <c r="C528" s="234">
        <v>90.544323999999989</v>
      </c>
      <c r="D528" s="235">
        <v>138.94322861851279</v>
      </c>
      <c r="E528" s="234">
        <f t="shared" si="35"/>
        <v>90.544323999999989</v>
      </c>
      <c r="F528" s="239"/>
      <c r="G528" s="188" t="str">
        <f t="shared" si="36"/>
        <v/>
      </c>
      <c r="H528" s="236" t="str">
        <f t="shared" si="37"/>
        <v/>
      </c>
    </row>
    <row r="529" spans="1:8">
      <c r="A529" s="232">
        <f t="shared" si="34"/>
        <v>527</v>
      </c>
      <c r="B529" s="233">
        <v>45727</v>
      </c>
      <c r="C529" s="234">
        <v>98.459049999999991</v>
      </c>
      <c r="D529" s="235">
        <v>138.94322861851279</v>
      </c>
      <c r="E529" s="234">
        <f t="shared" si="35"/>
        <v>98.459049999999991</v>
      </c>
      <c r="F529" s="239"/>
      <c r="G529" s="188" t="str">
        <f t="shared" si="36"/>
        <v/>
      </c>
      <c r="H529" s="236" t="str">
        <f t="shared" si="37"/>
        <v/>
      </c>
    </row>
    <row r="530" spans="1:8">
      <c r="A530" s="232">
        <f t="shared" si="34"/>
        <v>528</v>
      </c>
      <c r="B530" s="233">
        <v>45728</v>
      </c>
      <c r="C530" s="234">
        <v>93.512199999999993</v>
      </c>
      <c r="D530" s="235">
        <v>138.94322861851279</v>
      </c>
      <c r="E530" s="234">
        <f t="shared" si="35"/>
        <v>93.512199999999993</v>
      </c>
      <c r="F530" s="239"/>
      <c r="G530" s="188" t="str">
        <f t="shared" si="36"/>
        <v/>
      </c>
      <c r="H530" s="236" t="str">
        <f t="shared" si="37"/>
        <v/>
      </c>
    </row>
    <row r="531" spans="1:8">
      <c r="A531" s="232">
        <f t="shared" si="34"/>
        <v>529</v>
      </c>
      <c r="B531" s="233">
        <v>45729</v>
      </c>
      <c r="C531" s="234">
        <v>66.299849000000009</v>
      </c>
      <c r="D531" s="235">
        <v>138.94322861851279</v>
      </c>
      <c r="E531" s="234">
        <f t="shared" si="35"/>
        <v>66.299849000000009</v>
      </c>
      <c r="F531" s="239"/>
      <c r="G531" s="188" t="str">
        <f t="shared" si="36"/>
        <v/>
      </c>
      <c r="H531" s="236" t="str">
        <f t="shared" si="37"/>
        <v/>
      </c>
    </row>
    <row r="532" spans="1:8">
      <c r="A532" s="232">
        <f t="shared" si="34"/>
        <v>530</v>
      </c>
      <c r="B532" s="233">
        <v>45730</v>
      </c>
      <c r="C532" s="234">
        <v>107.785329</v>
      </c>
      <c r="D532" s="235">
        <v>138.94322861851279</v>
      </c>
      <c r="E532" s="234">
        <f t="shared" si="35"/>
        <v>107.785329</v>
      </c>
      <c r="F532" s="239"/>
      <c r="G532" s="188" t="str">
        <f t="shared" si="36"/>
        <v/>
      </c>
      <c r="H532" s="236" t="str">
        <f t="shared" si="37"/>
        <v/>
      </c>
    </row>
    <row r="533" spans="1:8">
      <c r="A533" s="232">
        <f t="shared" si="34"/>
        <v>531</v>
      </c>
      <c r="B533" s="233">
        <v>45731</v>
      </c>
      <c r="C533" s="234">
        <v>137.40190799999999</v>
      </c>
      <c r="D533" s="235">
        <v>138.94322861851279</v>
      </c>
      <c r="E533" s="234">
        <f t="shared" si="35"/>
        <v>137.40190799999999</v>
      </c>
      <c r="F533" s="239"/>
      <c r="G533" s="188" t="str">
        <f t="shared" si="36"/>
        <v>M</v>
      </c>
      <c r="H533" s="236" t="str">
        <f t="shared" si="37"/>
        <v>138,9</v>
      </c>
    </row>
    <row r="534" spans="1:8">
      <c r="A534" s="232">
        <f t="shared" si="34"/>
        <v>532</v>
      </c>
      <c r="B534" s="233">
        <v>45732</v>
      </c>
      <c r="C534" s="234">
        <v>108.75729900000002</v>
      </c>
      <c r="D534" s="235">
        <v>138.94322861851279</v>
      </c>
      <c r="E534" s="234">
        <f t="shared" si="35"/>
        <v>108.75729900000002</v>
      </c>
      <c r="F534" s="239"/>
      <c r="G534" s="188" t="str">
        <f t="shared" si="36"/>
        <v/>
      </c>
      <c r="H534" s="236" t="str">
        <f t="shared" si="37"/>
        <v/>
      </c>
    </row>
    <row r="535" spans="1:8">
      <c r="A535" s="232">
        <f t="shared" si="34"/>
        <v>533</v>
      </c>
      <c r="B535" s="233">
        <v>45733</v>
      </c>
      <c r="C535" s="234">
        <v>75.413554000000005</v>
      </c>
      <c r="D535" s="235">
        <v>138.94322861851279</v>
      </c>
      <c r="E535" s="234">
        <f t="shared" si="35"/>
        <v>75.413554000000005</v>
      </c>
      <c r="F535" s="239"/>
      <c r="G535" s="188" t="str">
        <f t="shared" si="36"/>
        <v/>
      </c>
      <c r="H535" s="236" t="str">
        <f t="shared" si="37"/>
        <v/>
      </c>
    </row>
    <row r="536" spans="1:8">
      <c r="A536" s="232">
        <f t="shared" si="34"/>
        <v>534</v>
      </c>
      <c r="B536" s="233">
        <v>45734</v>
      </c>
      <c r="C536" s="234">
        <v>78.426657999999989</v>
      </c>
      <c r="D536" s="235">
        <v>138.94322861851279</v>
      </c>
      <c r="E536" s="234">
        <f t="shared" si="35"/>
        <v>78.426657999999989</v>
      </c>
      <c r="F536" s="239"/>
      <c r="G536" s="188" t="str">
        <f t="shared" si="36"/>
        <v/>
      </c>
      <c r="H536" s="236" t="str">
        <f t="shared" si="37"/>
        <v/>
      </c>
    </row>
    <row r="537" spans="1:8">
      <c r="A537" s="232">
        <f t="shared" si="34"/>
        <v>535</v>
      </c>
      <c r="B537" s="233">
        <v>45735</v>
      </c>
      <c r="C537" s="234">
        <v>112.69196099999999</v>
      </c>
      <c r="D537" s="235">
        <v>138.94322861851279</v>
      </c>
      <c r="E537" s="234">
        <f t="shared" si="35"/>
        <v>112.69196099999999</v>
      </c>
      <c r="F537" s="239"/>
      <c r="G537" s="188" t="str">
        <f t="shared" si="36"/>
        <v/>
      </c>
      <c r="H537" s="236" t="str">
        <f t="shared" si="37"/>
        <v/>
      </c>
    </row>
    <row r="538" spans="1:8">
      <c r="A538" s="232">
        <f t="shared" si="34"/>
        <v>536</v>
      </c>
      <c r="B538" s="233">
        <v>45736</v>
      </c>
      <c r="C538" s="234">
        <v>84.921132</v>
      </c>
      <c r="D538" s="235">
        <v>138.94322861851279</v>
      </c>
      <c r="E538" s="234">
        <f t="shared" si="35"/>
        <v>84.921132</v>
      </c>
      <c r="F538" s="239"/>
      <c r="G538" s="188" t="str">
        <f t="shared" si="36"/>
        <v/>
      </c>
      <c r="H538" s="236" t="str">
        <f t="shared" si="37"/>
        <v/>
      </c>
    </row>
    <row r="539" spans="1:8">
      <c r="A539" s="232">
        <f t="shared" si="34"/>
        <v>537</v>
      </c>
      <c r="B539" s="233">
        <v>45737</v>
      </c>
      <c r="C539" s="234">
        <v>83.106803999999997</v>
      </c>
      <c r="D539" s="235">
        <v>138.94322861851279</v>
      </c>
      <c r="E539" s="234">
        <f t="shared" si="35"/>
        <v>83.106803999999997</v>
      </c>
      <c r="F539" s="239"/>
      <c r="G539" s="188" t="str">
        <f t="shared" si="36"/>
        <v/>
      </c>
      <c r="H539" s="236" t="str">
        <f t="shared" si="37"/>
        <v/>
      </c>
    </row>
    <row r="540" spans="1:8">
      <c r="A540" s="232">
        <f t="shared" si="34"/>
        <v>538</v>
      </c>
      <c r="B540" s="233">
        <v>45738</v>
      </c>
      <c r="C540" s="234">
        <v>90.167477999999988</v>
      </c>
      <c r="D540" s="235">
        <v>138.94322861851279</v>
      </c>
      <c r="E540" s="234">
        <f t="shared" si="35"/>
        <v>90.167477999999988</v>
      </c>
      <c r="F540" s="239"/>
      <c r="G540" s="188" t="str">
        <f t="shared" si="36"/>
        <v/>
      </c>
      <c r="H540" s="236" t="str">
        <f t="shared" si="37"/>
        <v/>
      </c>
    </row>
    <row r="541" spans="1:8">
      <c r="A541" s="232">
        <f t="shared" si="34"/>
        <v>539</v>
      </c>
      <c r="B541" s="233">
        <v>45739</v>
      </c>
      <c r="C541" s="234">
        <v>106.983361</v>
      </c>
      <c r="D541" s="235">
        <v>138.94322861851279</v>
      </c>
      <c r="E541" s="234">
        <f t="shared" si="35"/>
        <v>106.983361</v>
      </c>
      <c r="F541" s="239"/>
      <c r="G541" s="188" t="str">
        <f t="shared" si="36"/>
        <v/>
      </c>
      <c r="H541" s="236" t="str">
        <f t="shared" si="37"/>
        <v/>
      </c>
    </row>
    <row r="542" spans="1:8">
      <c r="A542" s="232">
        <f t="shared" si="34"/>
        <v>540</v>
      </c>
      <c r="B542" s="233">
        <v>45740</v>
      </c>
      <c r="C542" s="234">
        <v>147.08363500000002</v>
      </c>
      <c r="D542" s="235">
        <v>138.94322861851279</v>
      </c>
      <c r="E542" s="234">
        <f t="shared" si="35"/>
        <v>138.94322861851279</v>
      </c>
      <c r="F542" s="239"/>
      <c r="G542" s="188" t="str">
        <f t="shared" si="36"/>
        <v/>
      </c>
      <c r="H542" s="236" t="str">
        <f t="shared" si="37"/>
        <v/>
      </c>
    </row>
    <row r="543" spans="1:8">
      <c r="A543" s="232">
        <f t="shared" si="34"/>
        <v>541</v>
      </c>
      <c r="B543" s="233">
        <v>45741</v>
      </c>
      <c r="C543" s="234">
        <v>138.56414699999999</v>
      </c>
      <c r="D543" s="235">
        <v>138.94322861851279</v>
      </c>
      <c r="E543" s="234">
        <f t="shared" si="35"/>
        <v>138.56414699999999</v>
      </c>
      <c r="F543" s="239"/>
      <c r="G543" s="188" t="str">
        <f t="shared" si="36"/>
        <v/>
      </c>
      <c r="H543" s="236" t="str">
        <f t="shared" si="37"/>
        <v/>
      </c>
    </row>
    <row r="544" spans="1:8">
      <c r="A544" s="232">
        <f t="shared" si="34"/>
        <v>542</v>
      </c>
      <c r="B544" s="233">
        <v>45742</v>
      </c>
      <c r="C544" s="234">
        <v>147.101541</v>
      </c>
      <c r="D544" s="235">
        <v>138.94322861851279</v>
      </c>
      <c r="E544" s="234">
        <f t="shared" si="35"/>
        <v>138.94322861851279</v>
      </c>
      <c r="F544" s="239"/>
      <c r="G544" s="188" t="str">
        <f t="shared" si="36"/>
        <v/>
      </c>
      <c r="H544" s="236" t="str">
        <f t="shared" si="37"/>
        <v/>
      </c>
    </row>
    <row r="545" spans="1:8">
      <c r="A545" s="232">
        <f t="shared" si="34"/>
        <v>543</v>
      </c>
      <c r="B545" s="233">
        <v>45743</v>
      </c>
      <c r="C545" s="234">
        <v>147.33164600000001</v>
      </c>
      <c r="D545" s="235">
        <v>138.94322861851279</v>
      </c>
      <c r="E545" s="234">
        <f t="shared" si="35"/>
        <v>138.94322861851279</v>
      </c>
      <c r="F545" s="239"/>
      <c r="G545" s="188" t="str">
        <f t="shared" si="36"/>
        <v/>
      </c>
      <c r="H545" s="236" t="str">
        <f t="shared" si="37"/>
        <v/>
      </c>
    </row>
    <row r="546" spans="1:8">
      <c r="A546" s="232">
        <f t="shared" si="34"/>
        <v>544</v>
      </c>
      <c r="B546" s="233">
        <v>45744</v>
      </c>
      <c r="C546" s="234">
        <v>138.70959500000001</v>
      </c>
      <c r="D546" s="235">
        <v>138.94322861851279</v>
      </c>
      <c r="E546" s="234">
        <f t="shared" si="35"/>
        <v>138.70959500000001</v>
      </c>
      <c r="F546" s="239"/>
      <c r="G546" s="188" t="str">
        <f t="shared" si="36"/>
        <v/>
      </c>
      <c r="H546" s="236" t="str">
        <f t="shared" si="37"/>
        <v/>
      </c>
    </row>
    <row r="547" spans="1:8">
      <c r="A547" s="232">
        <f t="shared" si="34"/>
        <v>545</v>
      </c>
      <c r="B547" s="233">
        <v>45745</v>
      </c>
      <c r="C547" s="234">
        <v>133.23231199999998</v>
      </c>
      <c r="D547" s="235">
        <v>138.94322861851279</v>
      </c>
      <c r="E547" s="234">
        <f t="shared" si="35"/>
        <v>133.23231199999998</v>
      </c>
      <c r="F547" s="239"/>
      <c r="G547" s="188" t="str">
        <f t="shared" si="36"/>
        <v/>
      </c>
      <c r="H547" s="236" t="str">
        <f t="shared" si="37"/>
        <v/>
      </c>
    </row>
    <row r="548" spans="1:8">
      <c r="A548" s="232">
        <f t="shared" si="34"/>
        <v>546</v>
      </c>
      <c r="B548" s="233">
        <v>45746</v>
      </c>
      <c r="C548" s="234">
        <v>122.53919599999999</v>
      </c>
      <c r="D548" s="235">
        <v>138.94322861851279</v>
      </c>
      <c r="E548" s="234">
        <f t="shared" si="35"/>
        <v>122.53919599999999</v>
      </c>
      <c r="F548" s="239"/>
      <c r="G548" s="188" t="str">
        <f t="shared" si="36"/>
        <v/>
      </c>
      <c r="H548" s="236" t="str">
        <f t="shared" si="37"/>
        <v/>
      </c>
    </row>
    <row r="549" spans="1:8">
      <c r="A549" s="232">
        <f t="shared" si="34"/>
        <v>547</v>
      </c>
      <c r="B549" s="233">
        <v>45747</v>
      </c>
      <c r="C549" s="234">
        <v>151.09852899999998</v>
      </c>
      <c r="D549" s="235">
        <v>138.94322861851279</v>
      </c>
      <c r="E549" s="234">
        <f t="shared" si="35"/>
        <v>138.94322861851279</v>
      </c>
      <c r="F549" s="239"/>
      <c r="G549" s="188" t="str">
        <f t="shared" si="36"/>
        <v/>
      </c>
      <c r="H549" s="236" t="str">
        <f t="shared" si="37"/>
        <v/>
      </c>
    </row>
    <row r="550" spans="1:8">
      <c r="A550" s="232">
        <f t="shared" si="34"/>
        <v>548</v>
      </c>
      <c r="B550" s="233">
        <v>45748</v>
      </c>
      <c r="C550" s="234">
        <v>139.47802799999999</v>
      </c>
      <c r="D550" s="235">
        <v>161.05741041683874</v>
      </c>
      <c r="E550" s="234">
        <f t="shared" si="35"/>
        <v>139.47802799999999</v>
      </c>
      <c r="F550" s="239"/>
      <c r="G550" s="188" t="str">
        <f t="shared" si="36"/>
        <v/>
      </c>
      <c r="H550" s="236" t="str">
        <f t="shared" si="37"/>
        <v/>
      </c>
    </row>
    <row r="551" spans="1:8">
      <c r="A551" s="232">
        <f t="shared" si="34"/>
        <v>549</v>
      </c>
      <c r="B551" s="233">
        <v>45749</v>
      </c>
      <c r="C551" s="234">
        <v>106.33242000000001</v>
      </c>
      <c r="D551" s="235">
        <v>161.05741041683874</v>
      </c>
      <c r="E551" s="234">
        <f t="shared" si="35"/>
        <v>106.33242000000001</v>
      </c>
      <c r="F551" s="237"/>
      <c r="G551" s="188" t="str">
        <f t="shared" si="36"/>
        <v/>
      </c>
      <c r="H551" s="236" t="str">
        <f t="shared" si="37"/>
        <v/>
      </c>
    </row>
    <row r="552" spans="1:8">
      <c r="A552" s="232">
        <f t="shared" si="34"/>
        <v>550</v>
      </c>
      <c r="B552" s="233">
        <v>45750</v>
      </c>
      <c r="C552" s="234">
        <v>79.403873000000004</v>
      </c>
      <c r="D552" s="235">
        <v>161.05741041683874</v>
      </c>
      <c r="E552" s="234">
        <f t="shared" si="35"/>
        <v>79.403873000000004</v>
      </c>
      <c r="F552" s="237"/>
      <c r="G552" s="188" t="str">
        <f t="shared" si="36"/>
        <v/>
      </c>
      <c r="H552" s="236" t="str">
        <f t="shared" si="37"/>
        <v/>
      </c>
    </row>
    <row r="553" spans="1:8">
      <c r="A553" s="232">
        <f t="shared" si="34"/>
        <v>551</v>
      </c>
      <c r="B553" s="233">
        <v>45751</v>
      </c>
      <c r="C553" s="234">
        <v>102.99581500000001</v>
      </c>
      <c r="D553" s="235">
        <v>161.05741041683874</v>
      </c>
      <c r="E553" s="234">
        <f t="shared" si="35"/>
        <v>102.99581500000001</v>
      </c>
      <c r="F553" s="239"/>
      <c r="G553" s="188" t="str">
        <f t="shared" si="36"/>
        <v/>
      </c>
      <c r="H553" s="236" t="str">
        <f t="shared" si="37"/>
        <v/>
      </c>
    </row>
    <row r="554" spans="1:8">
      <c r="A554" s="232">
        <f t="shared" si="34"/>
        <v>552</v>
      </c>
      <c r="B554" s="233">
        <v>45752</v>
      </c>
      <c r="C554" s="234">
        <v>126.00872100000001</v>
      </c>
      <c r="D554" s="235">
        <v>161.05741041683874</v>
      </c>
      <c r="E554" s="234">
        <f t="shared" si="35"/>
        <v>126.00872100000001</v>
      </c>
      <c r="F554" s="239"/>
      <c r="G554" s="188" t="str">
        <f t="shared" si="36"/>
        <v/>
      </c>
      <c r="H554" s="236" t="str">
        <f t="shared" si="37"/>
        <v/>
      </c>
    </row>
    <row r="555" spans="1:8">
      <c r="A555" s="232">
        <f t="shared" si="34"/>
        <v>553</v>
      </c>
      <c r="B555" s="233">
        <v>45753</v>
      </c>
      <c r="C555" s="234">
        <v>117.960182</v>
      </c>
      <c r="D555" s="235">
        <v>161.05741041683874</v>
      </c>
      <c r="E555" s="234">
        <f t="shared" si="35"/>
        <v>117.960182</v>
      </c>
      <c r="F555" s="239"/>
      <c r="G555" s="188" t="str">
        <f t="shared" si="36"/>
        <v/>
      </c>
      <c r="H555" s="236" t="str">
        <f t="shared" si="37"/>
        <v/>
      </c>
    </row>
    <row r="556" spans="1:8">
      <c r="A556" s="232">
        <f t="shared" si="34"/>
        <v>554</v>
      </c>
      <c r="B556" s="233">
        <v>45754</v>
      </c>
      <c r="C556" s="234">
        <v>181.00285499999998</v>
      </c>
      <c r="D556" s="235">
        <v>161.05741041683874</v>
      </c>
      <c r="E556" s="234">
        <f t="shared" si="35"/>
        <v>161.05741041683874</v>
      </c>
      <c r="F556" s="239"/>
      <c r="G556" s="188" t="str">
        <f t="shared" si="36"/>
        <v/>
      </c>
      <c r="H556" s="236" t="str">
        <f t="shared" si="37"/>
        <v/>
      </c>
    </row>
    <row r="557" spans="1:8">
      <c r="A557" s="232">
        <f t="shared" si="34"/>
        <v>555</v>
      </c>
      <c r="B557" s="233">
        <v>45755</v>
      </c>
      <c r="C557" s="234">
        <v>165.50404900000001</v>
      </c>
      <c r="D557" s="235">
        <v>161.05741041683874</v>
      </c>
      <c r="E557" s="234">
        <f t="shared" si="35"/>
        <v>161.05741041683874</v>
      </c>
      <c r="F557" s="239"/>
      <c r="G557" s="188" t="str">
        <f t="shared" si="36"/>
        <v/>
      </c>
      <c r="H557" s="236" t="str">
        <f t="shared" si="37"/>
        <v/>
      </c>
    </row>
    <row r="558" spans="1:8">
      <c r="A558" s="232">
        <f t="shared" si="34"/>
        <v>556</v>
      </c>
      <c r="B558" s="233">
        <v>45756</v>
      </c>
      <c r="C558" s="234">
        <v>169.63217900000001</v>
      </c>
      <c r="D558" s="235">
        <v>161.05741041683874</v>
      </c>
      <c r="E558" s="234">
        <f t="shared" si="35"/>
        <v>161.05741041683874</v>
      </c>
      <c r="F558" s="239"/>
      <c r="G558" s="188" t="str">
        <f t="shared" si="36"/>
        <v/>
      </c>
      <c r="H558" s="236" t="str">
        <f t="shared" si="37"/>
        <v/>
      </c>
    </row>
    <row r="559" spans="1:8">
      <c r="A559" s="232">
        <f t="shared" si="34"/>
        <v>557</v>
      </c>
      <c r="B559" s="233">
        <v>45757</v>
      </c>
      <c r="C559" s="234">
        <v>137.782105</v>
      </c>
      <c r="D559" s="235">
        <v>161.05741041683874</v>
      </c>
      <c r="E559" s="234">
        <f t="shared" si="35"/>
        <v>137.782105</v>
      </c>
      <c r="F559" s="239"/>
      <c r="G559" s="188" t="str">
        <f t="shared" si="36"/>
        <v/>
      </c>
      <c r="H559" s="236" t="str">
        <f t="shared" si="37"/>
        <v/>
      </c>
    </row>
    <row r="560" spans="1:8">
      <c r="A560" s="232">
        <f t="shared" si="34"/>
        <v>558</v>
      </c>
      <c r="B560" s="233">
        <v>45758</v>
      </c>
      <c r="C560" s="234">
        <v>94.444496999999998</v>
      </c>
      <c r="D560" s="235">
        <v>161.05741041683874</v>
      </c>
      <c r="E560" s="234">
        <f t="shared" si="35"/>
        <v>94.444496999999998</v>
      </c>
      <c r="F560" s="239"/>
      <c r="G560" s="188" t="str">
        <f t="shared" si="36"/>
        <v/>
      </c>
      <c r="H560" s="236" t="str">
        <f t="shared" si="37"/>
        <v/>
      </c>
    </row>
    <row r="561" spans="1:8">
      <c r="A561" s="232">
        <f t="shared" si="34"/>
        <v>559</v>
      </c>
      <c r="B561" s="233">
        <v>45759</v>
      </c>
      <c r="C561" s="234">
        <v>88.855200999999994</v>
      </c>
      <c r="D561" s="235">
        <v>161.05741041683874</v>
      </c>
      <c r="E561" s="234">
        <f t="shared" si="35"/>
        <v>88.855200999999994</v>
      </c>
      <c r="F561" s="239"/>
      <c r="G561" s="188" t="str">
        <f t="shared" si="36"/>
        <v/>
      </c>
      <c r="H561" s="236" t="str">
        <f t="shared" si="37"/>
        <v/>
      </c>
    </row>
    <row r="562" spans="1:8">
      <c r="A562" s="232">
        <f t="shared" si="34"/>
        <v>560</v>
      </c>
      <c r="B562" s="233">
        <v>45760</v>
      </c>
      <c r="C562" s="234">
        <v>124.598106</v>
      </c>
      <c r="D562" s="235">
        <v>161.05741041683874</v>
      </c>
      <c r="E562" s="234">
        <f t="shared" si="35"/>
        <v>124.598106</v>
      </c>
      <c r="F562" s="239"/>
      <c r="G562" s="188" t="str">
        <f t="shared" si="36"/>
        <v/>
      </c>
      <c r="H562" s="236" t="str">
        <f t="shared" si="37"/>
        <v/>
      </c>
    </row>
    <row r="563" spans="1:8">
      <c r="A563" s="232">
        <f t="shared" si="34"/>
        <v>561</v>
      </c>
      <c r="B563" s="233">
        <v>45761</v>
      </c>
      <c r="C563" s="234">
        <v>111.33362200000001</v>
      </c>
      <c r="D563" s="235">
        <v>161.05741041683874</v>
      </c>
      <c r="E563" s="234">
        <f t="shared" si="35"/>
        <v>111.33362200000001</v>
      </c>
      <c r="F563" s="239"/>
      <c r="G563" s="188" t="str">
        <f t="shared" si="36"/>
        <v/>
      </c>
      <c r="H563" s="236" t="str">
        <f t="shared" si="37"/>
        <v/>
      </c>
    </row>
    <row r="564" spans="1:8">
      <c r="A564" s="232">
        <f t="shared" si="34"/>
        <v>562</v>
      </c>
      <c r="B564" s="233">
        <v>45762</v>
      </c>
      <c r="C564" s="234">
        <v>138.04849900000002</v>
      </c>
      <c r="D564" s="235">
        <v>161.05741041683874</v>
      </c>
      <c r="E564" s="234">
        <f t="shared" si="35"/>
        <v>138.04849900000002</v>
      </c>
      <c r="F564" s="239"/>
      <c r="G564" s="188" t="str">
        <f t="shared" si="36"/>
        <v>A</v>
      </c>
      <c r="H564" s="236" t="str">
        <f t="shared" si="37"/>
        <v>161,1</v>
      </c>
    </row>
    <row r="565" spans="1:8">
      <c r="A565" s="232">
        <f t="shared" si="34"/>
        <v>563</v>
      </c>
      <c r="B565" s="233">
        <v>45763</v>
      </c>
      <c r="C565" s="234">
        <v>148.94772700000001</v>
      </c>
      <c r="D565" s="235">
        <v>161.05741041683874</v>
      </c>
      <c r="E565" s="234">
        <f t="shared" si="35"/>
        <v>148.94772700000001</v>
      </c>
      <c r="F565" s="239"/>
      <c r="G565" s="188" t="str">
        <f t="shared" si="36"/>
        <v/>
      </c>
      <c r="H565" s="236" t="str">
        <f t="shared" si="37"/>
        <v/>
      </c>
    </row>
    <row r="566" spans="1:8">
      <c r="A566" s="232">
        <f t="shared" si="34"/>
        <v>564</v>
      </c>
      <c r="B566" s="233">
        <v>45764</v>
      </c>
      <c r="C566" s="234">
        <v>153.23601300000001</v>
      </c>
      <c r="D566" s="235">
        <v>161.05741041683874</v>
      </c>
      <c r="E566" s="234">
        <f t="shared" si="35"/>
        <v>153.23601300000001</v>
      </c>
      <c r="F566" s="239"/>
      <c r="G566" s="188" t="str">
        <f t="shared" si="36"/>
        <v/>
      </c>
      <c r="H566" s="236" t="str">
        <f t="shared" si="37"/>
        <v/>
      </c>
    </row>
    <row r="567" spans="1:8">
      <c r="A567" s="232">
        <f t="shared" si="34"/>
        <v>565</v>
      </c>
      <c r="B567" s="233">
        <v>45765</v>
      </c>
      <c r="C567" s="234">
        <v>114.01772800000001</v>
      </c>
      <c r="D567" s="235">
        <v>161.05741041683874</v>
      </c>
      <c r="E567" s="234">
        <f t="shared" si="35"/>
        <v>114.01772800000001</v>
      </c>
      <c r="F567" s="239"/>
      <c r="G567" s="188" t="str">
        <f t="shared" si="36"/>
        <v/>
      </c>
      <c r="H567" s="236" t="str">
        <f t="shared" si="37"/>
        <v/>
      </c>
    </row>
    <row r="568" spans="1:8">
      <c r="A568" s="232">
        <f t="shared" si="34"/>
        <v>566</v>
      </c>
      <c r="B568" s="233">
        <v>45766</v>
      </c>
      <c r="C568" s="234">
        <v>112.27030500000001</v>
      </c>
      <c r="D568" s="235">
        <v>161.05741041683874</v>
      </c>
      <c r="E568" s="234">
        <f t="shared" si="35"/>
        <v>112.27030500000001</v>
      </c>
      <c r="F568" s="239"/>
      <c r="G568" s="188" t="str">
        <f t="shared" si="36"/>
        <v/>
      </c>
      <c r="H568" s="236" t="str">
        <f t="shared" si="37"/>
        <v/>
      </c>
    </row>
    <row r="569" spans="1:8">
      <c r="A569" s="232">
        <f t="shared" si="34"/>
        <v>567</v>
      </c>
      <c r="B569" s="233">
        <v>45767</v>
      </c>
      <c r="C569" s="234">
        <v>117.751141</v>
      </c>
      <c r="D569" s="235">
        <v>161.05741041683874</v>
      </c>
      <c r="E569" s="234">
        <f t="shared" si="35"/>
        <v>117.751141</v>
      </c>
      <c r="F569" s="239"/>
      <c r="G569" s="188" t="str">
        <f t="shared" si="36"/>
        <v/>
      </c>
      <c r="H569" s="236" t="str">
        <f t="shared" si="37"/>
        <v/>
      </c>
    </row>
    <row r="570" spans="1:8">
      <c r="A570" s="232">
        <f t="shared" si="34"/>
        <v>568</v>
      </c>
      <c r="B570" s="233">
        <v>45768</v>
      </c>
      <c r="C570" s="234">
        <v>173.41732500000001</v>
      </c>
      <c r="D570" s="235">
        <v>161.05741041683874</v>
      </c>
      <c r="E570" s="234">
        <f t="shared" si="35"/>
        <v>161.05741041683874</v>
      </c>
      <c r="F570" s="239"/>
      <c r="G570" s="188" t="str">
        <f t="shared" si="36"/>
        <v/>
      </c>
      <c r="H570" s="236" t="str">
        <f t="shared" si="37"/>
        <v/>
      </c>
    </row>
    <row r="571" spans="1:8">
      <c r="A571" s="232">
        <f t="shared" si="34"/>
        <v>569</v>
      </c>
      <c r="B571" s="233">
        <v>45769</v>
      </c>
      <c r="C571" s="234">
        <v>164.50807900000001</v>
      </c>
      <c r="D571" s="235">
        <v>161.05741041683874</v>
      </c>
      <c r="E571" s="234">
        <f t="shared" si="35"/>
        <v>161.05741041683874</v>
      </c>
      <c r="F571" s="239"/>
      <c r="G571" s="188" t="str">
        <f t="shared" si="36"/>
        <v/>
      </c>
      <c r="H571" s="236" t="str">
        <f t="shared" si="37"/>
        <v/>
      </c>
    </row>
    <row r="572" spans="1:8">
      <c r="A572" s="232">
        <f t="shared" si="34"/>
        <v>570</v>
      </c>
      <c r="B572" s="233">
        <v>45770</v>
      </c>
      <c r="C572" s="234">
        <v>207.250091</v>
      </c>
      <c r="D572" s="235">
        <v>161.05741041683874</v>
      </c>
      <c r="E572" s="234">
        <f t="shared" si="35"/>
        <v>161.05741041683874</v>
      </c>
      <c r="F572" s="239"/>
      <c r="G572" s="188" t="str">
        <f t="shared" si="36"/>
        <v/>
      </c>
      <c r="H572" s="236" t="str">
        <f t="shared" si="37"/>
        <v/>
      </c>
    </row>
    <row r="573" spans="1:8">
      <c r="A573" s="232">
        <f t="shared" si="34"/>
        <v>571</v>
      </c>
      <c r="B573" s="233">
        <v>45771</v>
      </c>
      <c r="C573" s="234">
        <v>198.38417100000001</v>
      </c>
      <c r="D573" s="235">
        <v>161.05741041683874</v>
      </c>
      <c r="E573" s="234">
        <f t="shared" si="35"/>
        <v>161.05741041683874</v>
      </c>
      <c r="F573" s="239"/>
      <c r="G573" s="188" t="str">
        <f t="shared" si="36"/>
        <v/>
      </c>
      <c r="H573" s="236" t="str">
        <f t="shared" si="37"/>
        <v/>
      </c>
    </row>
    <row r="574" spans="1:8">
      <c r="A574" s="232">
        <f t="shared" si="34"/>
        <v>572</v>
      </c>
      <c r="B574" s="233">
        <v>45772</v>
      </c>
      <c r="C574" s="234">
        <v>187.89660500000002</v>
      </c>
      <c r="D574" s="235">
        <v>161.05741041683874</v>
      </c>
      <c r="E574" s="234">
        <f t="shared" si="35"/>
        <v>161.05741041683874</v>
      </c>
      <c r="F574" s="239"/>
      <c r="G574" s="188" t="str">
        <f t="shared" si="36"/>
        <v/>
      </c>
      <c r="H574" s="236" t="str">
        <f t="shared" si="37"/>
        <v/>
      </c>
    </row>
    <row r="575" spans="1:8">
      <c r="A575" s="232">
        <f t="shared" si="34"/>
        <v>573</v>
      </c>
      <c r="B575" s="233">
        <v>45773</v>
      </c>
      <c r="C575" s="234">
        <v>163.39053099999998</v>
      </c>
      <c r="D575" s="235">
        <v>161.05741041683874</v>
      </c>
      <c r="E575" s="234">
        <f t="shared" si="35"/>
        <v>161.05741041683874</v>
      </c>
      <c r="F575" s="239"/>
      <c r="G575" s="188" t="str">
        <f t="shared" si="36"/>
        <v/>
      </c>
      <c r="H575" s="236" t="str">
        <f t="shared" si="37"/>
        <v/>
      </c>
    </row>
    <row r="576" spans="1:8">
      <c r="A576" s="232">
        <f t="shared" si="34"/>
        <v>574</v>
      </c>
      <c r="B576" s="233">
        <v>45774</v>
      </c>
      <c r="C576" s="234">
        <v>131.6669</v>
      </c>
      <c r="D576" s="235">
        <v>161.05741041683874</v>
      </c>
      <c r="E576" s="234">
        <f t="shared" si="35"/>
        <v>131.6669</v>
      </c>
      <c r="F576" s="239"/>
      <c r="G576" s="188" t="str">
        <f t="shared" si="36"/>
        <v/>
      </c>
      <c r="H576" s="236" t="str">
        <f t="shared" si="37"/>
        <v/>
      </c>
    </row>
    <row r="577" spans="1:8">
      <c r="A577" s="232">
        <f t="shared" si="34"/>
        <v>575</v>
      </c>
      <c r="B577" s="233">
        <v>45775</v>
      </c>
      <c r="C577" s="234">
        <v>70.383803</v>
      </c>
      <c r="D577" s="235">
        <v>161.05741041683874</v>
      </c>
      <c r="E577" s="234">
        <f t="shared" si="35"/>
        <v>70.383803</v>
      </c>
      <c r="F577" s="239"/>
      <c r="G577" s="188" t="str">
        <f t="shared" si="36"/>
        <v/>
      </c>
      <c r="H577" s="236" t="str">
        <f t="shared" si="37"/>
        <v/>
      </c>
    </row>
    <row r="578" spans="1:8">
      <c r="A578" s="232">
        <f t="shared" si="34"/>
        <v>576</v>
      </c>
      <c r="B578" s="233">
        <v>45776</v>
      </c>
      <c r="C578" s="234">
        <v>89.600320999999994</v>
      </c>
      <c r="D578" s="235">
        <v>161.05741041683874</v>
      </c>
      <c r="E578" s="234">
        <f t="shared" si="35"/>
        <v>89.600320999999994</v>
      </c>
      <c r="F578" s="239"/>
      <c r="G578" s="188" t="str">
        <f t="shared" si="36"/>
        <v/>
      </c>
      <c r="H578" s="236" t="str">
        <f t="shared" si="37"/>
        <v/>
      </c>
    </row>
    <row r="579" spans="1:8">
      <c r="A579" s="232">
        <f t="shared" si="34"/>
        <v>577</v>
      </c>
      <c r="B579" s="233">
        <v>45777</v>
      </c>
      <c r="C579" s="234">
        <v>104.38399700000001</v>
      </c>
      <c r="D579" s="235">
        <v>161.05741041683874</v>
      </c>
      <c r="E579" s="234">
        <f t="shared" si="35"/>
        <v>104.38399700000001</v>
      </c>
      <c r="F579" s="239"/>
      <c r="G579" s="188" t="str">
        <f t="shared" si="36"/>
        <v/>
      </c>
      <c r="H579" s="236" t="str">
        <f t="shared" si="37"/>
        <v/>
      </c>
    </row>
    <row r="580" spans="1:8">
      <c r="A580" s="232">
        <f t="shared" ref="A580:A643" si="38">+A579+1</f>
        <v>578</v>
      </c>
      <c r="B580" s="233">
        <v>45778</v>
      </c>
      <c r="C580" s="234">
        <v>115.74727</v>
      </c>
      <c r="D580" s="235">
        <v>188.28306836915701</v>
      </c>
      <c r="E580" s="234">
        <f t="shared" ref="E580:E643" si="39">IF(C580&gt;D580,D580,C580)</f>
        <v>115.74727</v>
      </c>
      <c r="F580" s="239"/>
      <c r="G580" s="188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36" t="str">
        <f t="shared" ref="H580:H643" si="41">IF(DAY($B580)=15,TEXT(D580,"#,0"),"")</f>
        <v/>
      </c>
    </row>
    <row r="581" spans="1:8">
      <c r="A581" s="232">
        <f t="shared" si="38"/>
        <v>579</v>
      </c>
      <c r="B581" s="233">
        <v>45779</v>
      </c>
      <c r="C581" s="234">
        <v>100.823173</v>
      </c>
      <c r="D581" s="235">
        <v>188.28306836915701</v>
      </c>
      <c r="E581" s="234">
        <f t="shared" si="39"/>
        <v>100.823173</v>
      </c>
      <c r="F581" s="237"/>
      <c r="G581" s="188" t="str">
        <f t="shared" si="40"/>
        <v/>
      </c>
      <c r="H581" s="236" t="str">
        <f t="shared" si="41"/>
        <v/>
      </c>
    </row>
    <row r="582" spans="1:8">
      <c r="A582" s="232">
        <f t="shared" si="38"/>
        <v>580</v>
      </c>
      <c r="B582" s="233">
        <v>45780</v>
      </c>
      <c r="C582" s="234">
        <v>135.01266200000001</v>
      </c>
      <c r="D582" s="235">
        <v>188.28306836915701</v>
      </c>
      <c r="E582" s="234">
        <f t="shared" si="39"/>
        <v>135.01266200000001</v>
      </c>
      <c r="F582" s="237"/>
      <c r="G582" s="188" t="str">
        <f t="shared" si="40"/>
        <v/>
      </c>
      <c r="H582" s="236" t="str">
        <f t="shared" si="41"/>
        <v/>
      </c>
    </row>
    <row r="583" spans="1:8">
      <c r="A583" s="232">
        <f t="shared" si="38"/>
        <v>581</v>
      </c>
      <c r="B583" s="233">
        <v>45781</v>
      </c>
      <c r="C583" s="234">
        <v>112.41585600000001</v>
      </c>
      <c r="D583" s="235">
        <v>188.28306836915701</v>
      </c>
      <c r="E583" s="234">
        <f t="shared" si="39"/>
        <v>112.41585600000001</v>
      </c>
      <c r="F583" s="239"/>
      <c r="G583" s="188" t="str">
        <f t="shared" si="40"/>
        <v/>
      </c>
      <c r="H583" s="236" t="str">
        <f t="shared" si="41"/>
        <v/>
      </c>
    </row>
    <row r="584" spans="1:8">
      <c r="A584" s="232">
        <f t="shared" si="38"/>
        <v>582</v>
      </c>
      <c r="B584" s="233">
        <v>45782</v>
      </c>
      <c r="C584" s="234">
        <v>120.00466400000001</v>
      </c>
      <c r="D584" s="235">
        <v>188.28306836915701</v>
      </c>
      <c r="E584" s="234">
        <f t="shared" si="39"/>
        <v>120.00466400000001</v>
      </c>
      <c r="F584" s="239"/>
      <c r="G584" s="188" t="str">
        <f t="shared" si="40"/>
        <v/>
      </c>
      <c r="H584" s="236" t="str">
        <f t="shared" si="41"/>
        <v/>
      </c>
    </row>
    <row r="585" spans="1:8">
      <c r="A585" s="232">
        <f t="shared" si="38"/>
        <v>583</v>
      </c>
      <c r="B585" s="233">
        <v>45783</v>
      </c>
      <c r="C585" s="234">
        <v>134.54842500000001</v>
      </c>
      <c r="D585" s="235">
        <v>188.28306836915701</v>
      </c>
      <c r="E585" s="234">
        <f t="shared" si="39"/>
        <v>134.54842500000001</v>
      </c>
      <c r="F585" s="239"/>
      <c r="G585" s="188" t="str">
        <f t="shared" si="40"/>
        <v/>
      </c>
      <c r="H585" s="236" t="str">
        <f t="shared" si="41"/>
        <v/>
      </c>
    </row>
    <row r="586" spans="1:8">
      <c r="A586" s="232">
        <f t="shared" si="38"/>
        <v>584</v>
      </c>
      <c r="B586" s="233">
        <v>45784</v>
      </c>
      <c r="C586" s="234">
        <v>164.236514</v>
      </c>
      <c r="D586" s="235">
        <v>188.28306836915701</v>
      </c>
      <c r="E586" s="234">
        <f t="shared" si="39"/>
        <v>164.236514</v>
      </c>
      <c r="F586" s="239"/>
      <c r="G586" s="188" t="str">
        <f t="shared" si="40"/>
        <v/>
      </c>
      <c r="H586" s="236" t="str">
        <f t="shared" si="41"/>
        <v/>
      </c>
    </row>
    <row r="587" spans="1:8">
      <c r="A587" s="232">
        <f t="shared" si="38"/>
        <v>585</v>
      </c>
      <c r="B587" s="233">
        <v>45785</v>
      </c>
      <c r="C587" s="234">
        <v>128.951571</v>
      </c>
      <c r="D587" s="235">
        <v>188.28306836915701</v>
      </c>
      <c r="E587" s="234">
        <f t="shared" si="39"/>
        <v>128.951571</v>
      </c>
      <c r="F587" s="239"/>
      <c r="G587" s="188" t="str">
        <f t="shared" si="40"/>
        <v/>
      </c>
      <c r="H587" s="236" t="str">
        <f t="shared" si="41"/>
        <v/>
      </c>
    </row>
    <row r="588" spans="1:8">
      <c r="A588" s="232">
        <f t="shared" si="38"/>
        <v>586</v>
      </c>
      <c r="B588" s="233">
        <v>45786</v>
      </c>
      <c r="C588" s="234">
        <v>146.80645100000001</v>
      </c>
      <c r="D588" s="235">
        <v>188.28306836915701</v>
      </c>
      <c r="E588" s="234">
        <f t="shared" si="39"/>
        <v>146.80645100000001</v>
      </c>
      <c r="F588" s="239"/>
      <c r="G588" s="188" t="str">
        <f t="shared" si="40"/>
        <v/>
      </c>
      <c r="H588" s="236" t="str">
        <f t="shared" si="41"/>
        <v/>
      </c>
    </row>
    <row r="589" spans="1:8">
      <c r="A589" s="232">
        <f t="shared" si="38"/>
        <v>587</v>
      </c>
      <c r="B589" s="233">
        <v>45787</v>
      </c>
      <c r="C589" s="234">
        <v>111.88610899999999</v>
      </c>
      <c r="D589" s="235">
        <v>188.28306836915701</v>
      </c>
      <c r="E589" s="234">
        <f t="shared" si="39"/>
        <v>111.88610899999999</v>
      </c>
      <c r="F589" s="239"/>
      <c r="G589" s="188" t="str">
        <f t="shared" si="40"/>
        <v/>
      </c>
      <c r="H589" s="236" t="str">
        <f t="shared" si="41"/>
        <v/>
      </c>
    </row>
    <row r="590" spans="1:8">
      <c r="A590" s="232">
        <f t="shared" si="38"/>
        <v>588</v>
      </c>
      <c r="B590" s="233">
        <v>45788</v>
      </c>
      <c r="C590" s="234">
        <v>115.4772</v>
      </c>
      <c r="D590" s="235">
        <v>188.28306836915701</v>
      </c>
      <c r="E590" s="234">
        <f t="shared" si="39"/>
        <v>115.4772</v>
      </c>
      <c r="F590" s="239"/>
      <c r="G590" s="188" t="str">
        <f t="shared" si="40"/>
        <v/>
      </c>
      <c r="H590" s="236" t="str">
        <f t="shared" si="41"/>
        <v/>
      </c>
    </row>
    <row r="591" spans="1:8">
      <c r="A591" s="232">
        <f t="shared" si="38"/>
        <v>589</v>
      </c>
      <c r="B591" s="233">
        <v>45789</v>
      </c>
      <c r="C591" s="234">
        <v>162.20896500000001</v>
      </c>
      <c r="D591" s="235">
        <v>188.28306836915701</v>
      </c>
      <c r="E591" s="234">
        <f t="shared" si="39"/>
        <v>162.20896500000001</v>
      </c>
      <c r="F591" s="239"/>
      <c r="G591" s="188" t="str">
        <f t="shared" si="40"/>
        <v/>
      </c>
      <c r="H591" s="236" t="str">
        <f t="shared" si="41"/>
        <v/>
      </c>
    </row>
    <row r="592" spans="1:8">
      <c r="A592" s="232">
        <f t="shared" si="38"/>
        <v>590</v>
      </c>
      <c r="B592" s="233">
        <v>45790</v>
      </c>
      <c r="C592" s="234">
        <v>151.83476099999999</v>
      </c>
      <c r="D592" s="235">
        <v>188.28306836915701</v>
      </c>
      <c r="E592" s="234">
        <f t="shared" si="39"/>
        <v>151.83476099999999</v>
      </c>
      <c r="F592" s="239"/>
      <c r="G592" s="188" t="str">
        <f t="shared" si="40"/>
        <v/>
      </c>
      <c r="H592" s="236" t="str">
        <f t="shared" si="41"/>
        <v/>
      </c>
    </row>
    <row r="593" spans="1:8">
      <c r="A593" s="232">
        <f t="shared" si="38"/>
        <v>591</v>
      </c>
      <c r="B593" s="233">
        <v>45791</v>
      </c>
      <c r="C593" s="234">
        <v>158.30367199999998</v>
      </c>
      <c r="D593" s="235">
        <v>188.28306836915701</v>
      </c>
      <c r="E593" s="234">
        <f t="shared" si="39"/>
        <v>158.30367199999998</v>
      </c>
      <c r="F593" s="239"/>
      <c r="G593" s="188" t="str">
        <f t="shared" si="40"/>
        <v/>
      </c>
      <c r="H593" s="236" t="str">
        <f t="shared" si="41"/>
        <v/>
      </c>
    </row>
    <row r="594" spans="1:8">
      <c r="A594" s="232">
        <f t="shared" si="38"/>
        <v>592</v>
      </c>
      <c r="B594" s="233">
        <v>45792</v>
      </c>
      <c r="C594" s="234">
        <v>137.30244300000001</v>
      </c>
      <c r="D594" s="235">
        <v>188.28306836915701</v>
      </c>
      <c r="E594" s="234">
        <f t="shared" si="39"/>
        <v>137.30244300000001</v>
      </c>
      <c r="F594" s="239"/>
      <c r="G594" s="188" t="str">
        <f t="shared" si="40"/>
        <v>M</v>
      </c>
      <c r="H594" s="236" t="str">
        <f t="shared" si="41"/>
        <v>188,3</v>
      </c>
    </row>
    <row r="595" spans="1:8">
      <c r="A595" s="232">
        <f t="shared" si="38"/>
        <v>593</v>
      </c>
      <c r="B595" s="233">
        <v>45793</v>
      </c>
      <c r="C595" s="234">
        <v>158.61347499999997</v>
      </c>
      <c r="D595" s="235">
        <v>188.28306836915701</v>
      </c>
      <c r="E595" s="234">
        <f t="shared" si="39"/>
        <v>158.61347499999997</v>
      </c>
      <c r="F595" s="239"/>
      <c r="G595" s="188" t="str">
        <f t="shared" si="40"/>
        <v/>
      </c>
      <c r="H595" s="236" t="str">
        <f t="shared" si="41"/>
        <v/>
      </c>
    </row>
    <row r="596" spans="1:8">
      <c r="A596" s="232">
        <f t="shared" si="38"/>
        <v>594</v>
      </c>
      <c r="B596" s="233">
        <v>45794</v>
      </c>
      <c r="C596" s="234">
        <v>155.76477700000001</v>
      </c>
      <c r="D596" s="235">
        <v>188.28306836915701</v>
      </c>
      <c r="E596" s="234">
        <f t="shared" si="39"/>
        <v>155.76477700000001</v>
      </c>
      <c r="F596" s="239"/>
      <c r="G596" s="188" t="str">
        <f t="shared" si="40"/>
        <v/>
      </c>
      <c r="H596" s="236" t="str">
        <f t="shared" si="41"/>
        <v/>
      </c>
    </row>
    <row r="597" spans="1:8">
      <c r="A597" s="232">
        <f t="shared" si="38"/>
        <v>595</v>
      </c>
      <c r="B597" s="233">
        <v>45795</v>
      </c>
      <c r="C597" s="234">
        <v>143.92953699999998</v>
      </c>
      <c r="D597" s="235">
        <v>188.28306836915701</v>
      </c>
      <c r="E597" s="234">
        <f t="shared" si="39"/>
        <v>143.92953699999998</v>
      </c>
      <c r="F597" s="239"/>
      <c r="G597" s="188" t="str">
        <f t="shared" si="40"/>
        <v/>
      </c>
      <c r="H597" s="236" t="str">
        <f t="shared" si="41"/>
        <v/>
      </c>
    </row>
    <row r="598" spans="1:8">
      <c r="A598" s="232">
        <f t="shared" si="38"/>
        <v>596</v>
      </c>
      <c r="B598" s="233">
        <v>45796</v>
      </c>
      <c r="C598" s="234">
        <v>162.59295699999998</v>
      </c>
      <c r="D598" s="235">
        <v>188.28306836915701</v>
      </c>
      <c r="E598" s="234">
        <f t="shared" si="39"/>
        <v>162.59295699999998</v>
      </c>
      <c r="F598" s="239"/>
      <c r="G598" s="188" t="str">
        <f t="shared" si="40"/>
        <v/>
      </c>
      <c r="H598" s="236" t="str">
        <f t="shared" si="41"/>
        <v/>
      </c>
    </row>
    <row r="599" spans="1:8">
      <c r="A599" s="232">
        <f t="shared" si="38"/>
        <v>597</v>
      </c>
      <c r="B599" s="233">
        <v>45797</v>
      </c>
      <c r="C599" s="234">
        <v>174.37386799999999</v>
      </c>
      <c r="D599" s="235">
        <v>188.28306836915701</v>
      </c>
      <c r="E599" s="234">
        <f t="shared" si="39"/>
        <v>174.37386799999999</v>
      </c>
      <c r="F599" s="239"/>
      <c r="G599" s="188" t="str">
        <f t="shared" si="40"/>
        <v/>
      </c>
      <c r="H599" s="236" t="str">
        <f t="shared" si="41"/>
        <v/>
      </c>
    </row>
    <row r="600" spans="1:8">
      <c r="A600" s="232">
        <f t="shared" si="38"/>
        <v>598</v>
      </c>
      <c r="B600" s="233">
        <v>45798</v>
      </c>
      <c r="C600" s="234">
        <v>195.869326</v>
      </c>
      <c r="D600" s="235">
        <v>188.28306836915701</v>
      </c>
      <c r="E600" s="234">
        <f t="shared" si="39"/>
        <v>188.28306836915701</v>
      </c>
      <c r="F600" s="239"/>
      <c r="G600" s="188" t="str">
        <f t="shared" si="40"/>
        <v/>
      </c>
      <c r="H600" s="236" t="str">
        <f t="shared" si="41"/>
        <v/>
      </c>
    </row>
    <row r="601" spans="1:8">
      <c r="A601" s="232">
        <f t="shared" si="38"/>
        <v>599</v>
      </c>
      <c r="B601" s="233">
        <v>45799</v>
      </c>
      <c r="C601" s="234">
        <v>172.10612700000001</v>
      </c>
      <c r="D601" s="235">
        <v>188.28306836915701</v>
      </c>
      <c r="E601" s="234">
        <f t="shared" si="39"/>
        <v>172.10612700000001</v>
      </c>
      <c r="F601" s="239"/>
      <c r="G601" s="188" t="str">
        <f t="shared" si="40"/>
        <v/>
      </c>
      <c r="H601" s="236" t="str">
        <f t="shared" si="41"/>
        <v/>
      </c>
    </row>
    <row r="602" spans="1:8">
      <c r="A602" s="232">
        <f t="shared" si="38"/>
        <v>600</v>
      </c>
      <c r="B602" s="233">
        <v>45800</v>
      </c>
      <c r="C602" s="234">
        <v>171.74784299999999</v>
      </c>
      <c r="D602" s="235">
        <v>188.28306836915701</v>
      </c>
      <c r="E602" s="234">
        <f t="shared" si="39"/>
        <v>171.74784299999999</v>
      </c>
      <c r="F602" s="239"/>
      <c r="G602" s="188" t="str">
        <f t="shared" si="40"/>
        <v/>
      </c>
      <c r="H602" s="236" t="str">
        <f t="shared" si="41"/>
        <v/>
      </c>
    </row>
    <row r="603" spans="1:8">
      <c r="A603" s="232">
        <f t="shared" si="38"/>
        <v>601</v>
      </c>
      <c r="B603" s="233">
        <v>45801</v>
      </c>
      <c r="C603" s="234">
        <v>163.75109</v>
      </c>
      <c r="D603" s="235">
        <v>188.28306836915701</v>
      </c>
      <c r="E603" s="234">
        <f t="shared" si="39"/>
        <v>163.75109</v>
      </c>
      <c r="F603" s="239"/>
      <c r="G603" s="188" t="str">
        <f t="shared" si="40"/>
        <v/>
      </c>
      <c r="H603" s="236" t="str">
        <f t="shared" si="41"/>
        <v/>
      </c>
    </row>
    <row r="604" spans="1:8">
      <c r="A604" s="232">
        <f t="shared" si="38"/>
        <v>602</v>
      </c>
      <c r="B604" s="233">
        <v>45802</v>
      </c>
      <c r="C604" s="234">
        <v>149.07814199999999</v>
      </c>
      <c r="D604" s="235">
        <v>188.28306836915701</v>
      </c>
      <c r="E604" s="234">
        <f t="shared" si="39"/>
        <v>149.07814199999999</v>
      </c>
      <c r="F604" s="239"/>
      <c r="G604" s="188" t="str">
        <f t="shared" si="40"/>
        <v/>
      </c>
      <c r="H604" s="236" t="str">
        <f t="shared" si="41"/>
        <v/>
      </c>
    </row>
    <row r="605" spans="1:8">
      <c r="A605" s="232">
        <f t="shared" si="38"/>
        <v>603</v>
      </c>
      <c r="B605" s="233">
        <v>45803</v>
      </c>
      <c r="C605" s="234">
        <v>207.67469</v>
      </c>
      <c r="D605" s="235">
        <v>188.28306836915701</v>
      </c>
      <c r="E605" s="234">
        <f t="shared" si="39"/>
        <v>188.28306836915701</v>
      </c>
      <c r="F605" s="239"/>
      <c r="G605" s="188" t="str">
        <f t="shared" si="40"/>
        <v/>
      </c>
      <c r="H605" s="236" t="str">
        <f t="shared" si="41"/>
        <v/>
      </c>
    </row>
    <row r="606" spans="1:8">
      <c r="A606" s="232">
        <f t="shared" si="38"/>
        <v>604</v>
      </c>
      <c r="B606" s="233">
        <v>45804</v>
      </c>
      <c r="C606" s="234">
        <v>204.90346700000001</v>
      </c>
      <c r="D606" s="235">
        <v>188.28306836915701</v>
      </c>
      <c r="E606" s="234">
        <f t="shared" si="39"/>
        <v>188.28306836915701</v>
      </c>
      <c r="F606" s="239"/>
      <c r="G606" s="188" t="str">
        <f t="shared" si="40"/>
        <v/>
      </c>
      <c r="H606" s="236" t="str">
        <f t="shared" si="41"/>
        <v/>
      </c>
    </row>
    <row r="607" spans="1:8">
      <c r="A607" s="232">
        <f t="shared" si="38"/>
        <v>605</v>
      </c>
      <c r="B607" s="233">
        <v>45805</v>
      </c>
      <c r="C607" s="234">
        <v>201.217085</v>
      </c>
      <c r="D607" s="235">
        <v>188.28306836915701</v>
      </c>
      <c r="E607" s="234">
        <f t="shared" si="39"/>
        <v>188.28306836915701</v>
      </c>
      <c r="F607" s="239"/>
      <c r="G607" s="188" t="str">
        <f t="shared" si="40"/>
        <v/>
      </c>
      <c r="H607" s="236" t="str">
        <f t="shared" si="41"/>
        <v/>
      </c>
    </row>
    <row r="608" spans="1:8">
      <c r="A608" s="232">
        <f t="shared" si="38"/>
        <v>606</v>
      </c>
      <c r="B608" s="233">
        <v>45806</v>
      </c>
      <c r="C608" s="234">
        <v>205.585588</v>
      </c>
      <c r="D608" s="235">
        <v>188.28306836915701</v>
      </c>
      <c r="E608" s="234">
        <f t="shared" si="39"/>
        <v>188.28306836915701</v>
      </c>
      <c r="F608" s="239"/>
      <c r="G608" s="188" t="str">
        <f t="shared" si="40"/>
        <v/>
      </c>
      <c r="H608" s="236" t="str">
        <f t="shared" si="41"/>
        <v/>
      </c>
    </row>
    <row r="609" spans="1:8">
      <c r="A609" s="232">
        <f t="shared" si="38"/>
        <v>607</v>
      </c>
      <c r="B609" s="233">
        <v>45807</v>
      </c>
      <c r="C609" s="234">
        <v>190.03045300000002</v>
      </c>
      <c r="D609" s="235">
        <v>188.28306836915701</v>
      </c>
      <c r="E609" s="234">
        <f t="shared" si="39"/>
        <v>188.28306836915701</v>
      </c>
      <c r="F609" s="239"/>
      <c r="G609" s="188" t="str">
        <f t="shared" si="40"/>
        <v/>
      </c>
      <c r="H609" s="236" t="str">
        <f t="shared" si="41"/>
        <v/>
      </c>
    </row>
    <row r="610" spans="1:8">
      <c r="A610" s="232">
        <f t="shared" si="38"/>
        <v>608</v>
      </c>
      <c r="B610" s="233">
        <v>45808</v>
      </c>
      <c r="C610" s="234">
        <v>173.94020900000001</v>
      </c>
      <c r="D610" s="235">
        <v>188.28306836915701</v>
      </c>
      <c r="E610" s="234">
        <f t="shared" si="39"/>
        <v>173.94020900000001</v>
      </c>
      <c r="F610" s="239"/>
      <c r="G610" s="188" t="str">
        <f t="shared" si="40"/>
        <v/>
      </c>
      <c r="H610" s="236" t="str">
        <f t="shared" si="41"/>
        <v/>
      </c>
    </row>
    <row r="611" spans="1:8">
      <c r="A611" s="232">
        <f t="shared" si="38"/>
        <v>609</v>
      </c>
      <c r="B611" s="233">
        <v>45809</v>
      </c>
      <c r="C611" s="234">
        <v>147.61089599999997</v>
      </c>
      <c r="D611" s="235">
        <v>193.37064331944424</v>
      </c>
      <c r="E611" s="234">
        <f t="shared" si="39"/>
        <v>147.61089599999997</v>
      </c>
      <c r="F611" s="239"/>
      <c r="G611" s="188" t="str">
        <f t="shared" si="40"/>
        <v/>
      </c>
      <c r="H611" s="236" t="str">
        <f t="shared" si="41"/>
        <v/>
      </c>
    </row>
    <row r="612" spans="1:8">
      <c r="A612" s="232">
        <f t="shared" si="38"/>
        <v>610</v>
      </c>
      <c r="B612" s="233">
        <v>45810</v>
      </c>
      <c r="C612" s="234">
        <v>177.80748299999999</v>
      </c>
      <c r="D612" s="235">
        <v>193.37064331944424</v>
      </c>
      <c r="E612" s="234">
        <f t="shared" si="39"/>
        <v>177.80748299999999</v>
      </c>
      <c r="F612" s="237"/>
      <c r="G612" s="188" t="str">
        <f t="shared" si="40"/>
        <v/>
      </c>
      <c r="H612" s="236" t="str">
        <f t="shared" si="41"/>
        <v/>
      </c>
    </row>
    <row r="613" spans="1:8">
      <c r="A613" s="232">
        <f t="shared" si="38"/>
        <v>611</v>
      </c>
      <c r="B613" s="233">
        <v>45811</v>
      </c>
      <c r="C613" s="234">
        <v>157.96417500000001</v>
      </c>
      <c r="D613" s="235">
        <v>193.37064331944424</v>
      </c>
      <c r="E613" s="234">
        <f t="shared" si="39"/>
        <v>157.96417500000001</v>
      </c>
      <c r="F613" s="237"/>
      <c r="G613" s="188" t="str">
        <f t="shared" si="40"/>
        <v/>
      </c>
      <c r="H613" s="236" t="str">
        <f t="shared" si="41"/>
        <v/>
      </c>
    </row>
    <row r="614" spans="1:8">
      <c r="A614" s="232">
        <f t="shared" si="38"/>
        <v>612</v>
      </c>
      <c r="B614" s="233">
        <v>45812</v>
      </c>
      <c r="C614" s="234">
        <v>209.92247100000003</v>
      </c>
      <c r="D614" s="235">
        <v>193.37064331944424</v>
      </c>
      <c r="E614" s="234">
        <f t="shared" si="39"/>
        <v>193.37064331944424</v>
      </c>
      <c r="F614" s="239"/>
      <c r="G614" s="188" t="str">
        <f t="shared" si="40"/>
        <v/>
      </c>
      <c r="H614" s="236" t="str">
        <f t="shared" si="41"/>
        <v/>
      </c>
    </row>
    <row r="615" spans="1:8">
      <c r="A615" s="232">
        <f t="shared" si="38"/>
        <v>613</v>
      </c>
      <c r="B615" s="233">
        <v>45813</v>
      </c>
      <c r="C615" s="234">
        <v>221.812344</v>
      </c>
      <c r="D615" s="235">
        <v>193.37064331944424</v>
      </c>
      <c r="E615" s="234">
        <f t="shared" si="39"/>
        <v>193.37064331944424</v>
      </c>
      <c r="F615" s="239"/>
      <c r="G615" s="188" t="str">
        <f t="shared" si="40"/>
        <v/>
      </c>
      <c r="H615" s="236" t="str">
        <f t="shared" si="41"/>
        <v/>
      </c>
    </row>
    <row r="616" spans="1:8">
      <c r="A616" s="232">
        <f t="shared" si="38"/>
        <v>614</v>
      </c>
      <c r="B616" s="233">
        <v>45814</v>
      </c>
      <c r="C616" s="234">
        <v>231.49402699999999</v>
      </c>
      <c r="D616" s="235">
        <v>193.37064331944424</v>
      </c>
      <c r="E616" s="234">
        <f t="shared" si="39"/>
        <v>193.37064331944424</v>
      </c>
      <c r="F616" s="239"/>
      <c r="G616" s="188" t="str">
        <f t="shared" si="40"/>
        <v/>
      </c>
      <c r="H616" s="236" t="str">
        <f t="shared" si="41"/>
        <v/>
      </c>
    </row>
    <row r="617" spans="1:8">
      <c r="A617" s="232">
        <f t="shared" si="38"/>
        <v>615</v>
      </c>
      <c r="B617" s="233">
        <v>45815</v>
      </c>
      <c r="C617" s="234">
        <v>196.97096100000002</v>
      </c>
      <c r="D617" s="235">
        <v>193.37064331944424</v>
      </c>
      <c r="E617" s="234">
        <f t="shared" si="39"/>
        <v>193.37064331944424</v>
      </c>
      <c r="F617" s="239"/>
      <c r="G617" s="188" t="str">
        <f t="shared" si="40"/>
        <v/>
      </c>
      <c r="H617" s="236" t="str">
        <f t="shared" si="41"/>
        <v/>
      </c>
    </row>
    <row r="618" spans="1:8">
      <c r="A618" s="232">
        <f t="shared" si="38"/>
        <v>616</v>
      </c>
      <c r="B618" s="233">
        <v>45816</v>
      </c>
      <c r="C618" s="234">
        <v>168.30374399999999</v>
      </c>
      <c r="D618" s="235">
        <v>193.37064331944424</v>
      </c>
      <c r="E618" s="234">
        <f t="shared" si="39"/>
        <v>168.30374399999999</v>
      </c>
      <c r="F618" s="239"/>
      <c r="G618" s="188" t="str">
        <f t="shared" si="40"/>
        <v/>
      </c>
      <c r="H618" s="236" t="str">
        <f t="shared" si="41"/>
        <v/>
      </c>
    </row>
    <row r="619" spans="1:8">
      <c r="A619" s="232">
        <f t="shared" si="38"/>
        <v>617</v>
      </c>
      <c r="B619" s="233">
        <v>45817</v>
      </c>
      <c r="C619" s="234">
        <v>192.72122399999998</v>
      </c>
      <c r="D619" s="235">
        <v>193.37064331944424</v>
      </c>
      <c r="E619" s="234">
        <f t="shared" si="39"/>
        <v>192.72122399999998</v>
      </c>
      <c r="F619" s="239"/>
      <c r="G619" s="188" t="str">
        <f t="shared" si="40"/>
        <v/>
      </c>
      <c r="H619" s="236" t="str">
        <f t="shared" si="41"/>
        <v/>
      </c>
    </row>
    <row r="620" spans="1:8">
      <c r="A620" s="232">
        <f t="shared" si="38"/>
        <v>618</v>
      </c>
      <c r="B620" s="233">
        <v>45818</v>
      </c>
      <c r="C620" s="234">
        <v>164.80872799999997</v>
      </c>
      <c r="D620" s="235">
        <v>193.37064331944424</v>
      </c>
      <c r="E620" s="234">
        <f t="shared" si="39"/>
        <v>164.80872799999997</v>
      </c>
      <c r="F620" s="239"/>
      <c r="G620" s="188" t="str">
        <f t="shared" si="40"/>
        <v/>
      </c>
      <c r="H620" s="236" t="str">
        <f t="shared" si="41"/>
        <v/>
      </c>
    </row>
    <row r="621" spans="1:8">
      <c r="A621" s="232">
        <f t="shared" si="38"/>
        <v>619</v>
      </c>
      <c r="B621" s="233">
        <v>45819</v>
      </c>
      <c r="C621" s="234">
        <v>174.60366300000001</v>
      </c>
      <c r="D621" s="235">
        <v>193.37064331944424</v>
      </c>
      <c r="E621" s="234">
        <f t="shared" si="39"/>
        <v>174.60366300000001</v>
      </c>
      <c r="F621" s="239"/>
      <c r="G621" s="188" t="str">
        <f t="shared" si="40"/>
        <v/>
      </c>
      <c r="H621" s="236" t="str">
        <f t="shared" si="41"/>
        <v/>
      </c>
    </row>
    <row r="622" spans="1:8">
      <c r="A622" s="232">
        <f t="shared" si="38"/>
        <v>620</v>
      </c>
      <c r="B622" s="233">
        <v>45820</v>
      </c>
      <c r="C622" s="234">
        <v>222.26020700000001</v>
      </c>
      <c r="D622" s="235">
        <v>193.37064331944424</v>
      </c>
      <c r="E622" s="234">
        <f t="shared" si="39"/>
        <v>193.37064331944424</v>
      </c>
      <c r="F622" s="239"/>
      <c r="G622" s="188" t="str">
        <f t="shared" si="40"/>
        <v/>
      </c>
      <c r="H622" s="236" t="str">
        <f t="shared" si="41"/>
        <v/>
      </c>
    </row>
    <row r="623" spans="1:8">
      <c r="A623" s="232">
        <f t="shared" si="38"/>
        <v>621</v>
      </c>
      <c r="B623" s="233">
        <v>45821</v>
      </c>
      <c r="C623" s="234">
        <v>216.04410899999999</v>
      </c>
      <c r="D623" s="235">
        <v>193.37064331944424</v>
      </c>
      <c r="E623" s="234">
        <f t="shared" si="39"/>
        <v>193.37064331944424</v>
      </c>
      <c r="F623" s="239"/>
      <c r="G623" s="188" t="str">
        <f t="shared" si="40"/>
        <v/>
      </c>
      <c r="H623" s="236" t="str">
        <f t="shared" si="41"/>
        <v/>
      </c>
    </row>
    <row r="624" spans="1:8">
      <c r="A624" s="232">
        <f t="shared" si="38"/>
        <v>622</v>
      </c>
      <c r="B624" s="233">
        <v>45822</v>
      </c>
      <c r="C624" s="234">
        <v>195.93885800000001</v>
      </c>
      <c r="D624" s="235">
        <v>193.37064331944424</v>
      </c>
      <c r="E624" s="234">
        <f t="shared" si="39"/>
        <v>193.37064331944424</v>
      </c>
      <c r="F624" s="239"/>
      <c r="G624" s="188" t="str">
        <f t="shared" si="40"/>
        <v/>
      </c>
      <c r="H624" s="236" t="str">
        <f t="shared" si="41"/>
        <v/>
      </c>
    </row>
    <row r="625" spans="1:8">
      <c r="A625" s="232">
        <f t="shared" si="38"/>
        <v>623</v>
      </c>
      <c r="B625" s="233">
        <v>45823</v>
      </c>
      <c r="C625" s="234">
        <v>172.63308800000001</v>
      </c>
      <c r="D625" s="235">
        <v>193.37064331944424</v>
      </c>
      <c r="E625" s="234">
        <f t="shared" si="39"/>
        <v>172.63308800000001</v>
      </c>
      <c r="F625" s="239"/>
      <c r="G625" s="188" t="str">
        <f t="shared" si="40"/>
        <v>J</v>
      </c>
      <c r="H625" s="236" t="str">
        <f t="shared" si="41"/>
        <v>193,4</v>
      </c>
    </row>
    <row r="626" spans="1:8">
      <c r="A626" s="232">
        <f t="shared" si="38"/>
        <v>624</v>
      </c>
      <c r="B626" s="233">
        <v>45824</v>
      </c>
      <c r="C626" s="234">
        <v>217.61912000000001</v>
      </c>
      <c r="D626" s="235">
        <v>193.37064331944424</v>
      </c>
      <c r="E626" s="234">
        <f t="shared" si="39"/>
        <v>193.37064331944424</v>
      </c>
      <c r="F626" s="239"/>
      <c r="G626" s="188" t="str">
        <f t="shared" si="40"/>
        <v/>
      </c>
      <c r="H626" s="236" t="str">
        <f t="shared" si="41"/>
        <v/>
      </c>
    </row>
    <row r="627" spans="1:8">
      <c r="A627" s="232">
        <f t="shared" si="38"/>
        <v>625</v>
      </c>
      <c r="B627" s="233">
        <v>45825</v>
      </c>
      <c r="C627" s="234">
        <v>216.64721099999997</v>
      </c>
      <c r="D627" s="235">
        <v>193.37064331944424</v>
      </c>
      <c r="E627" s="234">
        <f t="shared" si="39"/>
        <v>193.37064331944424</v>
      </c>
      <c r="F627" s="239"/>
      <c r="G627" s="188" t="str">
        <f t="shared" si="40"/>
        <v/>
      </c>
      <c r="H627" s="236" t="str">
        <f t="shared" si="41"/>
        <v/>
      </c>
    </row>
    <row r="628" spans="1:8">
      <c r="A628" s="232">
        <f t="shared" si="38"/>
        <v>626</v>
      </c>
      <c r="B628" s="233">
        <v>45826</v>
      </c>
      <c r="C628" s="234">
        <v>218.196471</v>
      </c>
      <c r="D628" s="235">
        <v>193.37064331944424</v>
      </c>
      <c r="E628" s="234">
        <f t="shared" si="39"/>
        <v>193.37064331944424</v>
      </c>
      <c r="F628" s="239"/>
      <c r="G628" s="188" t="str">
        <f t="shared" si="40"/>
        <v/>
      </c>
      <c r="H628" s="236" t="str">
        <f t="shared" si="41"/>
        <v/>
      </c>
    </row>
    <row r="629" spans="1:8">
      <c r="A629" s="232">
        <f t="shared" si="38"/>
        <v>627</v>
      </c>
      <c r="B629" s="233">
        <v>45827</v>
      </c>
      <c r="C629" s="234">
        <v>185.98578700000002</v>
      </c>
      <c r="D629" s="235">
        <v>193.37064331944424</v>
      </c>
      <c r="E629" s="234">
        <f t="shared" si="39"/>
        <v>185.98578700000002</v>
      </c>
      <c r="F629" s="239"/>
      <c r="G629" s="188" t="str">
        <f t="shared" si="40"/>
        <v/>
      </c>
      <c r="H629" s="236" t="str">
        <f t="shared" si="41"/>
        <v/>
      </c>
    </row>
    <row r="630" spans="1:8">
      <c r="A630" s="232">
        <f t="shared" si="38"/>
        <v>628</v>
      </c>
      <c r="B630" s="233">
        <v>45828</v>
      </c>
      <c r="C630" s="234">
        <v>224.72805899999997</v>
      </c>
      <c r="D630" s="235">
        <v>193.37064331944424</v>
      </c>
      <c r="E630" s="234">
        <f t="shared" si="39"/>
        <v>193.37064331944424</v>
      </c>
      <c r="F630" s="239"/>
      <c r="G630" s="188" t="str">
        <f t="shared" si="40"/>
        <v/>
      </c>
      <c r="H630" s="236" t="str">
        <f t="shared" si="41"/>
        <v/>
      </c>
    </row>
    <row r="631" spans="1:8">
      <c r="A631" s="232">
        <f t="shared" si="38"/>
        <v>629</v>
      </c>
      <c r="B631" s="233">
        <v>45829</v>
      </c>
      <c r="C631" s="234">
        <v>212.802312</v>
      </c>
      <c r="D631" s="235">
        <v>193.37064331944424</v>
      </c>
      <c r="E631" s="234">
        <f t="shared" si="39"/>
        <v>193.37064331944424</v>
      </c>
      <c r="F631" s="239"/>
      <c r="G631" s="188" t="str">
        <f t="shared" si="40"/>
        <v/>
      </c>
      <c r="H631" s="236" t="str">
        <f t="shared" si="41"/>
        <v/>
      </c>
    </row>
    <row r="632" spans="1:8">
      <c r="A632" s="232">
        <f t="shared" si="38"/>
        <v>630</v>
      </c>
      <c r="B632" s="233">
        <v>45830</v>
      </c>
      <c r="C632" s="234">
        <v>182.764929</v>
      </c>
      <c r="D632" s="235">
        <v>193.37064331944424</v>
      </c>
      <c r="E632" s="234">
        <f t="shared" si="39"/>
        <v>182.764929</v>
      </c>
      <c r="F632" s="239"/>
      <c r="G632" s="188" t="str">
        <f t="shared" si="40"/>
        <v/>
      </c>
      <c r="H632" s="236" t="str">
        <f t="shared" si="41"/>
        <v/>
      </c>
    </row>
    <row r="633" spans="1:8">
      <c r="A633" s="232">
        <f t="shared" si="38"/>
        <v>631</v>
      </c>
      <c r="B633" s="233">
        <v>45831</v>
      </c>
      <c r="C633" s="234">
        <v>192.61489499999999</v>
      </c>
      <c r="D633" s="235">
        <v>193.37064331944424</v>
      </c>
      <c r="E633" s="234">
        <f t="shared" si="39"/>
        <v>192.61489499999999</v>
      </c>
      <c r="F633" s="239"/>
      <c r="G633" s="188" t="str">
        <f t="shared" si="40"/>
        <v/>
      </c>
      <c r="H633" s="236" t="str">
        <f t="shared" si="41"/>
        <v/>
      </c>
    </row>
    <row r="634" spans="1:8">
      <c r="A634" s="232">
        <f t="shared" si="38"/>
        <v>632</v>
      </c>
      <c r="B634" s="233">
        <v>45832</v>
      </c>
      <c r="C634" s="234">
        <v>178.55502999999999</v>
      </c>
      <c r="D634" s="235">
        <v>193.37064331944424</v>
      </c>
      <c r="E634" s="234">
        <f t="shared" si="39"/>
        <v>178.55502999999999</v>
      </c>
      <c r="F634" s="239"/>
      <c r="G634" s="188" t="str">
        <f t="shared" si="40"/>
        <v/>
      </c>
      <c r="H634" s="236" t="str">
        <f t="shared" si="41"/>
        <v/>
      </c>
    </row>
    <row r="635" spans="1:8">
      <c r="A635" s="232">
        <f t="shared" si="38"/>
        <v>633</v>
      </c>
      <c r="B635" s="233">
        <v>45833</v>
      </c>
      <c r="C635" s="234">
        <v>233.79758999999999</v>
      </c>
      <c r="D635" s="235">
        <v>193.37064331944424</v>
      </c>
      <c r="E635" s="234">
        <f t="shared" si="39"/>
        <v>193.37064331944424</v>
      </c>
      <c r="F635" s="239"/>
      <c r="G635" s="188" t="str">
        <f t="shared" si="40"/>
        <v/>
      </c>
      <c r="H635" s="236" t="str">
        <f t="shared" si="41"/>
        <v/>
      </c>
    </row>
    <row r="636" spans="1:8">
      <c r="A636" s="232">
        <f t="shared" si="38"/>
        <v>634</v>
      </c>
      <c r="B636" s="233">
        <v>45834</v>
      </c>
      <c r="C636" s="234">
        <v>247.79890700000001</v>
      </c>
      <c r="D636" s="235">
        <v>193.37064331944424</v>
      </c>
      <c r="E636" s="234">
        <f t="shared" si="39"/>
        <v>193.37064331944424</v>
      </c>
      <c r="F636" s="239"/>
      <c r="G636" s="188" t="str">
        <f t="shared" si="40"/>
        <v/>
      </c>
      <c r="H636" s="236" t="str">
        <f t="shared" si="41"/>
        <v/>
      </c>
    </row>
    <row r="637" spans="1:8">
      <c r="A637" s="232">
        <f t="shared" si="38"/>
        <v>635</v>
      </c>
      <c r="B637" s="233">
        <v>45835</v>
      </c>
      <c r="C637" s="234">
        <v>246.36508000000001</v>
      </c>
      <c r="D637" s="235">
        <v>193.37064331944424</v>
      </c>
      <c r="E637" s="234">
        <f t="shared" si="39"/>
        <v>193.37064331944424</v>
      </c>
      <c r="F637" s="239"/>
      <c r="G637" s="188" t="str">
        <f t="shared" si="40"/>
        <v/>
      </c>
      <c r="H637" s="236" t="str">
        <f t="shared" si="41"/>
        <v/>
      </c>
    </row>
    <row r="638" spans="1:8">
      <c r="A638" s="232">
        <f t="shared" si="38"/>
        <v>636</v>
      </c>
      <c r="B638" s="233">
        <v>45836</v>
      </c>
      <c r="C638" s="234">
        <v>228.72767599999997</v>
      </c>
      <c r="D638" s="235">
        <v>193.37064331944424</v>
      </c>
      <c r="E638" s="234">
        <f t="shared" si="39"/>
        <v>193.37064331944424</v>
      </c>
      <c r="F638" s="239"/>
      <c r="G638" s="188" t="str">
        <f t="shared" si="40"/>
        <v/>
      </c>
      <c r="H638" s="236" t="str">
        <f t="shared" si="41"/>
        <v/>
      </c>
    </row>
    <row r="639" spans="1:8">
      <c r="A639" s="232">
        <f t="shared" si="38"/>
        <v>637</v>
      </c>
      <c r="B639" s="233">
        <v>45837</v>
      </c>
      <c r="C639" s="234">
        <v>211.728388</v>
      </c>
      <c r="D639" s="235">
        <v>193.37064331944424</v>
      </c>
      <c r="E639" s="234">
        <f t="shared" si="39"/>
        <v>193.37064331944424</v>
      </c>
      <c r="F639" s="239"/>
      <c r="G639" s="188" t="str">
        <f t="shared" si="40"/>
        <v/>
      </c>
      <c r="H639" s="236" t="str">
        <f t="shared" si="41"/>
        <v/>
      </c>
    </row>
    <row r="640" spans="1:8">
      <c r="A640" s="232">
        <f t="shared" si="38"/>
        <v>638</v>
      </c>
      <c r="B640" s="233">
        <v>45838</v>
      </c>
      <c r="C640" s="234">
        <v>206.771604</v>
      </c>
      <c r="D640" s="235">
        <v>193.37064331944424</v>
      </c>
      <c r="E640" s="234">
        <f t="shared" si="39"/>
        <v>193.37064331944424</v>
      </c>
      <c r="F640" s="239"/>
      <c r="G640" s="188" t="str">
        <f t="shared" si="40"/>
        <v/>
      </c>
      <c r="H640" s="236" t="str">
        <f t="shared" si="41"/>
        <v/>
      </c>
    </row>
    <row r="641" spans="1:8">
      <c r="A641" s="232">
        <f t="shared" si="38"/>
        <v>639</v>
      </c>
      <c r="B641" s="233">
        <v>45839</v>
      </c>
      <c r="C641" s="234">
        <v>221.46423199999998</v>
      </c>
      <c r="D641" s="235">
        <v>200.02189858801364</v>
      </c>
      <c r="E641" s="234">
        <f t="shared" si="39"/>
        <v>200.02189858801364</v>
      </c>
      <c r="F641" s="239"/>
      <c r="G641" s="188" t="str">
        <f t="shared" si="40"/>
        <v/>
      </c>
      <c r="H641" s="236" t="str">
        <f t="shared" si="41"/>
        <v/>
      </c>
    </row>
    <row r="642" spans="1:8">
      <c r="A642" s="232">
        <f t="shared" si="38"/>
        <v>640</v>
      </c>
      <c r="B642" s="233">
        <v>45840</v>
      </c>
      <c r="C642" s="234">
        <v>213.39008299999998</v>
      </c>
      <c r="D642" s="235">
        <v>200.02189858801364</v>
      </c>
      <c r="E642" s="234">
        <f t="shared" si="39"/>
        <v>200.02189858801364</v>
      </c>
      <c r="F642" s="237"/>
      <c r="G642" s="188" t="str">
        <f t="shared" si="40"/>
        <v/>
      </c>
      <c r="H642" s="236" t="str">
        <f t="shared" si="41"/>
        <v/>
      </c>
    </row>
    <row r="643" spans="1:8">
      <c r="A643" s="232">
        <f t="shared" si="38"/>
        <v>641</v>
      </c>
      <c r="B643" s="233">
        <v>45841</v>
      </c>
      <c r="C643" s="234">
        <v>213.58890500000001</v>
      </c>
      <c r="D643" s="235">
        <v>200.02189858801364</v>
      </c>
      <c r="E643" s="234">
        <f t="shared" si="39"/>
        <v>200.02189858801364</v>
      </c>
      <c r="F643" s="237"/>
      <c r="G643" s="188" t="str">
        <f t="shared" si="40"/>
        <v/>
      </c>
      <c r="H643" s="236" t="str">
        <f t="shared" si="41"/>
        <v/>
      </c>
    </row>
    <row r="644" spans="1:8">
      <c r="A644" s="232">
        <f t="shared" ref="A644:A707" si="42">+A643+1</f>
        <v>642</v>
      </c>
      <c r="B644" s="233">
        <v>45842</v>
      </c>
      <c r="C644" s="234">
        <v>207.72807299999999</v>
      </c>
      <c r="D644" s="235">
        <v>200.02189858801364</v>
      </c>
      <c r="E644" s="234">
        <f t="shared" ref="E644:E707" si="43">IF(C644&gt;D644,D644,C644)</f>
        <v>200.02189858801364</v>
      </c>
      <c r="F644" s="239"/>
      <c r="G644" s="188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36" t="str">
        <f t="shared" ref="H644:H707" si="45">IF(DAY($B644)=15,TEXT(D644,"#,0"),"")</f>
        <v/>
      </c>
    </row>
    <row r="645" spans="1:8">
      <c r="A645" s="232">
        <f t="shared" si="42"/>
        <v>643</v>
      </c>
      <c r="B645" s="233">
        <v>45843</v>
      </c>
      <c r="C645" s="234">
        <v>205.45465199999998</v>
      </c>
      <c r="D645" s="235">
        <v>200.02189858801364</v>
      </c>
      <c r="E645" s="234">
        <f t="shared" si="43"/>
        <v>200.02189858801364</v>
      </c>
      <c r="F645" s="239"/>
      <c r="G645" s="188" t="str">
        <f t="shared" si="44"/>
        <v/>
      </c>
      <c r="H645" s="236" t="str">
        <f t="shared" si="45"/>
        <v/>
      </c>
    </row>
    <row r="646" spans="1:8">
      <c r="A646" s="232">
        <f t="shared" si="42"/>
        <v>644</v>
      </c>
      <c r="B646" s="233">
        <v>45844</v>
      </c>
      <c r="C646" s="234">
        <v>199.57184900000001</v>
      </c>
      <c r="D646" s="235">
        <v>200.02189858801364</v>
      </c>
      <c r="E646" s="234">
        <f t="shared" si="43"/>
        <v>199.57184900000001</v>
      </c>
      <c r="F646" s="239"/>
      <c r="G646" s="188" t="str">
        <f t="shared" si="44"/>
        <v/>
      </c>
      <c r="H646" s="236" t="str">
        <f t="shared" si="45"/>
        <v/>
      </c>
    </row>
    <row r="647" spans="1:8">
      <c r="A647" s="232">
        <f t="shared" si="42"/>
        <v>645</v>
      </c>
      <c r="B647" s="233">
        <v>45845</v>
      </c>
      <c r="C647" s="234">
        <v>232.91583</v>
      </c>
      <c r="D647" s="235">
        <v>200.02189858801364</v>
      </c>
      <c r="E647" s="234">
        <f t="shared" si="43"/>
        <v>200.02189858801364</v>
      </c>
      <c r="F647" s="239"/>
      <c r="G647" s="188" t="str">
        <f t="shared" si="44"/>
        <v/>
      </c>
      <c r="H647" s="236" t="str">
        <f t="shared" si="45"/>
        <v/>
      </c>
    </row>
    <row r="648" spans="1:8">
      <c r="A648" s="232">
        <f t="shared" si="42"/>
        <v>646</v>
      </c>
      <c r="B648" s="233">
        <v>45846</v>
      </c>
      <c r="C648" s="234">
        <v>212.45212699999999</v>
      </c>
      <c r="D648" s="235">
        <v>200.02189858801364</v>
      </c>
      <c r="E648" s="234">
        <f t="shared" si="43"/>
        <v>200.02189858801364</v>
      </c>
      <c r="F648" s="239"/>
      <c r="G648" s="188" t="str">
        <f t="shared" si="44"/>
        <v/>
      </c>
      <c r="H648" s="236" t="str">
        <f t="shared" si="45"/>
        <v/>
      </c>
    </row>
    <row r="649" spans="1:8">
      <c r="A649" s="232">
        <f t="shared" si="42"/>
        <v>647</v>
      </c>
      <c r="B649" s="233">
        <v>45847</v>
      </c>
      <c r="C649" s="234">
        <v>199.059191</v>
      </c>
      <c r="D649" s="235">
        <v>200.02189858801364</v>
      </c>
      <c r="E649" s="234">
        <f t="shared" si="43"/>
        <v>199.059191</v>
      </c>
      <c r="F649" s="239"/>
      <c r="G649" s="188" t="str">
        <f t="shared" si="44"/>
        <v/>
      </c>
      <c r="H649" s="236" t="str">
        <f t="shared" si="45"/>
        <v/>
      </c>
    </row>
    <row r="650" spans="1:8">
      <c r="A650" s="232">
        <f t="shared" si="42"/>
        <v>648</v>
      </c>
      <c r="B650" s="233">
        <v>45848</v>
      </c>
      <c r="C650" s="234">
        <v>220.00045300000002</v>
      </c>
      <c r="D650" s="235">
        <v>200.02189858801364</v>
      </c>
      <c r="E650" s="234">
        <f t="shared" si="43"/>
        <v>200.02189858801364</v>
      </c>
      <c r="F650" s="239"/>
      <c r="G650" s="188" t="str">
        <f t="shared" si="44"/>
        <v/>
      </c>
      <c r="H650" s="236" t="str">
        <f t="shared" si="45"/>
        <v/>
      </c>
    </row>
    <row r="651" spans="1:8">
      <c r="A651" s="232">
        <f t="shared" si="42"/>
        <v>649</v>
      </c>
      <c r="B651" s="233">
        <v>45849</v>
      </c>
      <c r="C651" s="234">
        <v>209.46011899999996</v>
      </c>
      <c r="D651" s="235">
        <v>200.02189858801364</v>
      </c>
      <c r="E651" s="234">
        <f t="shared" si="43"/>
        <v>200.02189858801364</v>
      </c>
      <c r="F651" s="239"/>
      <c r="G651" s="188" t="str">
        <f t="shared" si="44"/>
        <v/>
      </c>
      <c r="H651" s="236" t="str">
        <f t="shared" si="45"/>
        <v/>
      </c>
    </row>
    <row r="652" spans="1:8">
      <c r="A652" s="232">
        <f t="shared" si="42"/>
        <v>650</v>
      </c>
      <c r="B652" s="233">
        <v>45850</v>
      </c>
      <c r="C652" s="234">
        <v>172.47162400000002</v>
      </c>
      <c r="D652" s="235">
        <v>200.02189858801364</v>
      </c>
      <c r="E652" s="234">
        <f t="shared" si="43"/>
        <v>172.47162400000002</v>
      </c>
      <c r="F652" s="239"/>
      <c r="G652" s="188" t="str">
        <f t="shared" si="44"/>
        <v/>
      </c>
      <c r="H652" s="236" t="str">
        <f t="shared" si="45"/>
        <v/>
      </c>
    </row>
    <row r="653" spans="1:8">
      <c r="A653" s="232">
        <f t="shared" si="42"/>
        <v>651</v>
      </c>
      <c r="B653" s="233">
        <v>45851</v>
      </c>
      <c r="C653" s="234">
        <v>223.38682399999999</v>
      </c>
      <c r="D653" s="235">
        <v>200.02189858801364</v>
      </c>
      <c r="E653" s="234">
        <f t="shared" si="43"/>
        <v>200.02189858801364</v>
      </c>
      <c r="F653" s="239"/>
      <c r="G653" s="188" t="str">
        <f t="shared" si="44"/>
        <v/>
      </c>
      <c r="H653" s="236" t="str">
        <f t="shared" si="45"/>
        <v/>
      </c>
    </row>
    <row r="654" spans="1:8">
      <c r="A654" s="232">
        <f t="shared" si="42"/>
        <v>652</v>
      </c>
      <c r="B654" s="233">
        <v>45852</v>
      </c>
      <c r="C654" s="234">
        <v>245.95958000000002</v>
      </c>
      <c r="D654" s="235">
        <v>200.02189858801364</v>
      </c>
      <c r="E654" s="234">
        <f t="shared" si="43"/>
        <v>200.02189858801364</v>
      </c>
      <c r="F654" s="239"/>
      <c r="G654" s="188" t="str">
        <f t="shared" si="44"/>
        <v/>
      </c>
      <c r="H654" s="236" t="str">
        <f t="shared" si="45"/>
        <v/>
      </c>
    </row>
    <row r="655" spans="1:8">
      <c r="A655" s="232">
        <f t="shared" si="42"/>
        <v>653</v>
      </c>
      <c r="B655" s="233">
        <v>45853</v>
      </c>
      <c r="C655" s="234">
        <v>234.22268199999999</v>
      </c>
      <c r="D655" s="235">
        <v>200.02189858801364</v>
      </c>
      <c r="E655" s="234">
        <f t="shared" si="43"/>
        <v>200.02189858801364</v>
      </c>
      <c r="F655" s="239"/>
      <c r="G655" s="188" t="str">
        <f t="shared" si="44"/>
        <v>J</v>
      </c>
      <c r="H655" s="236" t="str">
        <f t="shared" si="45"/>
        <v>200,0</v>
      </c>
    </row>
    <row r="656" spans="1:8">
      <c r="A656" s="232">
        <f t="shared" si="42"/>
        <v>654</v>
      </c>
      <c r="B656" s="233">
        <v>45854</v>
      </c>
      <c r="C656" s="234">
        <v>240.22070499999998</v>
      </c>
      <c r="D656" s="235">
        <v>200.02189858801364</v>
      </c>
      <c r="E656" s="234">
        <f t="shared" si="43"/>
        <v>200.02189858801364</v>
      </c>
      <c r="F656" s="239"/>
      <c r="G656" s="188" t="str">
        <f t="shared" si="44"/>
        <v/>
      </c>
      <c r="H656" s="236" t="str">
        <f t="shared" si="45"/>
        <v/>
      </c>
    </row>
    <row r="657" spans="1:8">
      <c r="A657" s="232">
        <f t="shared" si="42"/>
        <v>655</v>
      </c>
      <c r="B657" s="233">
        <v>45855</v>
      </c>
      <c r="C657" s="234">
        <v>219.513049</v>
      </c>
      <c r="D657" s="235">
        <v>200.02189858801364</v>
      </c>
      <c r="E657" s="234">
        <f t="shared" si="43"/>
        <v>200.02189858801364</v>
      </c>
      <c r="F657" s="239"/>
      <c r="G657" s="188" t="str">
        <f t="shared" si="44"/>
        <v/>
      </c>
      <c r="H657" s="236" t="str">
        <f t="shared" si="45"/>
        <v/>
      </c>
    </row>
    <row r="658" spans="1:8">
      <c r="A658" s="232">
        <f t="shared" si="42"/>
        <v>656</v>
      </c>
      <c r="B658" s="233">
        <v>45856</v>
      </c>
      <c r="C658" s="234">
        <v>211.09833899999998</v>
      </c>
      <c r="D658" s="235">
        <v>200.02189858801364</v>
      </c>
      <c r="E658" s="234">
        <f t="shared" si="43"/>
        <v>200.02189858801364</v>
      </c>
      <c r="F658" s="239"/>
      <c r="G658" s="188" t="str">
        <f t="shared" si="44"/>
        <v/>
      </c>
      <c r="H658" s="236" t="str">
        <f t="shared" si="45"/>
        <v/>
      </c>
    </row>
    <row r="659" spans="1:8">
      <c r="A659" s="232">
        <f t="shared" si="42"/>
        <v>657</v>
      </c>
      <c r="B659" s="233">
        <v>45857</v>
      </c>
      <c r="C659" s="234">
        <v>187.651252</v>
      </c>
      <c r="D659" s="235">
        <v>200.02189858801364</v>
      </c>
      <c r="E659" s="234">
        <f t="shared" si="43"/>
        <v>187.651252</v>
      </c>
      <c r="F659" s="239"/>
      <c r="G659" s="188" t="str">
        <f t="shared" si="44"/>
        <v/>
      </c>
      <c r="H659" s="236" t="str">
        <f t="shared" si="45"/>
        <v/>
      </c>
    </row>
    <row r="660" spans="1:8">
      <c r="A660" s="232">
        <f t="shared" si="42"/>
        <v>658</v>
      </c>
      <c r="B660" s="233">
        <v>45858</v>
      </c>
      <c r="C660" s="234">
        <v>165.63003499999999</v>
      </c>
      <c r="D660" s="235">
        <v>200.02189858801364</v>
      </c>
      <c r="E660" s="234">
        <f t="shared" si="43"/>
        <v>165.63003499999999</v>
      </c>
      <c r="F660" s="239"/>
      <c r="G660" s="188" t="str">
        <f t="shared" si="44"/>
        <v/>
      </c>
      <c r="H660" s="236" t="str">
        <f t="shared" si="45"/>
        <v/>
      </c>
    </row>
    <row r="661" spans="1:8">
      <c r="A661" s="232">
        <f t="shared" si="42"/>
        <v>659</v>
      </c>
      <c r="B661" s="233">
        <v>45859</v>
      </c>
      <c r="C661" s="234">
        <v>233.70477299999999</v>
      </c>
      <c r="D661" s="235">
        <v>200.02189858801364</v>
      </c>
      <c r="E661" s="234">
        <f t="shared" si="43"/>
        <v>200.02189858801364</v>
      </c>
      <c r="F661" s="239"/>
      <c r="G661" s="188" t="str">
        <f t="shared" si="44"/>
        <v/>
      </c>
      <c r="H661" s="236" t="str">
        <f t="shared" si="45"/>
        <v/>
      </c>
    </row>
    <row r="662" spans="1:8">
      <c r="A662" s="232">
        <f t="shared" si="42"/>
        <v>660</v>
      </c>
      <c r="B662" s="233">
        <v>45860</v>
      </c>
      <c r="C662" s="234">
        <v>218.834282</v>
      </c>
      <c r="D662" s="235">
        <v>200.02189858801364</v>
      </c>
      <c r="E662" s="234">
        <f t="shared" si="43"/>
        <v>200.02189858801364</v>
      </c>
      <c r="F662" s="239"/>
      <c r="G662" s="188" t="str">
        <f t="shared" si="44"/>
        <v/>
      </c>
      <c r="H662" s="236" t="str">
        <f t="shared" si="45"/>
        <v/>
      </c>
    </row>
    <row r="663" spans="1:8">
      <c r="A663" s="232">
        <f t="shared" si="42"/>
        <v>661</v>
      </c>
      <c r="B663" s="233">
        <v>45861</v>
      </c>
      <c r="C663" s="234">
        <v>172.893992</v>
      </c>
      <c r="D663" s="235">
        <v>200.02189858801364</v>
      </c>
      <c r="E663" s="234">
        <f t="shared" si="43"/>
        <v>172.893992</v>
      </c>
      <c r="F663" s="239"/>
      <c r="G663" s="188" t="str">
        <f t="shared" si="44"/>
        <v/>
      </c>
      <c r="H663" s="236" t="str">
        <f t="shared" si="45"/>
        <v/>
      </c>
    </row>
    <row r="664" spans="1:8">
      <c r="A664" s="232">
        <f t="shared" si="42"/>
        <v>662</v>
      </c>
      <c r="B664" s="233">
        <v>45862</v>
      </c>
      <c r="C664" s="234">
        <v>179.531012</v>
      </c>
      <c r="D664" s="235">
        <v>200.02189858801364</v>
      </c>
      <c r="E664" s="234">
        <f t="shared" si="43"/>
        <v>179.531012</v>
      </c>
      <c r="F664" s="239"/>
      <c r="G664" s="188" t="str">
        <f t="shared" si="44"/>
        <v/>
      </c>
      <c r="H664" s="236" t="str">
        <f t="shared" si="45"/>
        <v/>
      </c>
    </row>
    <row r="665" spans="1:8">
      <c r="A665" s="232">
        <f t="shared" si="42"/>
        <v>663</v>
      </c>
      <c r="B665" s="233">
        <v>45863</v>
      </c>
      <c r="C665" s="234">
        <v>194.69191999999998</v>
      </c>
      <c r="D665" s="235">
        <v>200.02189858801364</v>
      </c>
      <c r="E665" s="234">
        <f t="shared" si="43"/>
        <v>194.69191999999998</v>
      </c>
      <c r="F665" s="239"/>
      <c r="G665" s="188" t="str">
        <f t="shared" si="44"/>
        <v/>
      </c>
      <c r="H665" s="236" t="str">
        <f t="shared" si="45"/>
        <v/>
      </c>
    </row>
    <row r="666" spans="1:8">
      <c r="A666" s="232">
        <f t="shared" si="42"/>
        <v>664</v>
      </c>
      <c r="B666" s="233">
        <v>45864</v>
      </c>
      <c r="C666" s="234">
        <v>198.72278900000001</v>
      </c>
      <c r="D666" s="235">
        <v>200.02189858801364</v>
      </c>
      <c r="E666" s="234">
        <f t="shared" si="43"/>
        <v>198.72278900000001</v>
      </c>
      <c r="F666" s="239"/>
      <c r="G666" s="188" t="str">
        <f t="shared" si="44"/>
        <v/>
      </c>
      <c r="H666" s="236" t="str">
        <f t="shared" si="45"/>
        <v/>
      </c>
    </row>
    <row r="667" spans="1:8">
      <c r="A667" s="232">
        <f t="shared" si="42"/>
        <v>665</v>
      </c>
      <c r="B667" s="233">
        <v>45865</v>
      </c>
      <c r="C667" s="234">
        <v>180.45922100000001</v>
      </c>
      <c r="D667" s="235">
        <v>200.02189858801364</v>
      </c>
      <c r="E667" s="234">
        <f t="shared" si="43"/>
        <v>180.45922100000001</v>
      </c>
      <c r="F667" s="239"/>
      <c r="G667" s="188" t="str">
        <f t="shared" si="44"/>
        <v/>
      </c>
      <c r="H667" s="236" t="str">
        <f t="shared" si="45"/>
        <v/>
      </c>
    </row>
    <row r="668" spans="1:8">
      <c r="A668" s="232">
        <f t="shared" si="42"/>
        <v>666</v>
      </c>
      <c r="B668" s="233">
        <v>45866</v>
      </c>
      <c r="C668" s="234">
        <v>197.223859</v>
      </c>
      <c r="D668" s="235">
        <v>200.02189858801364</v>
      </c>
      <c r="E668" s="234">
        <f t="shared" si="43"/>
        <v>197.223859</v>
      </c>
      <c r="F668" s="239"/>
      <c r="G668" s="188" t="str">
        <f t="shared" si="44"/>
        <v/>
      </c>
      <c r="H668" s="236" t="str">
        <f t="shared" si="45"/>
        <v/>
      </c>
    </row>
    <row r="669" spans="1:8">
      <c r="A669" s="232">
        <f t="shared" si="42"/>
        <v>667</v>
      </c>
      <c r="B669" s="233">
        <v>45867</v>
      </c>
      <c r="C669" s="234">
        <v>180.407545</v>
      </c>
      <c r="D669" s="235">
        <v>200.02189858801364</v>
      </c>
      <c r="E669" s="234">
        <f t="shared" si="43"/>
        <v>180.407545</v>
      </c>
      <c r="F669" s="239"/>
      <c r="G669" s="188" t="str">
        <f t="shared" si="44"/>
        <v/>
      </c>
      <c r="H669" s="236" t="str">
        <f t="shared" si="45"/>
        <v/>
      </c>
    </row>
    <row r="670" spans="1:8">
      <c r="A670" s="232">
        <f t="shared" si="42"/>
        <v>668</v>
      </c>
      <c r="B670" s="233">
        <v>45868</v>
      </c>
      <c r="C670" s="234">
        <v>197.93939800000001</v>
      </c>
      <c r="D670" s="235">
        <v>200.02189858801364</v>
      </c>
      <c r="E670" s="234">
        <f t="shared" si="43"/>
        <v>197.93939800000001</v>
      </c>
      <c r="F670" s="239"/>
      <c r="G670" s="188" t="str">
        <f t="shared" si="44"/>
        <v/>
      </c>
      <c r="H670" s="236" t="str">
        <f t="shared" si="45"/>
        <v/>
      </c>
    </row>
    <row r="671" spans="1:8">
      <c r="A671" s="232">
        <f t="shared" si="42"/>
        <v>669</v>
      </c>
      <c r="B671" s="233">
        <v>45869</v>
      </c>
      <c r="C671" s="234">
        <v>205.183224</v>
      </c>
      <c r="D671" s="235">
        <v>200.02189858801364</v>
      </c>
      <c r="E671" s="234">
        <f t="shared" si="43"/>
        <v>200.02189858801364</v>
      </c>
      <c r="F671" s="239"/>
      <c r="G671" s="188" t="str">
        <f t="shared" si="44"/>
        <v/>
      </c>
      <c r="H671" s="236" t="str">
        <f t="shared" si="45"/>
        <v/>
      </c>
    </row>
    <row r="672" spans="1:8">
      <c r="A672" s="232">
        <f t="shared" si="42"/>
        <v>670</v>
      </c>
      <c r="B672" s="233">
        <v>45870</v>
      </c>
      <c r="C672" s="234">
        <v>192.22907000000001</v>
      </c>
      <c r="D672" s="235">
        <v>185.40648522506032</v>
      </c>
      <c r="E672" s="234">
        <f t="shared" si="43"/>
        <v>185.40648522506032</v>
      </c>
      <c r="F672" s="239"/>
      <c r="G672" s="188" t="str">
        <f t="shared" si="44"/>
        <v/>
      </c>
      <c r="H672" s="236" t="str">
        <f t="shared" si="45"/>
        <v/>
      </c>
    </row>
    <row r="673" spans="1:8">
      <c r="A673" s="232">
        <f t="shared" si="42"/>
        <v>671</v>
      </c>
      <c r="B673" s="233">
        <v>45871</v>
      </c>
      <c r="C673" s="234">
        <v>192.07727400000002</v>
      </c>
      <c r="D673" s="235">
        <v>185.40648522506032</v>
      </c>
      <c r="E673" s="234">
        <f t="shared" si="43"/>
        <v>185.40648522506032</v>
      </c>
      <c r="F673" s="237"/>
      <c r="G673" s="188" t="str">
        <f t="shared" si="44"/>
        <v/>
      </c>
      <c r="H673" s="236" t="str">
        <f t="shared" si="45"/>
        <v/>
      </c>
    </row>
    <row r="674" spans="1:8">
      <c r="A674" s="232">
        <f t="shared" si="42"/>
        <v>672</v>
      </c>
      <c r="B674" s="233">
        <v>45872</v>
      </c>
      <c r="C674" s="234">
        <v>173.05847800000001</v>
      </c>
      <c r="D674" s="235">
        <v>185.40648522506032</v>
      </c>
      <c r="E674" s="234">
        <f t="shared" si="43"/>
        <v>173.05847800000001</v>
      </c>
      <c r="F674" s="237"/>
      <c r="G674" s="188" t="str">
        <f t="shared" si="44"/>
        <v/>
      </c>
      <c r="H674" s="236" t="str">
        <f t="shared" si="45"/>
        <v/>
      </c>
    </row>
    <row r="675" spans="1:8">
      <c r="A675" s="232">
        <f t="shared" si="42"/>
        <v>673</v>
      </c>
      <c r="B675" s="233">
        <v>45873</v>
      </c>
      <c r="C675" s="234">
        <v>215.648616</v>
      </c>
      <c r="D675" s="235">
        <v>185.40648522506032</v>
      </c>
      <c r="E675" s="234">
        <f t="shared" si="43"/>
        <v>185.40648522506032</v>
      </c>
      <c r="F675" s="239"/>
      <c r="G675" s="188" t="str">
        <f t="shared" si="44"/>
        <v/>
      </c>
      <c r="H675" s="236" t="str">
        <f t="shared" si="45"/>
        <v/>
      </c>
    </row>
    <row r="676" spans="1:8">
      <c r="A676" s="232">
        <f t="shared" si="42"/>
        <v>674</v>
      </c>
      <c r="B676" s="233">
        <v>45874</v>
      </c>
      <c r="C676" s="234">
        <v>197.88651099999998</v>
      </c>
      <c r="D676" s="235">
        <v>185.40648522506032</v>
      </c>
      <c r="E676" s="234">
        <f t="shared" si="43"/>
        <v>185.40648522506032</v>
      </c>
      <c r="F676" s="239"/>
      <c r="G676" s="188" t="str">
        <f t="shared" si="44"/>
        <v/>
      </c>
      <c r="H676" s="236" t="str">
        <f t="shared" si="45"/>
        <v/>
      </c>
    </row>
    <row r="677" spans="1:8">
      <c r="A677" s="232">
        <f t="shared" si="42"/>
        <v>675</v>
      </c>
      <c r="B677" s="233">
        <v>45875</v>
      </c>
      <c r="C677" s="234">
        <v>207.987641</v>
      </c>
      <c r="D677" s="235">
        <v>185.40648522506032</v>
      </c>
      <c r="E677" s="234">
        <f t="shared" si="43"/>
        <v>185.40648522506032</v>
      </c>
      <c r="F677" s="239"/>
      <c r="G677" s="188" t="str">
        <f t="shared" si="44"/>
        <v/>
      </c>
      <c r="H677" s="236" t="str">
        <f t="shared" si="45"/>
        <v/>
      </c>
    </row>
    <row r="678" spans="1:8">
      <c r="A678" s="232">
        <f t="shared" si="42"/>
        <v>676</v>
      </c>
      <c r="B678" s="233">
        <v>45876</v>
      </c>
      <c r="C678" s="234">
        <v>225.12551099999999</v>
      </c>
      <c r="D678" s="235">
        <v>185.40648522506032</v>
      </c>
      <c r="E678" s="234">
        <f t="shared" si="43"/>
        <v>185.40648522506032</v>
      </c>
      <c r="F678" s="239"/>
      <c r="G678" s="188" t="str">
        <f t="shared" si="44"/>
        <v/>
      </c>
      <c r="H678" s="236" t="str">
        <f t="shared" si="45"/>
        <v/>
      </c>
    </row>
    <row r="679" spans="1:8">
      <c r="A679" s="232">
        <f t="shared" si="42"/>
        <v>677</v>
      </c>
      <c r="B679" s="233">
        <v>45877</v>
      </c>
      <c r="C679" s="234">
        <v>206.276929</v>
      </c>
      <c r="D679" s="235">
        <v>185.40648522506032</v>
      </c>
      <c r="E679" s="234">
        <f t="shared" si="43"/>
        <v>185.40648522506032</v>
      </c>
      <c r="F679" s="239"/>
      <c r="G679" s="188" t="str">
        <f t="shared" si="44"/>
        <v/>
      </c>
      <c r="H679" s="236" t="str">
        <f t="shared" si="45"/>
        <v/>
      </c>
    </row>
    <row r="680" spans="1:8">
      <c r="A680" s="232">
        <f t="shared" si="42"/>
        <v>678</v>
      </c>
      <c r="B680" s="233">
        <v>45878</v>
      </c>
      <c r="C680" s="234">
        <v>202.83051999999998</v>
      </c>
      <c r="D680" s="235">
        <v>185.40648522506032</v>
      </c>
      <c r="E680" s="234">
        <f t="shared" si="43"/>
        <v>185.40648522506032</v>
      </c>
      <c r="F680" s="239"/>
      <c r="G680" s="188" t="str">
        <f t="shared" si="44"/>
        <v/>
      </c>
      <c r="H680" s="236" t="str">
        <f t="shared" si="45"/>
        <v/>
      </c>
    </row>
    <row r="681" spans="1:8">
      <c r="A681" s="232">
        <f t="shared" si="42"/>
        <v>679</v>
      </c>
      <c r="B681" s="233">
        <v>45879</v>
      </c>
      <c r="C681" s="234">
        <v>181.33185599999999</v>
      </c>
      <c r="D681" s="235">
        <v>185.40648522506032</v>
      </c>
      <c r="E681" s="234">
        <f t="shared" si="43"/>
        <v>181.33185599999999</v>
      </c>
      <c r="F681" s="239"/>
      <c r="G681" s="188" t="str">
        <f t="shared" si="44"/>
        <v/>
      </c>
      <c r="H681" s="236" t="str">
        <f t="shared" si="45"/>
        <v/>
      </c>
    </row>
    <row r="682" spans="1:8">
      <c r="A682" s="232">
        <f t="shared" si="42"/>
        <v>680</v>
      </c>
      <c r="B682" s="233">
        <v>45880</v>
      </c>
      <c r="C682" s="234">
        <v>217.44421499999999</v>
      </c>
      <c r="D682" s="235">
        <v>185.40648522506032</v>
      </c>
      <c r="E682" s="234">
        <f t="shared" si="43"/>
        <v>185.40648522506032</v>
      </c>
      <c r="F682" s="239"/>
      <c r="G682" s="188" t="str">
        <f t="shared" si="44"/>
        <v/>
      </c>
      <c r="H682" s="236" t="str">
        <f t="shared" si="45"/>
        <v/>
      </c>
    </row>
    <row r="683" spans="1:8">
      <c r="A683" s="232">
        <f t="shared" si="42"/>
        <v>681</v>
      </c>
      <c r="B683" s="233">
        <v>45881</v>
      </c>
      <c r="C683" s="234">
        <v>182.962986</v>
      </c>
      <c r="D683" s="235">
        <v>185.40648522506032</v>
      </c>
      <c r="E683" s="234">
        <f t="shared" si="43"/>
        <v>182.962986</v>
      </c>
      <c r="F683" s="239"/>
      <c r="G683" s="188" t="str">
        <f t="shared" si="44"/>
        <v/>
      </c>
      <c r="H683" s="236" t="str">
        <f t="shared" si="45"/>
        <v/>
      </c>
    </row>
    <row r="684" spans="1:8">
      <c r="A684" s="232">
        <f t="shared" si="42"/>
        <v>682</v>
      </c>
      <c r="B684" s="233">
        <v>45882</v>
      </c>
      <c r="C684" s="234">
        <v>175.88231400000001</v>
      </c>
      <c r="D684" s="235">
        <v>185.40648522506032</v>
      </c>
      <c r="E684" s="234">
        <f t="shared" si="43"/>
        <v>175.88231400000001</v>
      </c>
      <c r="F684" s="239"/>
      <c r="G684" s="188" t="str">
        <f t="shared" si="44"/>
        <v/>
      </c>
      <c r="H684" s="236" t="str">
        <f t="shared" si="45"/>
        <v/>
      </c>
    </row>
    <row r="685" spans="1:8">
      <c r="A685" s="232">
        <f t="shared" si="42"/>
        <v>683</v>
      </c>
      <c r="B685" s="233">
        <v>45883</v>
      </c>
      <c r="C685" s="234">
        <v>190.96251699999999</v>
      </c>
      <c r="D685" s="235">
        <v>185.40648522506032</v>
      </c>
      <c r="E685" s="234">
        <f t="shared" si="43"/>
        <v>185.40648522506032</v>
      </c>
      <c r="F685" s="239"/>
      <c r="G685" s="188" t="str">
        <f t="shared" si="44"/>
        <v/>
      </c>
      <c r="H685" s="236" t="str">
        <f t="shared" si="45"/>
        <v/>
      </c>
    </row>
    <row r="686" spans="1:8">
      <c r="A686" s="232">
        <f t="shared" si="42"/>
        <v>684</v>
      </c>
      <c r="B686" s="233">
        <v>45884</v>
      </c>
      <c r="C686" s="234">
        <v>208.204375</v>
      </c>
      <c r="D686" s="235">
        <v>185.40648522506032</v>
      </c>
      <c r="E686" s="234">
        <f t="shared" si="43"/>
        <v>185.40648522506032</v>
      </c>
      <c r="F686" s="239"/>
      <c r="G686" s="188" t="str">
        <f t="shared" si="44"/>
        <v>A</v>
      </c>
      <c r="H686" s="236" t="str">
        <f t="shared" si="45"/>
        <v>185,4</v>
      </c>
    </row>
    <row r="687" spans="1:8">
      <c r="A687" s="232">
        <f t="shared" si="42"/>
        <v>685</v>
      </c>
      <c r="B687" s="233">
        <v>45885</v>
      </c>
      <c r="C687" s="234">
        <v>197.827832</v>
      </c>
      <c r="D687" s="235">
        <v>185.40648522506032</v>
      </c>
      <c r="E687" s="234">
        <f t="shared" si="43"/>
        <v>185.40648522506032</v>
      </c>
      <c r="F687" s="239"/>
      <c r="G687" s="188" t="str">
        <f t="shared" si="44"/>
        <v/>
      </c>
      <c r="H687" s="236" t="str">
        <f t="shared" si="45"/>
        <v/>
      </c>
    </row>
    <row r="688" spans="1:8">
      <c r="A688" s="232">
        <f t="shared" si="42"/>
        <v>686</v>
      </c>
      <c r="B688" s="233">
        <v>45886</v>
      </c>
      <c r="C688" s="234">
        <v>179.20480600000002</v>
      </c>
      <c r="D688" s="235">
        <v>185.40648522506032</v>
      </c>
      <c r="E688" s="234">
        <f t="shared" si="43"/>
        <v>179.20480600000002</v>
      </c>
      <c r="F688" s="239"/>
      <c r="G688" s="188" t="str">
        <f t="shared" si="44"/>
        <v/>
      </c>
      <c r="H688" s="236" t="str">
        <f t="shared" si="45"/>
        <v/>
      </c>
    </row>
    <row r="689" spans="1:8">
      <c r="A689" s="232">
        <f t="shared" si="42"/>
        <v>687</v>
      </c>
      <c r="B689" s="233">
        <v>45887</v>
      </c>
      <c r="C689" s="234">
        <v>145.831773</v>
      </c>
      <c r="D689" s="235">
        <v>185.40648522506032</v>
      </c>
      <c r="E689" s="234">
        <f t="shared" si="43"/>
        <v>145.831773</v>
      </c>
      <c r="F689" s="239"/>
      <c r="G689" s="188" t="str">
        <f t="shared" si="44"/>
        <v/>
      </c>
      <c r="H689" s="236" t="str">
        <f t="shared" si="45"/>
        <v/>
      </c>
    </row>
    <row r="690" spans="1:8">
      <c r="A690" s="232">
        <f t="shared" si="42"/>
        <v>688</v>
      </c>
      <c r="B690" s="233">
        <v>45888</v>
      </c>
      <c r="C690" s="234">
        <v>183.48675900000001</v>
      </c>
      <c r="D690" s="235">
        <v>185.40648522506032</v>
      </c>
      <c r="E690" s="234">
        <f t="shared" si="43"/>
        <v>183.48675900000001</v>
      </c>
      <c r="F690" s="239"/>
      <c r="G690" s="188" t="str">
        <f t="shared" si="44"/>
        <v/>
      </c>
      <c r="H690" s="236" t="str">
        <f t="shared" si="45"/>
        <v/>
      </c>
    </row>
    <row r="691" spans="1:8">
      <c r="A691" s="232">
        <f t="shared" si="42"/>
        <v>689</v>
      </c>
      <c r="B691" s="233">
        <v>45889</v>
      </c>
      <c r="C691" s="234">
        <v>176.32563499999998</v>
      </c>
      <c r="D691" s="235">
        <v>185.40648522506032</v>
      </c>
      <c r="E691" s="234">
        <f t="shared" si="43"/>
        <v>176.32563499999998</v>
      </c>
      <c r="F691" s="239"/>
      <c r="G691" s="188" t="str">
        <f t="shared" si="44"/>
        <v/>
      </c>
      <c r="H691" s="236" t="str">
        <f t="shared" si="45"/>
        <v/>
      </c>
    </row>
    <row r="692" spans="1:8">
      <c r="A692" s="232">
        <f t="shared" si="42"/>
        <v>690</v>
      </c>
      <c r="B692" s="233">
        <v>45890</v>
      </c>
      <c r="C692" s="234">
        <v>195.13361499999999</v>
      </c>
      <c r="D692" s="235">
        <v>185.40648522506032</v>
      </c>
      <c r="E692" s="234">
        <f t="shared" si="43"/>
        <v>185.40648522506032</v>
      </c>
      <c r="F692" s="239"/>
      <c r="G692" s="188" t="str">
        <f t="shared" si="44"/>
        <v/>
      </c>
      <c r="H692" s="236" t="str">
        <f t="shared" si="45"/>
        <v/>
      </c>
    </row>
    <row r="693" spans="1:8">
      <c r="A693" s="232">
        <f t="shared" si="42"/>
        <v>691</v>
      </c>
      <c r="B693" s="233">
        <v>45891</v>
      </c>
      <c r="C693" s="234">
        <v>187.21181999999999</v>
      </c>
      <c r="D693" s="235">
        <v>185.40648522506032</v>
      </c>
      <c r="E693" s="234">
        <f t="shared" si="43"/>
        <v>185.40648522506032</v>
      </c>
      <c r="F693" s="239"/>
      <c r="G693" s="188" t="str">
        <f t="shared" si="44"/>
        <v/>
      </c>
      <c r="H693" s="236" t="str">
        <f t="shared" si="45"/>
        <v/>
      </c>
    </row>
    <row r="694" spans="1:8">
      <c r="A694" s="232">
        <f t="shared" si="42"/>
        <v>692</v>
      </c>
      <c r="B694" s="233">
        <v>45892</v>
      </c>
      <c r="C694" s="234">
        <v>196.00050399999998</v>
      </c>
      <c r="D694" s="235">
        <v>185.40648522506032</v>
      </c>
      <c r="E694" s="234">
        <f t="shared" si="43"/>
        <v>185.40648522506032</v>
      </c>
      <c r="F694" s="239"/>
      <c r="G694" s="188" t="str">
        <f t="shared" si="44"/>
        <v/>
      </c>
      <c r="H694" s="236" t="str">
        <f t="shared" si="45"/>
        <v/>
      </c>
    </row>
    <row r="695" spans="1:8">
      <c r="A695" s="232">
        <f t="shared" si="42"/>
        <v>693</v>
      </c>
      <c r="B695" s="233">
        <v>45893</v>
      </c>
      <c r="C695" s="234">
        <v>163.31229999999999</v>
      </c>
      <c r="D695" s="235">
        <v>185.40648522506032</v>
      </c>
      <c r="E695" s="234">
        <f t="shared" si="43"/>
        <v>163.31229999999999</v>
      </c>
      <c r="F695" s="239"/>
      <c r="G695" s="188" t="str">
        <f t="shared" si="44"/>
        <v/>
      </c>
      <c r="H695" s="236" t="str">
        <f t="shared" si="45"/>
        <v/>
      </c>
    </row>
    <row r="696" spans="1:8">
      <c r="A696" s="232">
        <f t="shared" si="42"/>
        <v>694</v>
      </c>
      <c r="B696" s="233">
        <v>45894</v>
      </c>
      <c r="C696" s="234">
        <v>167.09845500000003</v>
      </c>
      <c r="D696" s="235">
        <v>185.40648522506032</v>
      </c>
      <c r="E696" s="234">
        <f t="shared" si="43"/>
        <v>167.09845500000003</v>
      </c>
      <c r="F696" s="239"/>
      <c r="G696" s="188" t="str">
        <f t="shared" si="44"/>
        <v/>
      </c>
      <c r="H696" s="236" t="str">
        <f t="shared" si="45"/>
        <v/>
      </c>
    </row>
    <row r="697" spans="1:8">
      <c r="A697" s="232">
        <f t="shared" si="42"/>
        <v>695</v>
      </c>
      <c r="B697" s="233">
        <v>45895</v>
      </c>
      <c r="C697" s="234">
        <v>172.65194399999999</v>
      </c>
      <c r="D697" s="235">
        <v>185.40648522506032</v>
      </c>
      <c r="E697" s="234">
        <f t="shared" si="43"/>
        <v>172.65194399999999</v>
      </c>
      <c r="F697" s="239"/>
      <c r="G697" s="188" t="str">
        <f t="shared" si="44"/>
        <v/>
      </c>
      <c r="H697" s="236" t="str">
        <f t="shared" si="45"/>
        <v/>
      </c>
    </row>
    <row r="698" spans="1:8">
      <c r="A698" s="232">
        <f t="shared" si="42"/>
        <v>696</v>
      </c>
      <c r="B698" s="233">
        <v>45896</v>
      </c>
      <c r="C698" s="234">
        <v>175.675882</v>
      </c>
      <c r="D698" s="235">
        <v>185.40648522506032</v>
      </c>
      <c r="E698" s="234">
        <f t="shared" si="43"/>
        <v>175.675882</v>
      </c>
      <c r="F698" s="239"/>
      <c r="G698" s="188" t="str">
        <f t="shared" si="44"/>
        <v/>
      </c>
      <c r="H698" s="236" t="str">
        <f t="shared" si="45"/>
        <v/>
      </c>
    </row>
    <row r="699" spans="1:8">
      <c r="A699" s="232">
        <f t="shared" si="42"/>
        <v>697</v>
      </c>
      <c r="B699" s="233">
        <v>45897</v>
      </c>
      <c r="C699" s="234">
        <v>170.85877099999999</v>
      </c>
      <c r="D699" s="235">
        <v>185.40648522506032</v>
      </c>
      <c r="E699" s="234">
        <f t="shared" si="43"/>
        <v>170.85877099999999</v>
      </c>
      <c r="F699" s="239"/>
      <c r="G699" s="188" t="str">
        <f t="shared" si="44"/>
        <v/>
      </c>
      <c r="H699" s="236" t="str">
        <f t="shared" si="45"/>
        <v/>
      </c>
    </row>
    <row r="700" spans="1:8">
      <c r="A700" s="232">
        <f t="shared" si="42"/>
        <v>698</v>
      </c>
      <c r="B700" s="233">
        <v>45898</v>
      </c>
      <c r="C700" s="234">
        <v>163.48676800000001</v>
      </c>
      <c r="D700" s="235">
        <v>185.40648522506032</v>
      </c>
      <c r="E700" s="234">
        <f t="shared" si="43"/>
        <v>163.48676800000001</v>
      </c>
      <c r="F700" s="239"/>
      <c r="G700" s="188" t="str">
        <f t="shared" si="44"/>
        <v/>
      </c>
      <c r="H700" s="236" t="str">
        <f t="shared" si="45"/>
        <v/>
      </c>
    </row>
    <row r="701" spans="1:8">
      <c r="A701" s="232">
        <f t="shared" si="42"/>
        <v>699</v>
      </c>
      <c r="B701" s="233">
        <v>45899</v>
      </c>
      <c r="C701" s="234">
        <v>184.79747599999999</v>
      </c>
      <c r="D701" s="235">
        <v>185.40648522506032</v>
      </c>
      <c r="E701" s="234">
        <f t="shared" si="43"/>
        <v>184.79747599999999</v>
      </c>
      <c r="F701" s="237"/>
      <c r="G701" s="188" t="str">
        <f t="shared" si="44"/>
        <v/>
      </c>
      <c r="H701" s="236" t="str">
        <f t="shared" si="45"/>
        <v/>
      </c>
    </row>
    <row r="702" spans="1:8">
      <c r="A702" s="232">
        <f t="shared" si="42"/>
        <v>700</v>
      </c>
      <c r="B702" s="233">
        <v>45900</v>
      </c>
      <c r="C702" s="234">
        <v>137.86453700000001</v>
      </c>
      <c r="D702" s="235">
        <v>185.40648522506032</v>
      </c>
      <c r="E702" s="234">
        <f t="shared" si="43"/>
        <v>137.86453700000001</v>
      </c>
      <c r="F702" s="237"/>
      <c r="G702" s="188" t="str">
        <f t="shared" si="44"/>
        <v/>
      </c>
      <c r="H702" s="236" t="str">
        <f t="shared" si="45"/>
        <v/>
      </c>
    </row>
    <row r="703" spans="1:8">
      <c r="A703" s="232">
        <f t="shared" si="42"/>
        <v>701</v>
      </c>
      <c r="B703" s="233">
        <v>45901</v>
      </c>
      <c r="C703" s="234">
        <v>181.07133000000002</v>
      </c>
      <c r="D703" s="235">
        <v>157.57488269760745</v>
      </c>
      <c r="E703" s="234">
        <f t="shared" si="43"/>
        <v>157.57488269760745</v>
      </c>
      <c r="F703" s="239"/>
      <c r="G703" s="188" t="str">
        <f t="shared" si="44"/>
        <v/>
      </c>
      <c r="H703" s="236" t="str">
        <f t="shared" si="45"/>
        <v/>
      </c>
    </row>
    <row r="704" spans="1:8">
      <c r="A704" s="232">
        <f t="shared" si="42"/>
        <v>702</v>
      </c>
      <c r="B704" s="233">
        <v>45902</v>
      </c>
      <c r="C704" s="234">
        <v>176.23230100000001</v>
      </c>
      <c r="D704" s="235">
        <v>157.57488269760745</v>
      </c>
      <c r="E704" s="234">
        <f t="shared" si="43"/>
        <v>157.57488269760745</v>
      </c>
      <c r="F704" s="239"/>
      <c r="G704" s="188" t="str">
        <f t="shared" si="44"/>
        <v/>
      </c>
      <c r="H704" s="236" t="str">
        <f t="shared" si="45"/>
        <v/>
      </c>
    </row>
    <row r="705" spans="1:8">
      <c r="A705" s="232">
        <f t="shared" si="42"/>
        <v>703</v>
      </c>
      <c r="B705" s="233">
        <v>45903</v>
      </c>
      <c r="C705" s="234">
        <v>184.61106099999998</v>
      </c>
      <c r="D705" s="235">
        <v>157.57488269760745</v>
      </c>
      <c r="E705" s="234">
        <f t="shared" si="43"/>
        <v>157.57488269760745</v>
      </c>
      <c r="F705" s="239"/>
      <c r="G705" s="188" t="str">
        <f t="shared" si="44"/>
        <v/>
      </c>
      <c r="H705" s="236" t="str">
        <f t="shared" si="45"/>
        <v/>
      </c>
    </row>
    <row r="706" spans="1:8">
      <c r="A706" s="232">
        <f t="shared" si="42"/>
        <v>704</v>
      </c>
      <c r="B706" s="233">
        <v>45904</v>
      </c>
      <c r="C706" s="234">
        <v>194.26434899999998</v>
      </c>
      <c r="D706" s="235">
        <v>157.57488269760745</v>
      </c>
      <c r="E706" s="234">
        <f t="shared" si="43"/>
        <v>157.57488269760745</v>
      </c>
      <c r="F706" s="239"/>
      <c r="G706" s="188" t="str">
        <f t="shared" si="44"/>
        <v/>
      </c>
      <c r="H706" s="236" t="str">
        <f t="shared" si="45"/>
        <v/>
      </c>
    </row>
    <row r="707" spans="1:8">
      <c r="A707" s="232">
        <f t="shared" si="42"/>
        <v>705</v>
      </c>
      <c r="B707" s="233">
        <v>45905</v>
      </c>
      <c r="C707" s="234">
        <v>181.64224299999998</v>
      </c>
      <c r="D707" s="235">
        <v>157.57488269760745</v>
      </c>
      <c r="E707" s="234">
        <f t="shared" si="43"/>
        <v>157.57488269760745</v>
      </c>
      <c r="F707" s="239"/>
      <c r="G707" s="188" t="str">
        <f t="shared" si="44"/>
        <v/>
      </c>
      <c r="H707" s="236" t="str">
        <f t="shared" si="45"/>
        <v/>
      </c>
    </row>
    <row r="708" spans="1:8">
      <c r="A708" s="232">
        <f t="shared" ref="A708:A763" si="46">+A707+1</f>
        <v>706</v>
      </c>
      <c r="B708" s="233">
        <v>45906</v>
      </c>
      <c r="C708" s="234">
        <v>146.36757900000001</v>
      </c>
      <c r="D708" s="235">
        <v>157.57488269760745</v>
      </c>
      <c r="E708" s="234">
        <f t="shared" ref="E708:E760" si="47">IF(C708&gt;D708,D708,C708)</f>
        <v>146.36757900000001</v>
      </c>
      <c r="F708" s="239"/>
      <c r="G708" s="188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36" t="str">
        <f t="shared" ref="H708:H745" si="49">IF(DAY($B708)=15,TEXT(D708,"#,0"),"")</f>
        <v/>
      </c>
    </row>
    <row r="709" spans="1:8">
      <c r="A709" s="232">
        <f t="shared" si="46"/>
        <v>707</v>
      </c>
      <c r="B709" s="233">
        <v>45907</v>
      </c>
      <c r="C709" s="234">
        <v>118.2949</v>
      </c>
      <c r="D709" s="235">
        <v>157.57488269760745</v>
      </c>
      <c r="E709" s="234">
        <f t="shared" si="47"/>
        <v>118.2949</v>
      </c>
      <c r="F709" s="239"/>
      <c r="G709" s="188" t="str">
        <f t="shared" si="48"/>
        <v/>
      </c>
      <c r="H709" s="236" t="str">
        <f t="shared" si="49"/>
        <v/>
      </c>
    </row>
    <row r="710" spans="1:8">
      <c r="A710" s="232">
        <f t="shared" si="46"/>
        <v>708</v>
      </c>
      <c r="B710" s="233">
        <v>45908</v>
      </c>
      <c r="C710" s="234">
        <v>168.45342599999998</v>
      </c>
      <c r="D710" s="235">
        <v>157.57488269760745</v>
      </c>
      <c r="E710" s="234">
        <f t="shared" si="47"/>
        <v>157.57488269760745</v>
      </c>
      <c r="F710" s="239"/>
      <c r="G710" s="188" t="str">
        <f t="shared" si="48"/>
        <v/>
      </c>
      <c r="H710" s="236" t="str">
        <f t="shared" si="49"/>
        <v/>
      </c>
    </row>
    <row r="711" spans="1:8">
      <c r="A711" s="232">
        <f t="shared" si="46"/>
        <v>709</v>
      </c>
      <c r="B711" s="233">
        <v>45909</v>
      </c>
      <c r="C711" s="234">
        <v>178.16545300000001</v>
      </c>
      <c r="D711" s="235">
        <v>157.57488269760745</v>
      </c>
      <c r="E711" s="234">
        <f t="shared" si="47"/>
        <v>157.57488269760745</v>
      </c>
      <c r="F711" s="239"/>
      <c r="G711" s="188" t="str">
        <f t="shared" si="48"/>
        <v/>
      </c>
      <c r="H711" s="236" t="str">
        <f t="shared" si="49"/>
        <v/>
      </c>
    </row>
    <row r="712" spans="1:8">
      <c r="A712" s="232">
        <f t="shared" si="46"/>
        <v>710</v>
      </c>
      <c r="B712" s="233">
        <v>45910</v>
      </c>
      <c r="C712" s="234">
        <v>148.94729199999998</v>
      </c>
      <c r="D712" s="235">
        <v>157.57488269760745</v>
      </c>
      <c r="E712" s="234">
        <f t="shared" si="47"/>
        <v>148.94729199999998</v>
      </c>
      <c r="F712" s="239"/>
      <c r="G712" s="188" t="str">
        <f t="shared" si="48"/>
        <v/>
      </c>
      <c r="H712" s="236" t="str">
        <f t="shared" si="49"/>
        <v/>
      </c>
    </row>
    <row r="713" spans="1:8">
      <c r="A713" s="232">
        <f t="shared" si="46"/>
        <v>711</v>
      </c>
      <c r="B713" s="233">
        <v>45911</v>
      </c>
      <c r="C713" s="234">
        <v>178.544296</v>
      </c>
      <c r="D713" s="235">
        <v>157.57488269760745</v>
      </c>
      <c r="E713" s="234">
        <f t="shared" si="47"/>
        <v>157.57488269760745</v>
      </c>
      <c r="F713" s="239"/>
      <c r="G713" s="188" t="str">
        <f t="shared" si="48"/>
        <v/>
      </c>
      <c r="H713" s="236" t="str">
        <f t="shared" si="49"/>
        <v/>
      </c>
    </row>
    <row r="714" spans="1:8">
      <c r="A714" s="232">
        <f t="shared" si="46"/>
        <v>712</v>
      </c>
      <c r="B714" s="233">
        <v>45912</v>
      </c>
      <c r="C714" s="234">
        <v>191.78374700000001</v>
      </c>
      <c r="D714" s="235">
        <v>157.57488269760745</v>
      </c>
      <c r="E714" s="234">
        <f t="shared" si="47"/>
        <v>157.57488269760745</v>
      </c>
      <c r="F714" s="239"/>
      <c r="G714" s="188" t="str">
        <f t="shared" si="48"/>
        <v/>
      </c>
      <c r="H714" s="236" t="str">
        <f t="shared" si="49"/>
        <v/>
      </c>
    </row>
    <row r="715" spans="1:8">
      <c r="A715" s="232">
        <f t="shared" si="46"/>
        <v>713</v>
      </c>
      <c r="B715" s="233">
        <v>45913</v>
      </c>
      <c r="C715" s="234">
        <v>167.32562900000002</v>
      </c>
      <c r="D715" s="235">
        <v>157.57488269760745</v>
      </c>
      <c r="E715" s="234">
        <f t="shared" si="47"/>
        <v>157.57488269760745</v>
      </c>
      <c r="F715" s="239"/>
      <c r="G715" s="188" t="str">
        <f t="shared" si="48"/>
        <v/>
      </c>
      <c r="H715" s="236" t="str">
        <f t="shared" si="49"/>
        <v/>
      </c>
    </row>
    <row r="716" spans="1:8">
      <c r="A716" s="232">
        <f t="shared" si="46"/>
        <v>714</v>
      </c>
      <c r="B716" s="233">
        <v>45914</v>
      </c>
      <c r="C716" s="234">
        <v>177.577136</v>
      </c>
      <c r="D716" s="235">
        <v>157.57488269760745</v>
      </c>
      <c r="E716" s="234">
        <f t="shared" si="47"/>
        <v>157.57488269760745</v>
      </c>
      <c r="F716" s="239"/>
      <c r="G716" s="188" t="str">
        <f t="shared" si="48"/>
        <v/>
      </c>
      <c r="H716" s="236" t="str">
        <f t="shared" si="49"/>
        <v/>
      </c>
    </row>
    <row r="717" spans="1:8">
      <c r="A717" s="232">
        <f t="shared" si="46"/>
        <v>715</v>
      </c>
      <c r="B717" s="233">
        <v>45915</v>
      </c>
      <c r="C717" s="234">
        <v>201.449513</v>
      </c>
      <c r="D717" s="235">
        <v>157.57488269760745</v>
      </c>
      <c r="E717" s="234">
        <f t="shared" si="47"/>
        <v>157.57488269760745</v>
      </c>
      <c r="F717" s="239"/>
      <c r="G717" s="188" t="str">
        <f t="shared" si="48"/>
        <v>S</v>
      </c>
      <c r="H717" s="236" t="str">
        <f t="shared" si="49"/>
        <v>157,6</v>
      </c>
    </row>
    <row r="718" spans="1:8">
      <c r="A718" s="232">
        <f t="shared" si="46"/>
        <v>716</v>
      </c>
      <c r="B718" s="233">
        <v>45916</v>
      </c>
      <c r="C718" s="234">
        <v>199.70142800000002</v>
      </c>
      <c r="D718" s="235">
        <v>157.57488269760745</v>
      </c>
      <c r="E718" s="234">
        <f t="shared" si="47"/>
        <v>157.57488269760745</v>
      </c>
      <c r="F718" s="239"/>
      <c r="G718" s="188" t="str">
        <f t="shared" si="48"/>
        <v/>
      </c>
      <c r="H718" s="236" t="str">
        <f t="shared" si="49"/>
        <v/>
      </c>
    </row>
    <row r="719" spans="1:8">
      <c r="A719" s="232">
        <f t="shared" si="46"/>
        <v>717</v>
      </c>
      <c r="B719" s="233">
        <v>45917</v>
      </c>
      <c r="C719" s="234">
        <v>198.30129300000002</v>
      </c>
      <c r="D719" s="235">
        <v>157.57488269760745</v>
      </c>
      <c r="E719" s="234">
        <f t="shared" si="47"/>
        <v>157.57488269760745</v>
      </c>
      <c r="F719" s="239"/>
      <c r="G719" s="188" t="str">
        <f t="shared" si="48"/>
        <v/>
      </c>
      <c r="H719" s="236" t="str">
        <f t="shared" si="49"/>
        <v/>
      </c>
    </row>
    <row r="720" spans="1:8">
      <c r="A720" s="232">
        <f t="shared" si="46"/>
        <v>718</v>
      </c>
      <c r="B720" s="233">
        <v>45918</v>
      </c>
      <c r="C720" s="234">
        <v>180.42634700000002</v>
      </c>
      <c r="D720" s="235">
        <v>157.57488269760745</v>
      </c>
      <c r="E720" s="234">
        <f t="shared" si="47"/>
        <v>157.57488269760745</v>
      </c>
      <c r="F720" s="239"/>
      <c r="G720" s="188" t="str">
        <f t="shared" si="48"/>
        <v/>
      </c>
      <c r="H720" s="236" t="str">
        <f t="shared" si="49"/>
        <v/>
      </c>
    </row>
    <row r="721" spans="1:8">
      <c r="A721" s="232">
        <f t="shared" si="46"/>
        <v>719</v>
      </c>
      <c r="B721" s="233">
        <v>45919</v>
      </c>
      <c r="C721" s="234">
        <v>144.19576800000002</v>
      </c>
      <c r="D721" s="235">
        <v>157.57488269760745</v>
      </c>
      <c r="E721" s="234">
        <f t="shared" si="47"/>
        <v>144.19576800000002</v>
      </c>
      <c r="F721" s="239"/>
      <c r="G721" s="188" t="str">
        <f t="shared" si="48"/>
        <v/>
      </c>
      <c r="H721" s="236" t="str">
        <f t="shared" si="49"/>
        <v/>
      </c>
    </row>
    <row r="722" spans="1:8">
      <c r="A722" s="232">
        <f t="shared" si="46"/>
        <v>720</v>
      </c>
      <c r="B722" s="233">
        <v>45920</v>
      </c>
      <c r="C722" s="234">
        <v>157.06750399999999</v>
      </c>
      <c r="D722" s="235">
        <v>157.57488269760745</v>
      </c>
      <c r="E722" s="234">
        <f t="shared" si="47"/>
        <v>157.06750399999999</v>
      </c>
      <c r="F722" s="239"/>
      <c r="G722" s="188" t="str">
        <f t="shared" si="48"/>
        <v/>
      </c>
      <c r="H722" s="236" t="str">
        <f t="shared" si="49"/>
        <v/>
      </c>
    </row>
    <row r="723" spans="1:8">
      <c r="A723" s="232">
        <f t="shared" si="46"/>
        <v>721</v>
      </c>
      <c r="B723" s="233">
        <v>45921</v>
      </c>
      <c r="C723" s="234">
        <v>128.74927700000001</v>
      </c>
      <c r="D723" s="235">
        <v>157.57488269760745</v>
      </c>
      <c r="E723" s="234">
        <f t="shared" si="47"/>
        <v>128.74927700000001</v>
      </c>
      <c r="F723" s="239"/>
      <c r="G723" s="188" t="str">
        <f t="shared" si="48"/>
        <v/>
      </c>
      <c r="H723" s="236" t="str">
        <f t="shared" si="49"/>
        <v/>
      </c>
    </row>
    <row r="724" spans="1:8">
      <c r="A724" s="232">
        <f t="shared" si="46"/>
        <v>722</v>
      </c>
      <c r="B724" s="233">
        <v>45922</v>
      </c>
      <c r="C724" s="234">
        <v>171.03099399999999</v>
      </c>
      <c r="D724" s="235">
        <v>157.57488269760745</v>
      </c>
      <c r="E724" s="234">
        <f t="shared" si="47"/>
        <v>157.57488269760745</v>
      </c>
      <c r="F724" s="239"/>
      <c r="G724" s="188" t="str">
        <f t="shared" si="48"/>
        <v/>
      </c>
      <c r="H724" s="236" t="str">
        <f t="shared" si="49"/>
        <v/>
      </c>
    </row>
    <row r="725" spans="1:8">
      <c r="A725" s="232">
        <f t="shared" si="46"/>
        <v>723</v>
      </c>
      <c r="B725" s="233">
        <v>45923</v>
      </c>
      <c r="C725" s="234">
        <v>163.52969000000002</v>
      </c>
      <c r="D725" s="235">
        <v>157.57488269760745</v>
      </c>
      <c r="E725" s="234">
        <f t="shared" si="47"/>
        <v>157.57488269760745</v>
      </c>
      <c r="F725" s="239"/>
      <c r="G725" s="188" t="str">
        <f t="shared" si="48"/>
        <v/>
      </c>
      <c r="H725" s="236" t="str">
        <f t="shared" si="49"/>
        <v/>
      </c>
    </row>
    <row r="726" spans="1:8">
      <c r="A726" s="232">
        <f t="shared" si="46"/>
        <v>724</v>
      </c>
      <c r="B726" s="233">
        <v>45924</v>
      </c>
      <c r="C726" s="234">
        <v>165.47761800000001</v>
      </c>
      <c r="D726" s="235">
        <v>157.57488269760745</v>
      </c>
      <c r="E726" s="234">
        <f t="shared" si="47"/>
        <v>157.57488269760745</v>
      </c>
      <c r="F726" s="239"/>
      <c r="G726" s="188" t="str">
        <f t="shared" si="48"/>
        <v/>
      </c>
      <c r="H726" s="236" t="str">
        <f t="shared" si="49"/>
        <v/>
      </c>
    </row>
    <row r="727" spans="1:8">
      <c r="A727" s="232">
        <f t="shared" si="46"/>
        <v>725</v>
      </c>
      <c r="B727" s="233">
        <v>45925</v>
      </c>
      <c r="C727" s="234">
        <v>179.47432900000001</v>
      </c>
      <c r="D727" s="235">
        <v>157.57488269760745</v>
      </c>
      <c r="E727" s="234">
        <f t="shared" si="47"/>
        <v>157.57488269760745</v>
      </c>
      <c r="F727" s="239"/>
      <c r="G727" s="188" t="str">
        <f t="shared" si="48"/>
        <v/>
      </c>
      <c r="H727" s="236" t="str">
        <f t="shared" si="49"/>
        <v/>
      </c>
    </row>
    <row r="728" spans="1:8">
      <c r="A728" s="232">
        <f t="shared" si="46"/>
        <v>726</v>
      </c>
      <c r="B728" s="233">
        <v>45926</v>
      </c>
      <c r="C728" s="234">
        <v>185.371284</v>
      </c>
      <c r="D728" s="235">
        <v>157.57488269760745</v>
      </c>
      <c r="E728" s="234">
        <f t="shared" si="47"/>
        <v>157.57488269760745</v>
      </c>
      <c r="F728" s="239"/>
      <c r="G728" s="188" t="str">
        <f t="shared" si="48"/>
        <v/>
      </c>
      <c r="H728" s="236" t="str">
        <f t="shared" si="49"/>
        <v/>
      </c>
    </row>
    <row r="729" spans="1:8">
      <c r="A729" s="232">
        <f t="shared" si="46"/>
        <v>727</v>
      </c>
      <c r="B729" s="233">
        <v>45927</v>
      </c>
      <c r="C729" s="234">
        <v>139.77950600000003</v>
      </c>
      <c r="D729" s="235">
        <v>157.57488269760745</v>
      </c>
      <c r="E729" s="234">
        <f t="shared" si="47"/>
        <v>139.77950600000003</v>
      </c>
      <c r="F729" s="239"/>
      <c r="G729" s="188" t="str">
        <f t="shared" si="48"/>
        <v/>
      </c>
      <c r="H729" s="236" t="str">
        <f t="shared" si="49"/>
        <v/>
      </c>
    </row>
    <row r="730" spans="1:8">
      <c r="A730" s="232">
        <f t="shared" si="46"/>
        <v>728</v>
      </c>
      <c r="B730" s="233">
        <v>45928</v>
      </c>
      <c r="C730" s="234">
        <v>90.597994999999997</v>
      </c>
      <c r="D730" s="235">
        <v>157.57488269760745</v>
      </c>
      <c r="E730" s="234">
        <f t="shared" si="47"/>
        <v>90.597994999999997</v>
      </c>
      <c r="F730" s="239"/>
      <c r="G730" s="188" t="str">
        <f t="shared" si="48"/>
        <v/>
      </c>
      <c r="H730" s="236" t="str">
        <f t="shared" si="49"/>
        <v/>
      </c>
    </row>
    <row r="731" spans="1:8">
      <c r="A731" s="232">
        <f t="shared" si="46"/>
        <v>729</v>
      </c>
      <c r="B731" s="233">
        <v>45929</v>
      </c>
      <c r="C731" s="234">
        <v>113.38989199999999</v>
      </c>
      <c r="D731" s="235">
        <v>157.57488269760745</v>
      </c>
      <c r="E731" s="234">
        <f t="shared" si="47"/>
        <v>113.38989199999999</v>
      </c>
      <c r="F731" s="239"/>
      <c r="G731" s="188" t="str">
        <f t="shared" si="48"/>
        <v/>
      </c>
      <c r="H731" s="236" t="str">
        <f t="shared" si="49"/>
        <v/>
      </c>
    </row>
    <row r="732" spans="1:8">
      <c r="A732" s="232">
        <f t="shared" si="46"/>
        <v>730</v>
      </c>
      <c r="B732" s="233">
        <v>45930</v>
      </c>
      <c r="C732" s="234">
        <v>148.46694199999999</v>
      </c>
      <c r="D732" s="235">
        <v>157.57488269760745</v>
      </c>
      <c r="E732" s="234">
        <f t="shared" si="47"/>
        <v>148.46694199999999</v>
      </c>
      <c r="F732" s="237"/>
      <c r="G732" s="188" t="str">
        <f t="shared" si="48"/>
        <v/>
      </c>
      <c r="H732" s="236" t="str">
        <f t="shared" si="49"/>
        <v/>
      </c>
    </row>
    <row r="733" spans="1:8">
      <c r="A733" s="232">
        <f t="shared" si="46"/>
        <v>731</v>
      </c>
      <c r="B733" s="233">
        <v>45931</v>
      </c>
      <c r="C733" s="234">
        <v>186.21896799999999</v>
      </c>
      <c r="D733" s="235">
        <v>120.40105743218382</v>
      </c>
      <c r="E733" s="234">
        <f t="shared" si="47"/>
        <v>120.40105743218382</v>
      </c>
      <c r="F733" s="237"/>
      <c r="G733" s="188" t="str">
        <f t="shared" si="48"/>
        <v/>
      </c>
      <c r="H733" s="236" t="str">
        <f t="shared" si="49"/>
        <v/>
      </c>
    </row>
    <row r="734" spans="1:8">
      <c r="A734" s="232">
        <f t="shared" si="46"/>
        <v>732</v>
      </c>
      <c r="B734" s="233">
        <v>45932</v>
      </c>
      <c r="C734" s="234">
        <v>185.50072699999998</v>
      </c>
      <c r="D734" s="235">
        <v>120.40105743218382</v>
      </c>
      <c r="E734" s="234">
        <f t="shared" si="47"/>
        <v>120.40105743218382</v>
      </c>
      <c r="F734" s="239"/>
      <c r="G734" s="188" t="str">
        <f t="shared" si="48"/>
        <v/>
      </c>
      <c r="H734" s="236" t="str">
        <f t="shared" si="49"/>
        <v/>
      </c>
    </row>
    <row r="735" spans="1:8">
      <c r="A735" s="232">
        <f t="shared" si="46"/>
        <v>733</v>
      </c>
      <c r="B735" s="233">
        <v>45933</v>
      </c>
      <c r="C735" s="234">
        <v>168.69517299999998</v>
      </c>
      <c r="D735" s="235">
        <v>120.40105743218382</v>
      </c>
      <c r="E735" s="234">
        <f t="shared" si="47"/>
        <v>120.40105743218382</v>
      </c>
      <c r="F735" s="239"/>
      <c r="G735" s="188" t="str">
        <f t="shared" si="48"/>
        <v/>
      </c>
      <c r="H735" s="236" t="str">
        <f t="shared" si="49"/>
        <v/>
      </c>
    </row>
    <row r="736" spans="1:8">
      <c r="A736" s="232">
        <f t="shared" si="46"/>
        <v>734</v>
      </c>
      <c r="B736" s="233">
        <v>45934</v>
      </c>
      <c r="C736" s="234">
        <v>156.50782700000002</v>
      </c>
      <c r="D736" s="235">
        <v>120.40105743218382</v>
      </c>
      <c r="E736" s="234">
        <f t="shared" si="47"/>
        <v>120.40105743218382</v>
      </c>
      <c r="F736" s="239"/>
      <c r="G736" s="188" t="str">
        <f t="shared" si="48"/>
        <v/>
      </c>
      <c r="H736" s="236" t="str">
        <f t="shared" si="49"/>
        <v/>
      </c>
    </row>
    <row r="737" spans="1:8">
      <c r="A737" s="232">
        <f t="shared" si="46"/>
        <v>735</v>
      </c>
      <c r="B737" s="233">
        <v>45935</v>
      </c>
      <c r="C737" s="234">
        <v>124.87284999999999</v>
      </c>
      <c r="D737" s="235">
        <v>120.40105743218382</v>
      </c>
      <c r="E737" s="234">
        <f t="shared" si="47"/>
        <v>120.40105743218382</v>
      </c>
      <c r="F737" s="239"/>
      <c r="G737" s="188" t="str">
        <f t="shared" si="48"/>
        <v/>
      </c>
      <c r="H737" s="236" t="str">
        <f t="shared" si="49"/>
        <v/>
      </c>
    </row>
    <row r="738" spans="1:8">
      <c r="A738" s="232">
        <f t="shared" si="46"/>
        <v>736</v>
      </c>
      <c r="B738" s="233">
        <v>45936</v>
      </c>
      <c r="C738" s="234">
        <v>157.29329400000003</v>
      </c>
      <c r="D738" s="235">
        <v>120.40105743218382</v>
      </c>
      <c r="E738" s="234">
        <f t="shared" si="47"/>
        <v>120.40105743218382</v>
      </c>
      <c r="F738" s="239"/>
      <c r="G738" s="188" t="str">
        <f t="shared" si="48"/>
        <v/>
      </c>
      <c r="H738" s="236" t="str">
        <f t="shared" si="49"/>
        <v/>
      </c>
    </row>
    <row r="739" spans="1:8">
      <c r="A739" s="232">
        <f t="shared" si="46"/>
        <v>737</v>
      </c>
      <c r="B739" s="233">
        <v>45937</v>
      </c>
      <c r="C739" s="234">
        <v>168.260953</v>
      </c>
      <c r="D739" s="235">
        <v>120.40105743218382</v>
      </c>
      <c r="E739" s="234">
        <f t="shared" si="47"/>
        <v>120.40105743218382</v>
      </c>
      <c r="F739" s="239"/>
      <c r="G739" s="188" t="str">
        <f t="shared" si="48"/>
        <v/>
      </c>
      <c r="H739" s="236" t="str">
        <f t="shared" si="49"/>
        <v/>
      </c>
    </row>
    <row r="740" spans="1:8">
      <c r="A740" s="232">
        <f t="shared" si="46"/>
        <v>738</v>
      </c>
      <c r="B740" s="233">
        <v>45938</v>
      </c>
      <c r="C740" s="234">
        <v>146.71586000000002</v>
      </c>
      <c r="D740" s="235">
        <v>120.40105743218382</v>
      </c>
      <c r="E740" s="234">
        <f t="shared" si="47"/>
        <v>120.40105743218382</v>
      </c>
      <c r="F740" s="239"/>
      <c r="G740" s="188" t="str">
        <f t="shared" si="48"/>
        <v/>
      </c>
      <c r="H740" s="236" t="str">
        <f t="shared" si="49"/>
        <v/>
      </c>
    </row>
    <row r="741" spans="1:8">
      <c r="A741" s="232">
        <f t="shared" si="46"/>
        <v>739</v>
      </c>
      <c r="B741" s="233">
        <v>45939</v>
      </c>
      <c r="C741" s="234">
        <v>136.57243599999998</v>
      </c>
      <c r="D741" s="235">
        <v>120.40105743218382</v>
      </c>
      <c r="E741" s="234">
        <f t="shared" si="47"/>
        <v>120.40105743218382</v>
      </c>
      <c r="F741" s="239"/>
      <c r="G741" s="188" t="str">
        <f t="shared" si="48"/>
        <v/>
      </c>
      <c r="H741" s="236" t="str">
        <f t="shared" si="49"/>
        <v/>
      </c>
    </row>
    <row r="742" spans="1:8">
      <c r="A742" s="232">
        <f t="shared" si="46"/>
        <v>740</v>
      </c>
      <c r="B742" s="233">
        <v>45940</v>
      </c>
      <c r="C742" s="234">
        <v>135.26579599999999</v>
      </c>
      <c r="D742" s="235">
        <v>120.40105743218382</v>
      </c>
      <c r="E742" s="234">
        <f t="shared" si="47"/>
        <v>120.40105743218382</v>
      </c>
      <c r="F742" s="239"/>
      <c r="G742" s="188" t="str">
        <f t="shared" si="48"/>
        <v/>
      </c>
      <c r="H742" s="236" t="str">
        <f t="shared" si="49"/>
        <v/>
      </c>
    </row>
    <row r="743" spans="1:8">
      <c r="A743" s="232">
        <f t="shared" si="46"/>
        <v>741</v>
      </c>
      <c r="B743" s="233">
        <v>45941</v>
      </c>
      <c r="C743" s="234">
        <v>143.81792300000001</v>
      </c>
      <c r="D743" s="235">
        <v>120.40105743218382</v>
      </c>
      <c r="E743" s="234">
        <f t="shared" si="47"/>
        <v>120.40105743218382</v>
      </c>
      <c r="F743" s="239"/>
      <c r="G743" s="188" t="str">
        <f t="shared" si="48"/>
        <v/>
      </c>
      <c r="H743" s="236" t="str">
        <f t="shared" si="49"/>
        <v/>
      </c>
    </row>
    <row r="744" spans="1:8">
      <c r="A744" s="232">
        <f t="shared" si="46"/>
        <v>742</v>
      </c>
      <c r="B744" s="233">
        <v>45942</v>
      </c>
      <c r="C744" s="234">
        <v>123.272503</v>
      </c>
      <c r="D744" s="235">
        <v>120.40105743218382</v>
      </c>
      <c r="E744" s="234">
        <f t="shared" si="47"/>
        <v>120.40105743218382</v>
      </c>
      <c r="F744" s="239"/>
      <c r="G744" s="188" t="str">
        <f t="shared" si="48"/>
        <v/>
      </c>
      <c r="H744" s="236" t="str">
        <f t="shared" si="49"/>
        <v/>
      </c>
    </row>
    <row r="745" spans="1:8">
      <c r="A745" s="232">
        <f t="shared" si="46"/>
        <v>743</v>
      </c>
      <c r="B745" s="233">
        <v>45943</v>
      </c>
      <c r="C745" s="234">
        <v>123.69662899999999</v>
      </c>
      <c r="D745" s="235">
        <v>120.40105743218382</v>
      </c>
      <c r="E745" s="234">
        <f t="shared" si="47"/>
        <v>120.40105743218382</v>
      </c>
      <c r="F745" s="239"/>
      <c r="G745" s="188" t="str">
        <f t="shared" si="48"/>
        <v/>
      </c>
      <c r="H745" s="236" t="str">
        <f t="shared" si="49"/>
        <v/>
      </c>
    </row>
    <row r="746" spans="1:8">
      <c r="A746" s="232">
        <f t="shared" si="46"/>
        <v>744</v>
      </c>
      <c r="B746" s="233">
        <v>45944</v>
      </c>
      <c r="C746" s="234">
        <v>150.69166300000001</v>
      </c>
      <c r="D746" s="235">
        <v>120.40105743218382</v>
      </c>
      <c r="E746" s="234">
        <f t="shared" si="47"/>
        <v>120.40105743218382</v>
      </c>
      <c r="F746" s="239"/>
      <c r="G746" s="188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/>
      </c>
      <c r="H746" s="236" t="str">
        <f t="shared" ref="H746:H760" si="51">IF(DAY($B746)=15,TEXT(D746,"#,0"),"")</f>
        <v/>
      </c>
    </row>
    <row r="747" spans="1:8">
      <c r="A747" s="232">
        <f t="shared" si="46"/>
        <v>745</v>
      </c>
      <c r="B747" s="233">
        <v>45945</v>
      </c>
      <c r="C747" s="234">
        <v>137.99676300000002</v>
      </c>
      <c r="D747" s="235">
        <v>120.40105743218382</v>
      </c>
      <c r="E747" s="234">
        <f t="shared" si="47"/>
        <v>120.40105743218382</v>
      </c>
      <c r="F747" s="239"/>
      <c r="G747" s="188" t="str">
        <f t="shared" si="50"/>
        <v>O</v>
      </c>
      <c r="H747" s="236" t="str">
        <f t="shared" si="51"/>
        <v>120,4</v>
      </c>
    </row>
    <row r="748" spans="1:8">
      <c r="A748" s="232">
        <f t="shared" si="46"/>
        <v>746</v>
      </c>
      <c r="B748" s="233">
        <v>45946</v>
      </c>
      <c r="C748" s="234">
        <v>124.151297051</v>
      </c>
      <c r="D748" s="235">
        <v>120.40105743218382</v>
      </c>
      <c r="E748" s="234">
        <f t="shared" si="47"/>
        <v>120.40105743218382</v>
      </c>
      <c r="F748" s="239"/>
      <c r="G748" s="188" t="str">
        <f t="shared" si="50"/>
        <v/>
      </c>
      <c r="H748" s="236" t="str">
        <f t="shared" si="51"/>
        <v/>
      </c>
    </row>
    <row r="749" spans="1:8">
      <c r="A749" s="232">
        <f t="shared" si="46"/>
        <v>747</v>
      </c>
      <c r="B749" s="233">
        <v>45947</v>
      </c>
      <c r="C749" s="234">
        <v>143.510646756</v>
      </c>
      <c r="D749" s="235">
        <v>120.40105743218382</v>
      </c>
      <c r="E749" s="234">
        <f t="shared" si="47"/>
        <v>120.40105743218382</v>
      </c>
      <c r="F749" s="239"/>
      <c r="G749" s="188" t="str">
        <f t="shared" si="50"/>
        <v/>
      </c>
      <c r="H749" s="236" t="str">
        <f t="shared" si="51"/>
        <v/>
      </c>
    </row>
    <row r="750" spans="1:8">
      <c r="A750" s="232">
        <f t="shared" si="46"/>
        <v>748</v>
      </c>
      <c r="B750" s="233">
        <v>45948</v>
      </c>
      <c r="C750" s="234">
        <v>150.36957714100001</v>
      </c>
      <c r="D750" s="235">
        <v>120.40105743218382</v>
      </c>
      <c r="E750" s="234">
        <f t="shared" si="47"/>
        <v>120.40105743218382</v>
      </c>
      <c r="F750" s="239"/>
      <c r="G750" s="188" t="str">
        <f t="shared" si="50"/>
        <v/>
      </c>
      <c r="H750" s="236" t="str">
        <f t="shared" si="51"/>
        <v/>
      </c>
    </row>
    <row r="751" spans="1:8">
      <c r="A751" s="232">
        <f t="shared" si="46"/>
        <v>749</v>
      </c>
      <c r="B751" s="233">
        <v>45949</v>
      </c>
      <c r="C751" s="234">
        <v>108.36172885699999</v>
      </c>
      <c r="D751" s="235">
        <v>120.40105743218382</v>
      </c>
      <c r="E751" s="234">
        <f t="shared" si="47"/>
        <v>108.36172885699999</v>
      </c>
      <c r="F751" s="239"/>
      <c r="G751" s="188" t="str">
        <f t="shared" si="50"/>
        <v/>
      </c>
      <c r="H751" s="236" t="str">
        <f t="shared" si="51"/>
        <v/>
      </c>
    </row>
    <row r="752" spans="1:8">
      <c r="A752" s="232">
        <f t="shared" si="46"/>
        <v>750</v>
      </c>
      <c r="B752" s="233">
        <v>45950</v>
      </c>
      <c r="C752" s="234">
        <v>111.42447447800001</v>
      </c>
      <c r="D752" s="235">
        <v>120.40105743218382</v>
      </c>
      <c r="E752" s="234">
        <f t="shared" si="47"/>
        <v>111.42447447800001</v>
      </c>
      <c r="F752" s="239"/>
      <c r="G752" s="188" t="str">
        <f t="shared" si="50"/>
        <v/>
      </c>
      <c r="H752" s="236" t="str">
        <f t="shared" si="51"/>
        <v/>
      </c>
    </row>
    <row r="753" spans="1:8">
      <c r="A753" s="232">
        <f t="shared" si="46"/>
        <v>751</v>
      </c>
      <c r="B753" s="233">
        <v>45951</v>
      </c>
      <c r="C753" s="234">
        <v>93.088636910999995</v>
      </c>
      <c r="D753" s="235">
        <v>120.40105743218382</v>
      </c>
      <c r="E753" s="234">
        <f t="shared" si="47"/>
        <v>93.088636910999995</v>
      </c>
      <c r="F753" s="239"/>
      <c r="G753" s="188" t="str">
        <f t="shared" si="50"/>
        <v/>
      </c>
      <c r="H753" s="236" t="str">
        <f t="shared" si="51"/>
        <v/>
      </c>
    </row>
    <row r="754" spans="1:8">
      <c r="A754" s="232">
        <f t="shared" si="46"/>
        <v>752</v>
      </c>
      <c r="B754" s="233">
        <v>45952</v>
      </c>
      <c r="C754" s="234">
        <v>102.413408893</v>
      </c>
      <c r="D754" s="235">
        <v>120.40105743218382</v>
      </c>
      <c r="E754" s="234">
        <f t="shared" si="47"/>
        <v>102.413408893</v>
      </c>
      <c r="F754" s="239"/>
      <c r="G754" s="188" t="str">
        <f t="shared" si="50"/>
        <v/>
      </c>
      <c r="H754" s="236" t="str">
        <f t="shared" si="51"/>
        <v/>
      </c>
    </row>
    <row r="755" spans="1:8">
      <c r="A755" s="232">
        <f t="shared" si="46"/>
        <v>753</v>
      </c>
      <c r="B755" s="233">
        <v>45953</v>
      </c>
      <c r="C755" s="234">
        <v>122.66465895000002</v>
      </c>
      <c r="D755" s="235">
        <v>120.40105743218382</v>
      </c>
      <c r="E755" s="234">
        <f t="shared" si="47"/>
        <v>120.40105743218382</v>
      </c>
      <c r="F755" s="239"/>
      <c r="G755" s="188" t="str">
        <f t="shared" si="50"/>
        <v/>
      </c>
      <c r="H755" s="236" t="str">
        <f t="shared" si="51"/>
        <v/>
      </c>
    </row>
    <row r="756" spans="1:8">
      <c r="A756" s="232">
        <f t="shared" si="46"/>
        <v>754</v>
      </c>
      <c r="B756" s="233">
        <v>45954</v>
      </c>
      <c r="C756" s="234">
        <v>124.58585769600001</v>
      </c>
      <c r="D756" s="235">
        <v>120.40105743218382</v>
      </c>
      <c r="E756" s="234">
        <f t="shared" si="47"/>
        <v>120.40105743218382</v>
      </c>
      <c r="F756" s="239"/>
      <c r="G756" s="188" t="str">
        <f t="shared" si="50"/>
        <v/>
      </c>
      <c r="H756" s="236" t="str">
        <f t="shared" si="51"/>
        <v/>
      </c>
    </row>
    <row r="757" spans="1:8">
      <c r="A757" s="232">
        <f t="shared" si="46"/>
        <v>755</v>
      </c>
      <c r="B757" s="233">
        <v>45955</v>
      </c>
      <c r="C757" s="234">
        <v>110.191832198</v>
      </c>
      <c r="D757" s="235">
        <v>120.40105743218382</v>
      </c>
      <c r="E757" s="234">
        <f t="shared" si="47"/>
        <v>110.191832198</v>
      </c>
      <c r="F757" s="239"/>
      <c r="G757" s="188" t="str">
        <f t="shared" si="50"/>
        <v/>
      </c>
      <c r="H757" s="236" t="str">
        <f t="shared" si="51"/>
        <v/>
      </c>
    </row>
    <row r="758" spans="1:8">
      <c r="A758" s="232">
        <f t="shared" si="46"/>
        <v>756</v>
      </c>
      <c r="B758" s="233">
        <v>45956</v>
      </c>
      <c r="C758" s="234">
        <v>100.36125177599999</v>
      </c>
      <c r="D758" s="235">
        <v>120.40105743218382</v>
      </c>
      <c r="E758" s="234">
        <f t="shared" si="47"/>
        <v>100.36125177599999</v>
      </c>
      <c r="F758" s="239"/>
      <c r="G758" s="188" t="str">
        <f t="shared" si="50"/>
        <v/>
      </c>
      <c r="H758" s="236" t="str">
        <f t="shared" si="51"/>
        <v/>
      </c>
    </row>
    <row r="759" spans="1:8">
      <c r="A759" s="232">
        <f t="shared" si="46"/>
        <v>757</v>
      </c>
      <c r="B759" s="233">
        <v>45957</v>
      </c>
      <c r="C759" s="234">
        <v>152.545596346</v>
      </c>
      <c r="D759" s="235">
        <v>120.40105743218382</v>
      </c>
      <c r="E759" s="234">
        <f t="shared" si="47"/>
        <v>120.40105743218382</v>
      </c>
      <c r="F759" s="239"/>
      <c r="G759" s="188" t="str">
        <f t="shared" si="50"/>
        <v/>
      </c>
      <c r="H759" s="236" t="str">
        <f t="shared" si="51"/>
        <v/>
      </c>
    </row>
    <row r="760" spans="1:8">
      <c r="A760" s="232">
        <f t="shared" si="46"/>
        <v>758</v>
      </c>
      <c r="B760" s="233">
        <v>45958</v>
      </c>
      <c r="C760" s="234">
        <v>120.124676596</v>
      </c>
      <c r="D760" s="235">
        <v>120.40105743218382</v>
      </c>
      <c r="E760" s="234">
        <f t="shared" si="47"/>
        <v>120.124676596</v>
      </c>
      <c r="F760" s="239"/>
      <c r="G760" s="188" t="str">
        <f t="shared" si="50"/>
        <v/>
      </c>
      <c r="H760" s="236" t="str">
        <f t="shared" si="51"/>
        <v/>
      </c>
    </row>
    <row r="761" spans="1:8">
      <c r="A761" s="232">
        <f t="shared" si="46"/>
        <v>759</v>
      </c>
      <c r="B761" s="233">
        <v>45959</v>
      </c>
      <c r="C761" s="234">
        <v>57.283782973000001</v>
      </c>
      <c r="D761" s="235">
        <v>120.40105743218382</v>
      </c>
      <c r="E761" s="234">
        <f t="shared" ref="E761:E762" si="52">IF(C761&gt;D761,D761,C761)</f>
        <v>57.283782973000001</v>
      </c>
      <c r="F761" s="239"/>
      <c r="G761" s="188"/>
      <c r="H761" s="236"/>
    </row>
    <row r="762" spans="1:8">
      <c r="A762" s="232">
        <f t="shared" si="46"/>
        <v>760</v>
      </c>
      <c r="B762" s="233">
        <v>45960</v>
      </c>
      <c r="C762" s="234">
        <v>99.834632038999985</v>
      </c>
      <c r="D762" s="235">
        <v>120.40105743218382</v>
      </c>
      <c r="E762" s="234">
        <f t="shared" si="52"/>
        <v>99.834632038999985</v>
      </c>
      <c r="F762" s="239"/>
      <c r="G762" s="188"/>
      <c r="H762" s="236"/>
    </row>
    <row r="763" spans="1:8">
      <c r="A763" s="232">
        <f t="shared" si="46"/>
        <v>761</v>
      </c>
      <c r="B763" s="233">
        <v>45961</v>
      </c>
      <c r="C763" s="234">
        <v>86.694447046000008</v>
      </c>
      <c r="D763" s="235">
        <v>120.40105743218382</v>
      </c>
      <c r="E763" s="234">
        <f t="shared" ref="E763" si="53">IF(C763&gt;D763,D763,C763)</f>
        <v>86.694447046000008</v>
      </c>
      <c r="F763" s="239"/>
      <c r="G763" s="188"/>
      <c r="H763" s="236"/>
    </row>
    <row r="764" spans="1:8">
      <c r="B764" s="233"/>
    </row>
    <row r="765" spans="1:8">
      <c r="B765" s="233"/>
    </row>
    <row r="766" spans="1:8">
      <c r="B766" s="233"/>
    </row>
    <row r="767" spans="1:8">
      <c r="B767" s="233"/>
    </row>
    <row r="768" spans="1:8">
      <c r="B768" s="233"/>
    </row>
    <row r="769" spans="2:2">
      <c r="B769" s="233"/>
    </row>
    <row r="770" spans="2:2">
      <c r="B770" s="233"/>
    </row>
    <row r="771" spans="2:2">
      <c r="B771" s="233"/>
    </row>
    <row r="772" spans="2:2">
      <c r="B772" s="233"/>
    </row>
    <row r="773" spans="2:2">
      <c r="B773" s="233"/>
    </row>
    <row r="774" spans="2:2">
      <c r="B774" s="233"/>
    </row>
    <row r="775" spans="2:2">
      <c r="B775" s="233"/>
    </row>
    <row r="776" spans="2:2">
      <c r="B776" s="233"/>
    </row>
    <row r="777" spans="2:2">
      <c r="B777" s="233"/>
    </row>
    <row r="778" spans="2:2">
      <c r="B778" s="233"/>
    </row>
    <row r="779" spans="2:2">
      <c r="B779" s="233"/>
    </row>
    <row r="780" spans="2:2">
      <c r="B780" s="233"/>
    </row>
    <row r="781" spans="2:2">
      <c r="B781" s="233"/>
    </row>
    <row r="782" spans="2:2">
      <c r="B782" s="233"/>
    </row>
    <row r="783" spans="2:2">
      <c r="B783" s="233"/>
    </row>
    <row r="784" spans="2:2">
      <c r="B784" s="233"/>
    </row>
    <row r="785" spans="2:2">
      <c r="B785" s="233"/>
    </row>
    <row r="786" spans="2:2">
      <c r="B786" s="233"/>
    </row>
    <row r="787" spans="2:2">
      <c r="B787" s="233"/>
    </row>
    <row r="788" spans="2:2">
      <c r="B788" s="233"/>
    </row>
    <row r="789" spans="2:2">
      <c r="B789" s="233"/>
    </row>
    <row r="790" spans="2:2">
      <c r="B790" s="233"/>
    </row>
    <row r="791" spans="2:2">
      <c r="B791" s="233"/>
    </row>
    <row r="792" spans="2:2">
      <c r="B792" s="233"/>
    </row>
    <row r="793" spans="2:2">
      <c r="B793" s="233"/>
    </row>
    <row r="794" spans="2:2">
      <c r="B794" s="233"/>
    </row>
    <row r="795" spans="2:2">
      <c r="B795" s="233"/>
    </row>
    <row r="796" spans="2:2">
      <c r="B796" s="233"/>
    </row>
    <row r="797" spans="2:2">
      <c r="B797" s="233"/>
    </row>
    <row r="798" spans="2:2">
      <c r="B798" s="233"/>
    </row>
    <row r="799" spans="2:2">
      <c r="B799" s="233"/>
    </row>
    <row r="800" spans="2:2">
      <c r="B800" s="233"/>
    </row>
    <row r="801" spans="2:2">
      <c r="B801" s="233"/>
    </row>
    <row r="802" spans="2:2">
      <c r="B802" s="233"/>
    </row>
    <row r="803" spans="2:2">
      <c r="B803" s="233"/>
    </row>
    <row r="804" spans="2:2">
      <c r="B804" s="233"/>
    </row>
    <row r="805" spans="2:2">
      <c r="B805" s="233"/>
    </row>
    <row r="806" spans="2:2">
      <c r="B806" s="233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N876"/>
  <sheetViews>
    <sheetView topLeftCell="A838" zoomScale="80" zoomScaleNormal="80" workbookViewId="0">
      <selection activeCell="I875" sqref="I875"/>
    </sheetView>
  </sheetViews>
  <sheetFormatPr baseColWidth="10" defaultRowHeight="12.75"/>
  <cols>
    <col min="1" max="1" width="22.7109375" bestFit="1" customWidth="1"/>
    <col min="2" max="2" width="34.5703125" bestFit="1" customWidth="1"/>
    <col min="3" max="15" width="18.28515625" bestFit="1" customWidth="1"/>
    <col min="16" max="541" width="14.5703125" customWidth="1"/>
  </cols>
  <sheetData>
    <row r="1" spans="1:586" ht="12.6" customHeight="1">
      <c r="A1" s="163" t="s">
        <v>28</v>
      </c>
      <c r="B1" s="339" t="s">
        <v>198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 t="s">
        <v>199</v>
      </c>
      <c r="AV1" s="339"/>
      <c r="AW1" s="339"/>
      <c r="AX1" s="339"/>
      <c r="AY1" s="339"/>
      <c r="AZ1" s="339"/>
      <c r="BA1" s="339"/>
      <c r="BB1" s="339"/>
      <c r="BC1" s="339"/>
      <c r="BD1" s="339"/>
      <c r="BE1" s="339"/>
      <c r="BF1" s="339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 t="s">
        <v>200</v>
      </c>
      <c r="CO1" s="339"/>
      <c r="CP1" s="339"/>
      <c r="CQ1" s="339"/>
      <c r="CR1" s="339"/>
      <c r="CS1" s="339"/>
      <c r="CT1" s="339"/>
      <c r="CU1" s="339"/>
      <c r="CV1" s="339"/>
      <c r="CW1" s="339"/>
      <c r="CX1" s="339"/>
      <c r="CY1" s="339"/>
      <c r="CZ1" s="339"/>
      <c r="DA1" s="339"/>
      <c r="DB1" s="339"/>
      <c r="DC1" s="339"/>
      <c r="DD1" s="339"/>
      <c r="DE1" s="339"/>
      <c r="DF1" s="339"/>
      <c r="DG1" s="339"/>
      <c r="DH1" s="339"/>
      <c r="DI1" s="339"/>
      <c r="DJ1" s="339"/>
      <c r="DK1" s="339"/>
      <c r="DL1" s="339"/>
      <c r="DM1" s="339"/>
      <c r="DN1" s="339"/>
      <c r="DO1" s="339"/>
      <c r="DP1" s="339"/>
      <c r="DQ1" s="339"/>
      <c r="DR1" s="339"/>
      <c r="DS1" s="339"/>
      <c r="DT1" s="339"/>
      <c r="DU1" s="339"/>
      <c r="DV1" s="339"/>
      <c r="DW1" s="339"/>
      <c r="DX1" s="339"/>
      <c r="DY1" s="339"/>
      <c r="DZ1" s="339"/>
      <c r="EA1" s="339"/>
      <c r="EB1" s="339"/>
      <c r="EC1" s="339"/>
      <c r="ED1" s="339"/>
      <c r="EE1" s="339"/>
      <c r="EF1" s="339"/>
      <c r="EG1" s="339" t="s">
        <v>204</v>
      </c>
      <c r="EH1" s="339"/>
      <c r="EI1" s="339"/>
      <c r="EJ1" s="339"/>
      <c r="EK1" s="339"/>
      <c r="EL1" s="339"/>
      <c r="EM1" s="339"/>
      <c r="EN1" s="339"/>
      <c r="EO1" s="339"/>
      <c r="EP1" s="339"/>
      <c r="EQ1" s="339"/>
      <c r="ER1" s="339"/>
      <c r="ES1" s="339"/>
      <c r="ET1" s="339"/>
      <c r="EU1" s="339"/>
      <c r="EV1" s="339"/>
      <c r="EW1" s="339"/>
      <c r="EX1" s="339"/>
      <c r="EY1" s="339"/>
      <c r="EZ1" s="339"/>
      <c r="FA1" s="339"/>
      <c r="FB1" s="339"/>
      <c r="FC1" s="339"/>
      <c r="FD1" s="339"/>
      <c r="FE1" s="339"/>
      <c r="FF1" s="339"/>
      <c r="FG1" s="339"/>
      <c r="FH1" s="339"/>
      <c r="FI1" s="339"/>
      <c r="FJ1" s="339"/>
      <c r="FK1" s="339"/>
      <c r="FL1" s="339"/>
      <c r="FM1" s="339"/>
      <c r="FN1" s="339"/>
      <c r="FO1" s="339"/>
      <c r="FP1" s="339"/>
      <c r="FQ1" s="339"/>
      <c r="FR1" s="339"/>
      <c r="FS1" s="339"/>
      <c r="FT1" s="339"/>
      <c r="FU1" s="339"/>
      <c r="FV1" s="339"/>
      <c r="FW1" s="339"/>
      <c r="FX1" s="339"/>
      <c r="FY1" s="339"/>
      <c r="FZ1" s="339" t="s">
        <v>212</v>
      </c>
      <c r="GA1" s="339"/>
      <c r="GB1" s="339"/>
      <c r="GC1" s="339"/>
      <c r="GD1" s="339"/>
      <c r="GE1" s="339"/>
      <c r="GF1" s="339"/>
      <c r="GG1" s="339"/>
      <c r="GH1" s="339"/>
      <c r="GI1" s="339"/>
      <c r="GJ1" s="339"/>
      <c r="GK1" s="339"/>
      <c r="GL1" s="339"/>
      <c r="GM1" s="339"/>
      <c r="GN1" s="339"/>
      <c r="GO1" s="339"/>
      <c r="GP1" s="339"/>
      <c r="GQ1" s="339"/>
      <c r="GR1" s="339"/>
      <c r="GS1" s="339"/>
      <c r="GT1" s="339"/>
      <c r="GU1" s="339"/>
      <c r="GV1" s="339"/>
      <c r="GW1" s="339"/>
      <c r="GX1" s="339"/>
      <c r="GY1" s="339"/>
      <c r="GZ1" s="339"/>
      <c r="HA1" s="339"/>
      <c r="HB1" s="339"/>
      <c r="HC1" s="339"/>
      <c r="HD1" s="339"/>
      <c r="HE1" s="339"/>
      <c r="HF1" s="339"/>
      <c r="HG1" s="339"/>
      <c r="HH1" s="339"/>
      <c r="HI1" s="339"/>
      <c r="HJ1" s="339"/>
      <c r="HK1" s="339"/>
      <c r="HL1" s="339"/>
      <c r="HM1" s="339"/>
      <c r="HN1" s="339"/>
      <c r="HO1" s="339"/>
      <c r="HP1" s="339"/>
      <c r="HQ1" s="339"/>
      <c r="HR1" s="339"/>
      <c r="HS1" s="339" t="s">
        <v>213</v>
      </c>
      <c r="HT1" s="339"/>
      <c r="HU1" s="339"/>
      <c r="HV1" s="339"/>
      <c r="HW1" s="339"/>
      <c r="HX1" s="339"/>
      <c r="HY1" s="339"/>
      <c r="HZ1" s="339"/>
      <c r="IA1" s="339"/>
      <c r="IB1" s="339"/>
      <c r="IC1" s="339"/>
      <c r="ID1" s="339"/>
      <c r="IE1" s="339"/>
      <c r="IF1" s="339"/>
      <c r="IG1" s="339"/>
      <c r="IH1" s="339"/>
      <c r="II1" s="339"/>
      <c r="IJ1" s="339"/>
      <c r="IK1" s="339"/>
      <c r="IL1" s="339"/>
      <c r="IM1" s="339"/>
      <c r="IN1" s="339"/>
      <c r="IO1" s="339"/>
      <c r="IP1" s="339"/>
      <c r="IQ1" s="339"/>
      <c r="IR1" s="339"/>
      <c r="IS1" s="339"/>
      <c r="IT1" s="339"/>
      <c r="IU1" s="339"/>
      <c r="IV1" s="339"/>
      <c r="IW1" s="339"/>
      <c r="IX1" s="339"/>
      <c r="IY1" s="339"/>
      <c r="IZ1" s="339"/>
      <c r="JA1" s="339"/>
      <c r="JB1" s="339"/>
      <c r="JC1" s="339"/>
      <c r="JD1" s="339"/>
      <c r="JE1" s="339"/>
      <c r="JF1" s="339"/>
      <c r="JG1" s="339"/>
      <c r="JH1" s="339"/>
      <c r="JI1" s="339"/>
      <c r="JJ1" s="339"/>
      <c r="JK1" s="339"/>
      <c r="JL1" s="339" t="s">
        <v>215</v>
      </c>
      <c r="JM1" s="339"/>
      <c r="JN1" s="339"/>
      <c r="JO1" s="339"/>
      <c r="JP1" s="339"/>
      <c r="JQ1" s="339"/>
      <c r="JR1" s="339"/>
      <c r="JS1" s="339"/>
      <c r="JT1" s="339"/>
      <c r="JU1" s="339"/>
      <c r="JV1" s="339"/>
      <c r="JW1" s="339"/>
      <c r="JX1" s="339"/>
      <c r="JY1" s="339"/>
      <c r="JZ1" s="339"/>
      <c r="KA1" s="339"/>
      <c r="KB1" s="339"/>
      <c r="KC1" s="339"/>
      <c r="KD1" s="339"/>
      <c r="KE1" s="339"/>
      <c r="KF1" s="339"/>
      <c r="KG1" s="339"/>
      <c r="KH1" s="339"/>
      <c r="KI1" s="339"/>
      <c r="KJ1" s="339"/>
      <c r="KK1" s="339"/>
      <c r="KL1" s="339"/>
      <c r="KM1" s="339"/>
      <c r="KN1" s="339"/>
      <c r="KO1" s="339"/>
      <c r="KP1" s="339"/>
      <c r="KQ1" s="339"/>
      <c r="KR1" s="339"/>
      <c r="KS1" s="339"/>
      <c r="KT1" s="339"/>
      <c r="KU1" s="339"/>
      <c r="KV1" s="339"/>
      <c r="KW1" s="339"/>
      <c r="KX1" s="339"/>
      <c r="KY1" s="339"/>
      <c r="KZ1" s="339"/>
      <c r="LA1" s="339"/>
      <c r="LB1" s="339"/>
      <c r="LC1" s="339"/>
      <c r="LD1" s="339"/>
      <c r="LE1" s="339" t="s">
        <v>226</v>
      </c>
      <c r="LF1" s="339"/>
      <c r="LG1" s="339"/>
      <c r="LH1" s="339"/>
      <c r="LI1" s="339"/>
      <c r="LJ1" s="339"/>
      <c r="LK1" s="339"/>
      <c r="LL1" s="339"/>
      <c r="LM1" s="339"/>
      <c r="LN1" s="339"/>
      <c r="LO1" s="339"/>
      <c r="LP1" s="339"/>
      <c r="LQ1" s="339"/>
      <c r="LR1" s="339"/>
      <c r="LS1" s="339"/>
      <c r="LT1" s="339"/>
      <c r="LU1" s="339"/>
      <c r="LV1" s="339"/>
      <c r="LW1" s="339"/>
      <c r="LX1" s="339"/>
      <c r="LY1" s="339"/>
      <c r="LZ1" s="339"/>
      <c r="MA1" s="339"/>
      <c r="MB1" s="339"/>
      <c r="MC1" s="339"/>
      <c r="MD1" s="339"/>
      <c r="ME1" s="339"/>
      <c r="MF1" s="339"/>
      <c r="MG1" s="339"/>
      <c r="MH1" s="339"/>
      <c r="MI1" s="339"/>
      <c r="MJ1" s="339"/>
      <c r="MK1" s="339"/>
      <c r="ML1" s="339"/>
      <c r="MM1" s="339"/>
      <c r="MN1" s="339"/>
      <c r="MO1" s="339"/>
      <c r="MP1" s="339"/>
      <c r="MQ1" s="339"/>
      <c r="MR1" s="339"/>
      <c r="MS1" s="339"/>
      <c r="MT1" s="339"/>
      <c r="MU1" s="339"/>
      <c r="MV1" s="339"/>
      <c r="MW1" s="339"/>
      <c r="MX1" s="339" t="s">
        <v>227</v>
      </c>
      <c r="MY1" s="339"/>
      <c r="MZ1" s="339"/>
      <c r="NA1" s="339"/>
      <c r="NB1" s="339"/>
      <c r="NC1" s="339"/>
      <c r="ND1" s="339"/>
      <c r="NE1" s="339"/>
      <c r="NF1" s="339"/>
      <c r="NG1" s="339"/>
      <c r="NH1" s="339"/>
      <c r="NI1" s="339"/>
      <c r="NJ1" s="339"/>
      <c r="NK1" s="339"/>
      <c r="NL1" s="339"/>
      <c r="NM1" s="339"/>
      <c r="NN1" s="339"/>
      <c r="NO1" s="339"/>
      <c r="NP1" s="339"/>
      <c r="NQ1" s="339"/>
      <c r="NR1" s="339"/>
      <c r="NS1" s="339"/>
      <c r="NT1" s="339"/>
      <c r="NU1" s="339"/>
      <c r="NV1" s="339"/>
      <c r="NW1" s="339"/>
      <c r="NX1" s="339"/>
      <c r="NY1" s="339"/>
      <c r="NZ1" s="339"/>
      <c r="OA1" s="339"/>
      <c r="OB1" s="339"/>
      <c r="OC1" s="339"/>
      <c r="OD1" s="339"/>
      <c r="OE1" s="339"/>
      <c r="OF1" s="339"/>
      <c r="OG1" s="339"/>
      <c r="OH1" s="339"/>
      <c r="OI1" s="339"/>
      <c r="OJ1" s="339"/>
      <c r="OK1" s="339"/>
      <c r="OL1" s="339"/>
      <c r="OM1" s="339"/>
      <c r="ON1" s="339"/>
      <c r="OO1" s="339"/>
      <c r="OP1" s="339"/>
      <c r="OQ1" s="339" t="s">
        <v>229</v>
      </c>
      <c r="OR1" s="339"/>
      <c r="OS1" s="339"/>
      <c r="OT1" s="339"/>
      <c r="OU1" s="339"/>
      <c r="OV1" s="339"/>
      <c r="OW1" s="339"/>
      <c r="OX1" s="339"/>
      <c r="OY1" s="339"/>
      <c r="OZ1" s="339"/>
      <c r="PA1" s="339"/>
      <c r="PB1" s="339"/>
      <c r="PC1" s="339"/>
      <c r="PD1" s="339"/>
      <c r="PE1" s="339"/>
      <c r="PF1" s="339"/>
      <c r="PG1" s="339"/>
      <c r="PH1" s="339"/>
      <c r="PI1" s="339"/>
      <c r="PJ1" s="339"/>
      <c r="PK1" s="339"/>
      <c r="PL1" s="339"/>
      <c r="PM1" s="339"/>
      <c r="PN1" s="339"/>
      <c r="PO1" s="339"/>
      <c r="PP1" s="339"/>
      <c r="PQ1" s="339"/>
      <c r="PR1" s="339"/>
      <c r="PS1" s="339"/>
      <c r="PT1" s="339"/>
      <c r="PU1" s="339"/>
      <c r="PV1" s="339"/>
      <c r="PW1" s="339"/>
      <c r="PX1" s="339"/>
      <c r="PY1" s="339"/>
      <c r="PZ1" s="339"/>
      <c r="QA1" s="339"/>
      <c r="QB1" s="339"/>
      <c r="QC1" s="339"/>
      <c r="QD1" s="339"/>
      <c r="QE1" s="339"/>
      <c r="QF1" s="339"/>
      <c r="QG1" s="339"/>
      <c r="QH1" s="339"/>
      <c r="QI1" s="339"/>
      <c r="QJ1" s="339" t="s">
        <v>243</v>
      </c>
      <c r="QK1" s="339"/>
      <c r="QL1" s="339"/>
      <c r="QM1" s="339"/>
      <c r="QN1" s="339"/>
      <c r="QO1" s="339"/>
      <c r="QP1" s="339"/>
      <c r="QQ1" s="339"/>
      <c r="QR1" s="339"/>
      <c r="QS1" s="339"/>
      <c r="QT1" s="339"/>
      <c r="QU1" s="339"/>
      <c r="QV1" s="339"/>
      <c r="QW1" s="339"/>
      <c r="QX1" s="339"/>
      <c r="QY1" s="339"/>
      <c r="QZ1" s="339"/>
      <c r="RA1" s="339"/>
      <c r="RB1" s="339"/>
      <c r="RC1" s="339"/>
      <c r="RD1" s="339"/>
      <c r="RE1" s="339"/>
      <c r="RF1" s="339"/>
      <c r="RG1" s="339"/>
      <c r="RH1" s="339"/>
      <c r="RI1" s="339"/>
      <c r="RJ1" s="339"/>
      <c r="RK1" s="339"/>
      <c r="RL1" s="339"/>
      <c r="RM1" s="339"/>
      <c r="RN1" s="339"/>
      <c r="RO1" s="339"/>
      <c r="RP1" s="339"/>
      <c r="RQ1" s="339"/>
      <c r="RR1" s="339"/>
      <c r="RS1" s="339"/>
      <c r="RT1" s="339"/>
      <c r="RU1" s="339"/>
      <c r="RV1" s="339"/>
      <c r="RW1" s="339"/>
      <c r="RX1" s="339"/>
      <c r="RY1" s="339"/>
      <c r="RZ1" s="339"/>
      <c r="SA1" s="339"/>
      <c r="SB1" s="339"/>
      <c r="SC1" s="339" t="s">
        <v>245</v>
      </c>
      <c r="SD1" s="339"/>
      <c r="SE1" s="339"/>
      <c r="SF1" s="339"/>
      <c r="SG1" s="339"/>
      <c r="SH1" s="339"/>
      <c r="SI1" s="339"/>
      <c r="SJ1" s="339"/>
      <c r="SK1" s="339"/>
      <c r="SL1" s="339"/>
      <c r="SM1" s="339"/>
      <c r="SN1" s="339"/>
      <c r="SO1" s="339"/>
      <c r="SP1" s="339"/>
      <c r="SQ1" s="339"/>
      <c r="SR1" s="339"/>
      <c r="SS1" s="339"/>
      <c r="ST1" s="339"/>
      <c r="SU1" s="339"/>
      <c r="SV1" s="339"/>
      <c r="SW1" s="339"/>
      <c r="SX1" s="339"/>
      <c r="SY1" s="339"/>
      <c r="SZ1" s="339"/>
      <c r="TA1" s="339"/>
      <c r="TB1" s="339"/>
      <c r="TC1" s="339"/>
      <c r="TD1" s="339"/>
      <c r="TE1" s="339"/>
      <c r="TF1" s="339"/>
      <c r="TG1" s="339"/>
      <c r="TH1" s="339"/>
      <c r="TI1" s="339"/>
      <c r="TJ1" s="339"/>
      <c r="TK1" s="339"/>
      <c r="TL1" s="339"/>
      <c r="TM1" s="339"/>
      <c r="TN1" s="339"/>
      <c r="TO1" s="339"/>
      <c r="TP1" s="339"/>
      <c r="TQ1" s="339"/>
      <c r="TR1" s="339"/>
      <c r="TS1" s="339"/>
      <c r="TT1" s="339"/>
      <c r="TU1" s="339"/>
      <c r="TV1" s="339" t="s">
        <v>247</v>
      </c>
      <c r="TW1" s="339"/>
      <c r="TX1" s="339"/>
      <c r="TY1" s="339"/>
      <c r="TZ1" s="339"/>
      <c r="UA1" s="339"/>
      <c r="UB1" s="339"/>
      <c r="UC1" s="339"/>
      <c r="UD1" s="339"/>
      <c r="UE1" s="339"/>
      <c r="UF1" s="339"/>
      <c r="UG1" s="339"/>
      <c r="UH1" s="339"/>
      <c r="UI1" s="339"/>
      <c r="UJ1" s="339"/>
      <c r="UK1" s="339"/>
      <c r="UL1" s="339"/>
      <c r="UM1" s="339"/>
      <c r="UN1" s="339"/>
      <c r="UO1" s="339"/>
      <c r="UP1" s="339"/>
      <c r="UQ1" s="339"/>
      <c r="UR1" s="339"/>
      <c r="US1" s="339"/>
      <c r="UT1" s="339"/>
      <c r="UU1" s="339"/>
      <c r="UV1" s="339"/>
      <c r="UW1" s="339"/>
      <c r="UX1" s="339"/>
      <c r="UY1" s="339"/>
      <c r="UZ1" s="339"/>
      <c r="VA1" s="339"/>
      <c r="VB1" s="339"/>
      <c r="VC1" s="339"/>
      <c r="VD1" s="339"/>
      <c r="VE1" s="339"/>
      <c r="VF1" s="339"/>
      <c r="VG1" s="339"/>
      <c r="VH1" s="339"/>
      <c r="VI1" s="339"/>
      <c r="VJ1" s="339"/>
      <c r="VK1" s="339"/>
      <c r="VL1" s="339"/>
      <c r="VM1" s="339"/>
      <c r="VN1" s="339"/>
    </row>
    <row r="2" spans="1:586">
      <c r="A2" s="163" t="s">
        <v>100</v>
      </c>
      <c r="B2" s="331" t="s">
        <v>93</v>
      </c>
      <c r="C2" s="332"/>
      <c r="D2" s="332"/>
      <c r="E2" s="332"/>
      <c r="F2" s="332"/>
      <c r="G2" s="332"/>
      <c r="H2" s="332"/>
      <c r="I2" s="332"/>
      <c r="J2" s="340"/>
      <c r="K2" s="331" t="s">
        <v>138</v>
      </c>
      <c r="L2" s="332"/>
      <c r="M2" s="332"/>
      <c r="N2" s="332"/>
      <c r="O2" s="332"/>
      <c r="P2" s="332"/>
      <c r="Q2" s="332"/>
      <c r="R2" s="332"/>
      <c r="S2" s="340"/>
      <c r="T2" s="331" t="s">
        <v>139</v>
      </c>
      <c r="U2" s="332"/>
      <c r="V2" s="332"/>
      <c r="W2" s="332"/>
      <c r="X2" s="332"/>
      <c r="Y2" s="332"/>
      <c r="Z2" s="332"/>
      <c r="AA2" s="332"/>
      <c r="AB2" s="340"/>
      <c r="AC2" s="331" t="s">
        <v>140</v>
      </c>
      <c r="AD2" s="332"/>
      <c r="AE2" s="332"/>
      <c r="AF2" s="332"/>
      <c r="AG2" s="332"/>
      <c r="AH2" s="332"/>
      <c r="AI2" s="332"/>
      <c r="AJ2" s="332"/>
      <c r="AK2" s="340"/>
      <c r="AL2" s="331" t="s">
        <v>141</v>
      </c>
      <c r="AM2" s="332"/>
      <c r="AN2" s="332"/>
      <c r="AO2" s="332"/>
      <c r="AP2" s="332"/>
      <c r="AQ2" s="332"/>
      <c r="AR2" s="332"/>
      <c r="AS2" s="332"/>
      <c r="AT2" s="340"/>
      <c r="AU2" s="341" t="s">
        <v>93</v>
      </c>
      <c r="AV2" s="341"/>
      <c r="AW2" s="341"/>
      <c r="AX2" s="341"/>
      <c r="AY2" s="341"/>
      <c r="AZ2" s="341"/>
      <c r="BA2" s="341"/>
      <c r="BB2" s="341"/>
      <c r="BC2" s="341"/>
      <c r="BD2" s="341" t="s">
        <v>138</v>
      </c>
      <c r="BE2" s="341"/>
      <c r="BF2" s="341"/>
      <c r="BG2" s="341"/>
      <c r="BH2" s="341"/>
      <c r="BI2" s="341"/>
      <c r="BJ2" s="341"/>
      <c r="BK2" s="341"/>
      <c r="BL2" s="341"/>
      <c r="BM2" s="341" t="s">
        <v>139</v>
      </c>
      <c r="BN2" s="341"/>
      <c r="BO2" s="341"/>
      <c r="BP2" s="341"/>
      <c r="BQ2" s="341"/>
      <c r="BR2" s="341"/>
      <c r="BS2" s="341"/>
      <c r="BT2" s="341"/>
      <c r="BU2" s="341"/>
      <c r="BV2" s="341" t="s">
        <v>140</v>
      </c>
      <c r="BW2" s="341"/>
      <c r="BX2" s="341"/>
      <c r="BY2" s="341"/>
      <c r="BZ2" s="341"/>
      <c r="CA2" s="341"/>
      <c r="CB2" s="341"/>
      <c r="CC2" s="341"/>
      <c r="CD2" s="341"/>
      <c r="CE2" s="342" t="s">
        <v>141</v>
      </c>
      <c r="CF2" s="342"/>
      <c r="CG2" s="342"/>
      <c r="CH2" s="342"/>
      <c r="CI2" s="342"/>
      <c r="CJ2" s="342"/>
      <c r="CK2" s="342"/>
      <c r="CL2" s="342"/>
      <c r="CM2" s="342"/>
      <c r="CN2" s="341" t="s">
        <v>93</v>
      </c>
      <c r="CO2" s="341"/>
      <c r="CP2" s="341"/>
      <c r="CQ2" s="341"/>
      <c r="CR2" s="341"/>
      <c r="CS2" s="341"/>
      <c r="CT2" s="341"/>
      <c r="CU2" s="341"/>
      <c r="CV2" s="341"/>
      <c r="CW2" s="341" t="s">
        <v>138</v>
      </c>
      <c r="CX2" s="341"/>
      <c r="CY2" s="341"/>
      <c r="CZ2" s="341"/>
      <c r="DA2" s="341"/>
      <c r="DB2" s="341"/>
      <c r="DC2" s="341"/>
      <c r="DD2" s="341"/>
      <c r="DE2" s="341"/>
      <c r="DF2" s="341" t="s">
        <v>139</v>
      </c>
      <c r="DG2" s="341"/>
      <c r="DH2" s="341"/>
      <c r="DI2" s="341"/>
      <c r="DJ2" s="341"/>
      <c r="DK2" s="341"/>
      <c r="DL2" s="341"/>
      <c r="DM2" s="341"/>
      <c r="DN2" s="341"/>
      <c r="DO2" s="341" t="s">
        <v>140</v>
      </c>
      <c r="DP2" s="341"/>
      <c r="DQ2" s="341"/>
      <c r="DR2" s="341"/>
      <c r="DS2" s="341"/>
      <c r="DT2" s="341"/>
      <c r="DU2" s="341"/>
      <c r="DV2" s="341"/>
      <c r="DW2" s="341"/>
      <c r="DX2" s="342" t="s">
        <v>141</v>
      </c>
      <c r="DY2" s="342"/>
      <c r="DZ2" s="342"/>
      <c r="EA2" s="342"/>
      <c r="EB2" s="342"/>
      <c r="EC2" s="342"/>
      <c r="ED2" s="342"/>
      <c r="EE2" s="342"/>
      <c r="EF2" s="342"/>
      <c r="EG2" s="341" t="s">
        <v>93</v>
      </c>
      <c r="EH2" s="341"/>
      <c r="EI2" s="341"/>
      <c r="EJ2" s="341"/>
      <c r="EK2" s="341"/>
      <c r="EL2" s="341"/>
      <c r="EM2" s="341"/>
      <c r="EN2" s="341"/>
      <c r="EO2" s="341"/>
      <c r="EP2" s="341" t="s">
        <v>138</v>
      </c>
      <c r="EQ2" s="341"/>
      <c r="ER2" s="341"/>
      <c r="ES2" s="341"/>
      <c r="ET2" s="341"/>
      <c r="EU2" s="341"/>
      <c r="EV2" s="341"/>
      <c r="EW2" s="341"/>
      <c r="EX2" s="341"/>
      <c r="EY2" s="341" t="s">
        <v>139</v>
      </c>
      <c r="EZ2" s="341"/>
      <c r="FA2" s="341"/>
      <c r="FB2" s="341"/>
      <c r="FC2" s="341"/>
      <c r="FD2" s="341"/>
      <c r="FE2" s="341"/>
      <c r="FF2" s="341"/>
      <c r="FG2" s="341"/>
      <c r="FH2" s="341" t="s">
        <v>140</v>
      </c>
      <c r="FI2" s="341"/>
      <c r="FJ2" s="341"/>
      <c r="FK2" s="341"/>
      <c r="FL2" s="341"/>
      <c r="FM2" s="341"/>
      <c r="FN2" s="341"/>
      <c r="FO2" s="341"/>
      <c r="FP2" s="341"/>
      <c r="FQ2" s="342" t="s">
        <v>141</v>
      </c>
      <c r="FR2" s="342"/>
      <c r="FS2" s="342"/>
      <c r="FT2" s="342"/>
      <c r="FU2" s="342"/>
      <c r="FV2" s="342"/>
      <c r="FW2" s="342"/>
      <c r="FX2" s="342"/>
      <c r="FY2" s="342"/>
      <c r="FZ2" s="341" t="s">
        <v>93</v>
      </c>
      <c r="GA2" s="341"/>
      <c r="GB2" s="341"/>
      <c r="GC2" s="341"/>
      <c r="GD2" s="341"/>
      <c r="GE2" s="341"/>
      <c r="GF2" s="341"/>
      <c r="GG2" s="341"/>
      <c r="GH2" s="341"/>
      <c r="GI2" s="341" t="s">
        <v>138</v>
      </c>
      <c r="GJ2" s="341"/>
      <c r="GK2" s="341"/>
      <c r="GL2" s="341"/>
      <c r="GM2" s="341"/>
      <c r="GN2" s="341"/>
      <c r="GO2" s="341"/>
      <c r="GP2" s="341"/>
      <c r="GQ2" s="341"/>
      <c r="GR2" s="341" t="s">
        <v>139</v>
      </c>
      <c r="GS2" s="341"/>
      <c r="GT2" s="341"/>
      <c r="GU2" s="341"/>
      <c r="GV2" s="341"/>
      <c r="GW2" s="341"/>
      <c r="GX2" s="341"/>
      <c r="GY2" s="341"/>
      <c r="GZ2" s="341"/>
      <c r="HA2" s="341" t="s">
        <v>140</v>
      </c>
      <c r="HB2" s="341"/>
      <c r="HC2" s="341"/>
      <c r="HD2" s="341"/>
      <c r="HE2" s="341"/>
      <c r="HF2" s="341"/>
      <c r="HG2" s="341"/>
      <c r="HH2" s="341"/>
      <c r="HI2" s="341"/>
      <c r="HJ2" s="342" t="s">
        <v>141</v>
      </c>
      <c r="HK2" s="342"/>
      <c r="HL2" s="342"/>
      <c r="HM2" s="342"/>
      <c r="HN2" s="342"/>
      <c r="HO2" s="342"/>
      <c r="HP2" s="342"/>
      <c r="HQ2" s="342"/>
      <c r="HR2" s="342"/>
      <c r="HS2" s="341" t="s">
        <v>93</v>
      </c>
      <c r="HT2" s="341"/>
      <c r="HU2" s="341"/>
      <c r="HV2" s="341"/>
      <c r="HW2" s="341"/>
      <c r="HX2" s="341"/>
      <c r="HY2" s="341"/>
      <c r="HZ2" s="341"/>
      <c r="IA2" s="341"/>
      <c r="IB2" s="341" t="s">
        <v>138</v>
      </c>
      <c r="IC2" s="341"/>
      <c r="ID2" s="341"/>
      <c r="IE2" s="341"/>
      <c r="IF2" s="341"/>
      <c r="IG2" s="341"/>
      <c r="IH2" s="341"/>
      <c r="II2" s="341"/>
      <c r="IJ2" s="341"/>
      <c r="IK2" s="341" t="s">
        <v>139</v>
      </c>
      <c r="IL2" s="341"/>
      <c r="IM2" s="341"/>
      <c r="IN2" s="341"/>
      <c r="IO2" s="341"/>
      <c r="IP2" s="341"/>
      <c r="IQ2" s="341"/>
      <c r="IR2" s="341"/>
      <c r="IS2" s="341"/>
      <c r="IT2" s="341" t="s">
        <v>140</v>
      </c>
      <c r="IU2" s="341"/>
      <c r="IV2" s="341"/>
      <c r="IW2" s="341"/>
      <c r="IX2" s="341"/>
      <c r="IY2" s="341"/>
      <c r="IZ2" s="341"/>
      <c r="JA2" s="341"/>
      <c r="JB2" s="341"/>
      <c r="JC2" s="342" t="s">
        <v>141</v>
      </c>
      <c r="JD2" s="342"/>
      <c r="JE2" s="342"/>
      <c r="JF2" s="342"/>
      <c r="JG2" s="342"/>
      <c r="JH2" s="342"/>
      <c r="JI2" s="342"/>
      <c r="JJ2" s="342"/>
      <c r="JK2" s="342"/>
      <c r="JL2" s="341" t="s">
        <v>93</v>
      </c>
      <c r="JM2" s="341"/>
      <c r="JN2" s="341"/>
      <c r="JO2" s="341"/>
      <c r="JP2" s="341"/>
      <c r="JQ2" s="341"/>
      <c r="JR2" s="341"/>
      <c r="JS2" s="341"/>
      <c r="JT2" s="341"/>
      <c r="JU2" s="341" t="s">
        <v>138</v>
      </c>
      <c r="JV2" s="341"/>
      <c r="JW2" s="341"/>
      <c r="JX2" s="341"/>
      <c r="JY2" s="341"/>
      <c r="JZ2" s="341"/>
      <c r="KA2" s="341"/>
      <c r="KB2" s="341"/>
      <c r="KC2" s="341"/>
      <c r="KD2" s="341" t="s">
        <v>139</v>
      </c>
      <c r="KE2" s="341"/>
      <c r="KF2" s="341"/>
      <c r="KG2" s="341"/>
      <c r="KH2" s="341"/>
      <c r="KI2" s="341"/>
      <c r="KJ2" s="341"/>
      <c r="KK2" s="341"/>
      <c r="KL2" s="341"/>
      <c r="KM2" s="341" t="s">
        <v>140</v>
      </c>
      <c r="KN2" s="341"/>
      <c r="KO2" s="341"/>
      <c r="KP2" s="341"/>
      <c r="KQ2" s="341"/>
      <c r="KR2" s="341"/>
      <c r="KS2" s="341"/>
      <c r="KT2" s="341"/>
      <c r="KU2" s="341"/>
      <c r="KV2" s="342" t="s">
        <v>141</v>
      </c>
      <c r="KW2" s="342"/>
      <c r="KX2" s="342"/>
      <c r="KY2" s="342"/>
      <c r="KZ2" s="342"/>
      <c r="LA2" s="342"/>
      <c r="LB2" s="342"/>
      <c r="LC2" s="342"/>
      <c r="LD2" s="342"/>
      <c r="LE2" s="341" t="s">
        <v>93</v>
      </c>
      <c r="LF2" s="341"/>
      <c r="LG2" s="341"/>
      <c r="LH2" s="341"/>
      <c r="LI2" s="341"/>
      <c r="LJ2" s="341"/>
      <c r="LK2" s="341"/>
      <c r="LL2" s="341"/>
      <c r="LM2" s="341"/>
      <c r="LN2" s="341" t="s">
        <v>138</v>
      </c>
      <c r="LO2" s="341"/>
      <c r="LP2" s="341"/>
      <c r="LQ2" s="341"/>
      <c r="LR2" s="341"/>
      <c r="LS2" s="341"/>
      <c r="LT2" s="341"/>
      <c r="LU2" s="341"/>
      <c r="LV2" s="341"/>
      <c r="LW2" s="341" t="s">
        <v>139</v>
      </c>
      <c r="LX2" s="341"/>
      <c r="LY2" s="341"/>
      <c r="LZ2" s="341"/>
      <c r="MA2" s="341"/>
      <c r="MB2" s="341"/>
      <c r="MC2" s="341"/>
      <c r="MD2" s="341"/>
      <c r="ME2" s="341"/>
      <c r="MF2" s="341" t="s">
        <v>140</v>
      </c>
      <c r="MG2" s="341"/>
      <c r="MH2" s="341"/>
      <c r="MI2" s="341"/>
      <c r="MJ2" s="341"/>
      <c r="MK2" s="341"/>
      <c r="ML2" s="341"/>
      <c r="MM2" s="341"/>
      <c r="MN2" s="341"/>
      <c r="MO2" s="342" t="s">
        <v>141</v>
      </c>
      <c r="MP2" s="342"/>
      <c r="MQ2" s="342"/>
      <c r="MR2" s="342"/>
      <c r="MS2" s="342"/>
      <c r="MT2" s="342"/>
      <c r="MU2" s="342"/>
      <c r="MV2" s="342"/>
      <c r="MW2" s="342"/>
      <c r="MX2" s="341" t="s">
        <v>93</v>
      </c>
      <c r="MY2" s="341"/>
      <c r="MZ2" s="341"/>
      <c r="NA2" s="341"/>
      <c r="NB2" s="341"/>
      <c r="NC2" s="341"/>
      <c r="ND2" s="341"/>
      <c r="NE2" s="341"/>
      <c r="NF2" s="341"/>
      <c r="NG2" s="341" t="s">
        <v>138</v>
      </c>
      <c r="NH2" s="341"/>
      <c r="NI2" s="341"/>
      <c r="NJ2" s="341"/>
      <c r="NK2" s="341"/>
      <c r="NL2" s="341"/>
      <c r="NM2" s="341"/>
      <c r="NN2" s="341"/>
      <c r="NO2" s="341"/>
      <c r="NP2" s="341" t="s">
        <v>139</v>
      </c>
      <c r="NQ2" s="341"/>
      <c r="NR2" s="341"/>
      <c r="NS2" s="341"/>
      <c r="NT2" s="341"/>
      <c r="NU2" s="341"/>
      <c r="NV2" s="341"/>
      <c r="NW2" s="341"/>
      <c r="NX2" s="341"/>
      <c r="NY2" s="341" t="s">
        <v>140</v>
      </c>
      <c r="NZ2" s="341"/>
      <c r="OA2" s="341"/>
      <c r="OB2" s="341"/>
      <c r="OC2" s="341"/>
      <c r="OD2" s="341"/>
      <c r="OE2" s="341"/>
      <c r="OF2" s="341"/>
      <c r="OG2" s="341"/>
      <c r="OH2" s="342" t="s">
        <v>141</v>
      </c>
      <c r="OI2" s="342"/>
      <c r="OJ2" s="342"/>
      <c r="OK2" s="342"/>
      <c r="OL2" s="342"/>
      <c r="OM2" s="342"/>
      <c r="ON2" s="342"/>
      <c r="OO2" s="342"/>
      <c r="OP2" s="342"/>
      <c r="OQ2" s="341" t="s">
        <v>93</v>
      </c>
      <c r="OR2" s="341"/>
      <c r="OS2" s="341"/>
      <c r="OT2" s="341"/>
      <c r="OU2" s="341"/>
      <c r="OV2" s="341"/>
      <c r="OW2" s="341"/>
      <c r="OX2" s="341"/>
      <c r="OY2" s="341"/>
      <c r="OZ2" s="341" t="s">
        <v>138</v>
      </c>
      <c r="PA2" s="341"/>
      <c r="PB2" s="341"/>
      <c r="PC2" s="341"/>
      <c r="PD2" s="341"/>
      <c r="PE2" s="341"/>
      <c r="PF2" s="341"/>
      <c r="PG2" s="341"/>
      <c r="PH2" s="341"/>
      <c r="PI2" s="341" t="s">
        <v>139</v>
      </c>
      <c r="PJ2" s="341"/>
      <c r="PK2" s="341"/>
      <c r="PL2" s="341"/>
      <c r="PM2" s="341"/>
      <c r="PN2" s="341"/>
      <c r="PO2" s="341"/>
      <c r="PP2" s="341"/>
      <c r="PQ2" s="341"/>
      <c r="PR2" s="341" t="s">
        <v>140</v>
      </c>
      <c r="PS2" s="341"/>
      <c r="PT2" s="341"/>
      <c r="PU2" s="341"/>
      <c r="PV2" s="341"/>
      <c r="PW2" s="341"/>
      <c r="PX2" s="341"/>
      <c r="PY2" s="341"/>
      <c r="PZ2" s="341"/>
      <c r="QA2" s="342" t="s">
        <v>141</v>
      </c>
      <c r="QB2" s="342"/>
      <c r="QC2" s="342"/>
      <c r="QD2" s="342"/>
      <c r="QE2" s="342"/>
      <c r="QF2" s="342"/>
      <c r="QG2" s="342"/>
      <c r="QH2" s="342"/>
      <c r="QI2" s="342"/>
      <c r="QJ2" s="341" t="s">
        <v>93</v>
      </c>
      <c r="QK2" s="341"/>
      <c r="QL2" s="341"/>
      <c r="QM2" s="341"/>
      <c r="QN2" s="341"/>
      <c r="QO2" s="341"/>
      <c r="QP2" s="341"/>
      <c r="QQ2" s="341"/>
      <c r="QR2" s="341"/>
      <c r="QS2" s="341" t="s">
        <v>138</v>
      </c>
      <c r="QT2" s="341"/>
      <c r="QU2" s="341"/>
      <c r="QV2" s="341"/>
      <c r="QW2" s="341"/>
      <c r="QX2" s="341"/>
      <c r="QY2" s="341"/>
      <c r="QZ2" s="341"/>
      <c r="RA2" s="341"/>
      <c r="RB2" s="341" t="s">
        <v>139</v>
      </c>
      <c r="RC2" s="341"/>
      <c r="RD2" s="341"/>
      <c r="RE2" s="341"/>
      <c r="RF2" s="341"/>
      <c r="RG2" s="341"/>
      <c r="RH2" s="341"/>
      <c r="RI2" s="341"/>
      <c r="RJ2" s="341"/>
      <c r="RK2" s="341" t="s">
        <v>140</v>
      </c>
      <c r="RL2" s="341"/>
      <c r="RM2" s="341"/>
      <c r="RN2" s="341"/>
      <c r="RO2" s="341"/>
      <c r="RP2" s="341"/>
      <c r="RQ2" s="341"/>
      <c r="RR2" s="341"/>
      <c r="RS2" s="341"/>
      <c r="RT2" s="342" t="s">
        <v>141</v>
      </c>
      <c r="RU2" s="342"/>
      <c r="RV2" s="342"/>
      <c r="RW2" s="342"/>
      <c r="RX2" s="342"/>
      <c r="RY2" s="342"/>
      <c r="RZ2" s="342"/>
      <c r="SA2" s="342"/>
      <c r="SB2" s="342"/>
      <c r="SC2" s="341" t="s">
        <v>93</v>
      </c>
      <c r="SD2" s="341"/>
      <c r="SE2" s="341"/>
      <c r="SF2" s="341"/>
      <c r="SG2" s="341"/>
      <c r="SH2" s="341"/>
      <c r="SI2" s="341"/>
      <c r="SJ2" s="341"/>
      <c r="SK2" s="341"/>
      <c r="SL2" s="341" t="s">
        <v>138</v>
      </c>
      <c r="SM2" s="341"/>
      <c r="SN2" s="341"/>
      <c r="SO2" s="341"/>
      <c r="SP2" s="341"/>
      <c r="SQ2" s="341"/>
      <c r="SR2" s="341"/>
      <c r="SS2" s="341"/>
      <c r="ST2" s="341"/>
      <c r="SU2" s="341" t="s">
        <v>139</v>
      </c>
      <c r="SV2" s="341"/>
      <c r="SW2" s="341"/>
      <c r="SX2" s="341"/>
      <c r="SY2" s="341"/>
      <c r="SZ2" s="341"/>
      <c r="TA2" s="341"/>
      <c r="TB2" s="341"/>
      <c r="TC2" s="341"/>
      <c r="TD2" s="341" t="s">
        <v>140</v>
      </c>
      <c r="TE2" s="341"/>
      <c r="TF2" s="341"/>
      <c r="TG2" s="341"/>
      <c r="TH2" s="341"/>
      <c r="TI2" s="341"/>
      <c r="TJ2" s="341"/>
      <c r="TK2" s="341"/>
      <c r="TL2" s="341"/>
      <c r="TM2" s="342" t="s">
        <v>141</v>
      </c>
      <c r="TN2" s="342"/>
      <c r="TO2" s="342"/>
      <c r="TP2" s="342"/>
      <c r="TQ2" s="342"/>
      <c r="TR2" s="342"/>
      <c r="TS2" s="342"/>
      <c r="TT2" s="342"/>
      <c r="TU2" s="342"/>
      <c r="TV2" s="341" t="s">
        <v>93</v>
      </c>
      <c r="TW2" s="341"/>
      <c r="TX2" s="341"/>
      <c r="TY2" s="341"/>
      <c r="TZ2" s="341"/>
      <c r="UA2" s="341"/>
      <c r="UB2" s="341"/>
      <c r="UC2" s="341"/>
      <c r="UD2" s="341"/>
      <c r="UE2" s="341" t="s">
        <v>138</v>
      </c>
      <c r="UF2" s="341"/>
      <c r="UG2" s="341"/>
      <c r="UH2" s="341"/>
      <c r="UI2" s="341"/>
      <c r="UJ2" s="341"/>
      <c r="UK2" s="341"/>
      <c r="UL2" s="341"/>
      <c r="UM2" s="341"/>
      <c r="UN2" s="341" t="s">
        <v>139</v>
      </c>
      <c r="UO2" s="341"/>
      <c r="UP2" s="341"/>
      <c r="UQ2" s="341"/>
      <c r="UR2" s="341"/>
      <c r="US2" s="341"/>
      <c r="UT2" s="341"/>
      <c r="UU2" s="341"/>
      <c r="UV2" s="341"/>
      <c r="UW2" s="341" t="s">
        <v>140</v>
      </c>
      <c r="UX2" s="341"/>
      <c r="UY2" s="341"/>
      <c r="UZ2" s="341"/>
      <c r="VA2" s="341"/>
      <c r="VB2" s="341"/>
      <c r="VC2" s="341"/>
      <c r="VD2" s="341"/>
      <c r="VE2" s="341"/>
      <c r="VF2" s="342" t="s">
        <v>141</v>
      </c>
      <c r="VG2" s="342"/>
      <c r="VH2" s="342"/>
      <c r="VI2" s="342"/>
      <c r="VJ2" s="342"/>
      <c r="VK2" s="342"/>
      <c r="VL2" s="342"/>
      <c r="VM2" s="342"/>
      <c r="VN2" s="342"/>
    </row>
    <row r="3" spans="1:586" ht="42">
      <c r="A3" s="163" t="s">
        <v>101</v>
      </c>
      <c r="B3" s="164" t="s">
        <v>94</v>
      </c>
      <c r="C3" s="164" t="s">
        <v>142</v>
      </c>
      <c r="D3" s="164" t="s">
        <v>95</v>
      </c>
      <c r="E3" s="164" t="s">
        <v>96</v>
      </c>
      <c r="F3" s="164" t="s">
        <v>143</v>
      </c>
      <c r="G3" s="164" t="s">
        <v>97</v>
      </c>
      <c r="H3" s="164" t="s">
        <v>98</v>
      </c>
      <c r="I3" s="164" t="s">
        <v>144</v>
      </c>
      <c r="J3" s="164" t="s">
        <v>99</v>
      </c>
      <c r="K3" s="164" t="s">
        <v>94</v>
      </c>
      <c r="L3" s="164" t="s">
        <v>142</v>
      </c>
      <c r="M3" s="164" t="s">
        <v>95</v>
      </c>
      <c r="N3" s="164" t="s">
        <v>96</v>
      </c>
      <c r="O3" s="164" t="s">
        <v>143</v>
      </c>
      <c r="P3" s="164" t="s">
        <v>97</v>
      </c>
      <c r="Q3" s="164" t="s">
        <v>98</v>
      </c>
      <c r="R3" s="164" t="s">
        <v>144</v>
      </c>
      <c r="S3" s="164" t="s">
        <v>99</v>
      </c>
      <c r="T3" s="164" t="s">
        <v>94</v>
      </c>
      <c r="U3" s="164" t="s">
        <v>142</v>
      </c>
      <c r="V3" s="164" t="s">
        <v>95</v>
      </c>
      <c r="W3" s="164" t="s">
        <v>96</v>
      </c>
      <c r="X3" s="164" t="s">
        <v>143</v>
      </c>
      <c r="Y3" s="164" t="s">
        <v>97</v>
      </c>
      <c r="Z3" s="164" t="s">
        <v>98</v>
      </c>
      <c r="AA3" s="164" t="s">
        <v>144</v>
      </c>
      <c r="AB3" s="164" t="s">
        <v>99</v>
      </c>
      <c r="AC3" s="164" t="s">
        <v>94</v>
      </c>
      <c r="AD3" s="164" t="s">
        <v>142</v>
      </c>
      <c r="AE3" s="164" t="s">
        <v>95</v>
      </c>
      <c r="AF3" s="164" t="s">
        <v>96</v>
      </c>
      <c r="AG3" s="164" t="s">
        <v>143</v>
      </c>
      <c r="AH3" s="164" t="s">
        <v>97</v>
      </c>
      <c r="AI3" s="164" t="s">
        <v>98</v>
      </c>
      <c r="AJ3" s="164" t="s">
        <v>144</v>
      </c>
      <c r="AK3" s="164" t="s">
        <v>99</v>
      </c>
      <c r="AL3" s="164" t="s">
        <v>94</v>
      </c>
      <c r="AM3" s="164" t="s">
        <v>142</v>
      </c>
      <c r="AN3" s="164" t="s">
        <v>95</v>
      </c>
      <c r="AO3" s="164" t="s">
        <v>96</v>
      </c>
      <c r="AP3" s="164" t="s">
        <v>143</v>
      </c>
      <c r="AQ3" s="164" t="s">
        <v>97</v>
      </c>
      <c r="AR3" s="164" t="s">
        <v>98</v>
      </c>
      <c r="AS3" s="164" t="s">
        <v>144</v>
      </c>
      <c r="AT3" s="164" t="s">
        <v>99</v>
      </c>
      <c r="AU3" s="255" t="s">
        <v>94</v>
      </c>
      <c r="AV3" s="255" t="s">
        <v>142</v>
      </c>
      <c r="AW3" s="255" t="s">
        <v>95</v>
      </c>
      <c r="AX3" s="255" t="s">
        <v>96</v>
      </c>
      <c r="AY3" s="255" t="s">
        <v>143</v>
      </c>
      <c r="AZ3" s="255" t="s">
        <v>97</v>
      </c>
      <c r="BA3" s="255" t="s">
        <v>98</v>
      </c>
      <c r="BB3" s="255" t="s">
        <v>144</v>
      </c>
      <c r="BC3" s="255" t="s">
        <v>99</v>
      </c>
      <c r="BD3" s="255" t="s">
        <v>94</v>
      </c>
      <c r="BE3" s="255" t="s">
        <v>142</v>
      </c>
      <c r="BF3" s="255" t="s">
        <v>95</v>
      </c>
      <c r="BG3" s="255" t="s">
        <v>96</v>
      </c>
      <c r="BH3" s="255" t="s">
        <v>143</v>
      </c>
      <c r="BI3" s="255" t="s">
        <v>97</v>
      </c>
      <c r="BJ3" s="255" t="s">
        <v>98</v>
      </c>
      <c r="BK3" s="255" t="s">
        <v>144</v>
      </c>
      <c r="BL3" s="255" t="s">
        <v>99</v>
      </c>
      <c r="BM3" s="255" t="s">
        <v>94</v>
      </c>
      <c r="BN3" s="255" t="s">
        <v>142</v>
      </c>
      <c r="BO3" s="255" t="s">
        <v>95</v>
      </c>
      <c r="BP3" s="255" t="s">
        <v>96</v>
      </c>
      <c r="BQ3" s="255" t="s">
        <v>143</v>
      </c>
      <c r="BR3" s="255" t="s">
        <v>97</v>
      </c>
      <c r="BS3" s="255" t="s">
        <v>98</v>
      </c>
      <c r="BT3" s="255" t="s">
        <v>144</v>
      </c>
      <c r="BU3" s="255" t="s">
        <v>99</v>
      </c>
      <c r="BV3" s="255" t="s">
        <v>94</v>
      </c>
      <c r="BW3" s="255" t="s">
        <v>142</v>
      </c>
      <c r="BX3" s="255" t="s">
        <v>95</v>
      </c>
      <c r="BY3" s="255" t="s">
        <v>96</v>
      </c>
      <c r="BZ3" s="255" t="s">
        <v>143</v>
      </c>
      <c r="CA3" s="255" t="s">
        <v>97</v>
      </c>
      <c r="CB3" s="255" t="s">
        <v>98</v>
      </c>
      <c r="CC3" s="255" t="s">
        <v>144</v>
      </c>
      <c r="CD3" s="255" t="s">
        <v>99</v>
      </c>
      <c r="CE3" s="255" t="s">
        <v>94</v>
      </c>
      <c r="CF3" s="255" t="s">
        <v>142</v>
      </c>
      <c r="CG3" s="255" t="s">
        <v>95</v>
      </c>
      <c r="CH3" s="255" t="s">
        <v>96</v>
      </c>
      <c r="CI3" s="255" t="s">
        <v>143</v>
      </c>
      <c r="CJ3" s="255" t="s">
        <v>97</v>
      </c>
      <c r="CK3" s="255" t="s">
        <v>98</v>
      </c>
      <c r="CL3" s="255" t="s">
        <v>144</v>
      </c>
      <c r="CM3" s="256" t="s">
        <v>99</v>
      </c>
      <c r="CN3" s="255" t="s">
        <v>94</v>
      </c>
      <c r="CO3" s="255" t="s">
        <v>142</v>
      </c>
      <c r="CP3" s="255" t="s">
        <v>95</v>
      </c>
      <c r="CQ3" s="255" t="s">
        <v>96</v>
      </c>
      <c r="CR3" s="255" t="s">
        <v>143</v>
      </c>
      <c r="CS3" s="255" t="s">
        <v>97</v>
      </c>
      <c r="CT3" s="255" t="s">
        <v>98</v>
      </c>
      <c r="CU3" s="255" t="s">
        <v>144</v>
      </c>
      <c r="CV3" s="255" t="s">
        <v>99</v>
      </c>
      <c r="CW3" s="255" t="s">
        <v>94</v>
      </c>
      <c r="CX3" s="255" t="s">
        <v>142</v>
      </c>
      <c r="CY3" s="255" t="s">
        <v>95</v>
      </c>
      <c r="CZ3" s="255" t="s">
        <v>96</v>
      </c>
      <c r="DA3" s="255" t="s">
        <v>143</v>
      </c>
      <c r="DB3" s="255" t="s">
        <v>97</v>
      </c>
      <c r="DC3" s="255" t="s">
        <v>98</v>
      </c>
      <c r="DD3" s="255" t="s">
        <v>144</v>
      </c>
      <c r="DE3" s="255" t="s">
        <v>99</v>
      </c>
      <c r="DF3" s="255" t="s">
        <v>94</v>
      </c>
      <c r="DG3" s="255" t="s">
        <v>142</v>
      </c>
      <c r="DH3" s="255" t="s">
        <v>95</v>
      </c>
      <c r="DI3" s="255" t="s">
        <v>96</v>
      </c>
      <c r="DJ3" s="255" t="s">
        <v>143</v>
      </c>
      <c r="DK3" s="255" t="s">
        <v>97</v>
      </c>
      <c r="DL3" s="255" t="s">
        <v>98</v>
      </c>
      <c r="DM3" s="255" t="s">
        <v>144</v>
      </c>
      <c r="DN3" s="255" t="s">
        <v>99</v>
      </c>
      <c r="DO3" s="255" t="s">
        <v>94</v>
      </c>
      <c r="DP3" s="255" t="s">
        <v>142</v>
      </c>
      <c r="DQ3" s="255" t="s">
        <v>95</v>
      </c>
      <c r="DR3" s="255" t="s">
        <v>96</v>
      </c>
      <c r="DS3" s="255" t="s">
        <v>143</v>
      </c>
      <c r="DT3" s="255" t="s">
        <v>97</v>
      </c>
      <c r="DU3" s="255" t="s">
        <v>98</v>
      </c>
      <c r="DV3" s="255" t="s">
        <v>144</v>
      </c>
      <c r="DW3" s="255" t="s">
        <v>99</v>
      </c>
      <c r="DX3" s="255" t="s">
        <v>94</v>
      </c>
      <c r="DY3" s="255" t="s">
        <v>142</v>
      </c>
      <c r="DZ3" s="255" t="s">
        <v>95</v>
      </c>
      <c r="EA3" s="255" t="s">
        <v>96</v>
      </c>
      <c r="EB3" s="255" t="s">
        <v>143</v>
      </c>
      <c r="EC3" s="255" t="s">
        <v>97</v>
      </c>
      <c r="ED3" s="255" t="s">
        <v>98</v>
      </c>
      <c r="EE3" s="255" t="s">
        <v>144</v>
      </c>
      <c r="EF3" s="256" t="s">
        <v>99</v>
      </c>
      <c r="EG3" s="255" t="s">
        <v>94</v>
      </c>
      <c r="EH3" s="255" t="s">
        <v>142</v>
      </c>
      <c r="EI3" s="255" t="s">
        <v>95</v>
      </c>
      <c r="EJ3" s="255" t="s">
        <v>96</v>
      </c>
      <c r="EK3" s="255" t="s">
        <v>143</v>
      </c>
      <c r="EL3" s="255" t="s">
        <v>97</v>
      </c>
      <c r="EM3" s="255" t="s">
        <v>98</v>
      </c>
      <c r="EN3" s="255" t="s">
        <v>144</v>
      </c>
      <c r="EO3" s="255" t="s">
        <v>99</v>
      </c>
      <c r="EP3" s="255" t="s">
        <v>94</v>
      </c>
      <c r="EQ3" s="255" t="s">
        <v>142</v>
      </c>
      <c r="ER3" s="255" t="s">
        <v>95</v>
      </c>
      <c r="ES3" s="255" t="s">
        <v>96</v>
      </c>
      <c r="ET3" s="255" t="s">
        <v>143</v>
      </c>
      <c r="EU3" s="255" t="s">
        <v>97</v>
      </c>
      <c r="EV3" s="255" t="s">
        <v>98</v>
      </c>
      <c r="EW3" s="255" t="s">
        <v>144</v>
      </c>
      <c r="EX3" s="255" t="s">
        <v>99</v>
      </c>
      <c r="EY3" s="255" t="s">
        <v>94</v>
      </c>
      <c r="EZ3" s="255" t="s">
        <v>142</v>
      </c>
      <c r="FA3" s="255" t="s">
        <v>95</v>
      </c>
      <c r="FB3" s="255" t="s">
        <v>96</v>
      </c>
      <c r="FC3" s="255" t="s">
        <v>143</v>
      </c>
      <c r="FD3" s="255" t="s">
        <v>97</v>
      </c>
      <c r="FE3" s="255" t="s">
        <v>98</v>
      </c>
      <c r="FF3" s="255" t="s">
        <v>144</v>
      </c>
      <c r="FG3" s="255" t="s">
        <v>99</v>
      </c>
      <c r="FH3" s="255" t="s">
        <v>94</v>
      </c>
      <c r="FI3" s="255" t="s">
        <v>142</v>
      </c>
      <c r="FJ3" s="255" t="s">
        <v>95</v>
      </c>
      <c r="FK3" s="255" t="s">
        <v>96</v>
      </c>
      <c r="FL3" s="255" t="s">
        <v>143</v>
      </c>
      <c r="FM3" s="255" t="s">
        <v>97</v>
      </c>
      <c r="FN3" s="255" t="s">
        <v>98</v>
      </c>
      <c r="FO3" s="255" t="s">
        <v>144</v>
      </c>
      <c r="FP3" s="255" t="s">
        <v>99</v>
      </c>
      <c r="FQ3" s="255" t="s">
        <v>94</v>
      </c>
      <c r="FR3" s="255" t="s">
        <v>142</v>
      </c>
      <c r="FS3" s="255" t="s">
        <v>95</v>
      </c>
      <c r="FT3" s="255" t="s">
        <v>96</v>
      </c>
      <c r="FU3" s="255" t="s">
        <v>143</v>
      </c>
      <c r="FV3" s="255" t="s">
        <v>97</v>
      </c>
      <c r="FW3" s="255" t="s">
        <v>98</v>
      </c>
      <c r="FX3" s="255" t="s">
        <v>144</v>
      </c>
      <c r="FY3" s="256" t="s">
        <v>99</v>
      </c>
      <c r="FZ3" s="255" t="s">
        <v>94</v>
      </c>
      <c r="GA3" s="255" t="s">
        <v>142</v>
      </c>
      <c r="GB3" s="255" t="s">
        <v>95</v>
      </c>
      <c r="GC3" s="255" t="s">
        <v>96</v>
      </c>
      <c r="GD3" s="255" t="s">
        <v>143</v>
      </c>
      <c r="GE3" s="255" t="s">
        <v>97</v>
      </c>
      <c r="GF3" s="255" t="s">
        <v>98</v>
      </c>
      <c r="GG3" s="255" t="s">
        <v>144</v>
      </c>
      <c r="GH3" s="255" t="s">
        <v>99</v>
      </c>
      <c r="GI3" s="255" t="s">
        <v>94</v>
      </c>
      <c r="GJ3" s="255" t="s">
        <v>142</v>
      </c>
      <c r="GK3" s="255" t="s">
        <v>95</v>
      </c>
      <c r="GL3" s="255" t="s">
        <v>96</v>
      </c>
      <c r="GM3" s="255" t="s">
        <v>143</v>
      </c>
      <c r="GN3" s="255" t="s">
        <v>97</v>
      </c>
      <c r="GO3" s="255" t="s">
        <v>98</v>
      </c>
      <c r="GP3" s="255" t="s">
        <v>144</v>
      </c>
      <c r="GQ3" s="255" t="s">
        <v>99</v>
      </c>
      <c r="GR3" s="255" t="s">
        <v>94</v>
      </c>
      <c r="GS3" s="255" t="s">
        <v>142</v>
      </c>
      <c r="GT3" s="255" t="s">
        <v>95</v>
      </c>
      <c r="GU3" s="255" t="s">
        <v>96</v>
      </c>
      <c r="GV3" s="255" t="s">
        <v>143</v>
      </c>
      <c r="GW3" s="255" t="s">
        <v>97</v>
      </c>
      <c r="GX3" s="255" t="s">
        <v>98</v>
      </c>
      <c r="GY3" s="255" t="s">
        <v>144</v>
      </c>
      <c r="GZ3" s="255" t="s">
        <v>99</v>
      </c>
      <c r="HA3" s="255" t="s">
        <v>94</v>
      </c>
      <c r="HB3" s="255" t="s">
        <v>142</v>
      </c>
      <c r="HC3" s="255" t="s">
        <v>95</v>
      </c>
      <c r="HD3" s="255" t="s">
        <v>96</v>
      </c>
      <c r="HE3" s="255" t="s">
        <v>143</v>
      </c>
      <c r="HF3" s="255" t="s">
        <v>97</v>
      </c>
      <c r="HG3" s="255" t="s">
        <v>98</v>
      </c>
      <c r="HH3" s="255" t="s">
        <v>144</v>
      </c>
      <c r="HI3" s="255" t="s">
        <v>99</v>
      </c>
      <c r="HJ3" s="255" t="s">
        <v>94</v>
      </c>
      <c r="HK3" s="255" t="s">
        <v>142</v>
      </c>
      <c r="HL3" s="255" t="s">
        <v>95</v>
      </c>
      <c r="HM3" s="255" t="s">
        <v>96</v>
      </c>
      <c r="HN3" s="255" t="s">
        <v>143</v>
      </c>
      <c r="HO3" s="255" t="s">
        <v>97</v>
      </c>
      <c r="HP3" s="255" t="s">
        <v>98</v>
      </c>
      <c r="HQ3" s="255" t="s">
        <v>144</v>
      </c>
      <c r="HR3" s="256" t="s">
        <v>99</v>
      </c>
      <c r="HS3" s="255" t="s">
        <v>94</v>
      </c>
      <c r="HT3" s="255" t="s">
        <v>142</v>
      </c>
      <c r="HU3" s="255" t="s">
        <v>95</v>
      </c>
      <c r="HV3" s="255" t="s">
        <v>96</v>
      </c>
      <c r="HW3" s="255" t="s">
        <v>143</v>
      </c>
      <c r="HX3" s="255" t="s">
        <v>97</v>
      </c>
      <c r="HY3" s="255" t="s">
        <v>98</v>
      </c>
      <c r="HZ3" s="255" t="s">
        <v>144</v>
      </c>
      <c r="IA3" s="255" t="s">
        <v>99</v>
      </c>
      <c r="IB3" s="255" t="s">
        <v>94</v>
      </c>
      <c r="IC3" s="255" t="s">
        <v>142</v>
      </c>
      <c r="ID3" s="255" t="s">
        <v>95</v>
      </c>
      <c r="IE3" s="255" t="s">
        <v>96</v>
      </c>
      <c r="IF3" s="255" t="s">
        <v>143</v>
      </c>
      <c r="IG3" s="255" t="s">
        <v>97</v>
      </c>
      <c r="IH3" s="255" t="s">
        <v>98</v>
      </c>
      <c r="II3" s="255" t="s">
        <v>144</v>
      </c>
      <c r="IJ3" s="255" t="s">
        <v>99</v>
      </c>
      <c r="IK3" s="255" t="s">
        <v>94</v>
      </c>
      <c r="IL3" s="255" t="s">
        <v>142</v>
      </c>
      <c r="IM3" s="255" t="s">
        <v>95</v>
      </c>
      <c r="IN3" s="255" t="s">
        <v>96</v>
      </c>
      <c r="IO3" s="255" t="s">
        <v>143</v>
      </c>
      <c r="IP3" s="255" t="s">
        <v>97</v>
      </c>
      <c r="IQ3" s="255" t="s">
        <v>98</v>
      </c>
      <c r="IR3" s="255" t="s">
        <v>144</v>
      </c>
      <c r="IS3" s="255" t="s">
        <v>99</v>
      </c>
      <c r="IT3" s="255" t="s">
        <v>94</v>
      </c>
      <c r="IU3" s="255" t="s">
        <v>142</v>
      </c>
      <c r="IV3" s="255" t="s">
        <v>95</v>
      </c>
      <c r="IW3" s="255" t="s">
        <v>96</v>
      </c>
      <c r="IX3" s="255" t="s">
        <v>143</v>
      </c>
      <c r="IY3" s="255" t="s">
        <v>97</v>
      </c>
      <c r="IZ3" s="255" t="s">
        <v>98</v>
      </c>
      <c r="JA3" s="255" t="s">
        <v>144</v>
      </c>
      <c r="JB3" s="255" t="s">
        <v>99</v>
      </c>
      <c r="JC3" s="255" t="s">
        <v>94</v>
      </c>
      <c r="JD3" s="255" t="s">
        <v>142</v>
      </c>
      <c r="JE3" s="255" t="s">
        <v>95</v>
      </c>
      <c r="JF3" s="255" t="s">
        <v>96</v>
      </c>
      <c r="JG3" s="255" t="s">
        <v>143</v>
      </c>
      <c r="JH3" s="255" t="s">
        <v>97</v>
      </c>
      <c r="JI3" s="255" t="s">
        <v>98</v>
      </c>
      <c r="JJ3" s="255" t="s">
        <v>144</v>
      </c>
      <c r="JK3" s="256" t="s">
        <v>99</v>
      </c>
      <c r="JL3" s="255" t="s">
        <v>94</v>
      </c>
      <c r="JM3" s="255" t="s">
        <v>142</v>
      </c>
      <c r="JN3" s="255" t="s">
        <v>95</v>
      </c>
      <c r="JO3" s="255" t="s">
        <v>96</v>
      </c>
      <c r="JP3" s="255" t="s">
        <v>143</v>
      </c>
      <c r="JQ3" s="255" t="s">
        <v>97</v>
      </c>
      <c r="JR3" s="255" t="s">
        <v>98</v>
      </c>
      <c r="JS3" s="255" t="s">
        <v>144</v>
      </c>
      <c r="JT3" s="255" t="s">
        <v>99</v>
      </c>
      <c r="JU3" s="255" t="s">
        <v>94</v>
      </c>
      <c r="JV3" s="255" t="s">
        <v>142</v>
      </c>
      <c r="JW3" s="255" t="s">
        <v>95</v>
      </c>
      <c r="JX3" s="255" t="s">
        <v>96</v>
      </c>
      <c r="JY3" s="255" t="s">
        <v>143</v>
      </c>
      <c r="JZ3" s="255" t="s">
        <v>97</v>
      </c>
      <c r="KA3" s="255" t="s">
        <v>98</v>
      </c>
      <c r="KB3" s="255" t="s">
        <v>144</v>
      </c>
      <c r="KC3" s="255" t="s">
        <v>99</v>
      </c>
      <c r="KD3" s="255" t="s">
        <v>94</v>
      </c>
      <c r="KE3" s="255" t="s">
        <v>142</v>
      </c>
      <c r="KF3" s="255" t="s">
        <v>95</v>
      </c>
      <c r="KG3" s="255" t="s">
        <v>96</v>
      </c>
      <c r="KH3" s="255" t="s">
        <v>143</v>
      </c>
      <c r="KI3" s="255" t="s">
        <v>97</v>
      </c>
      <c r="KJ3" s="255" t="s">
        <v>98</v>
      </c>
      <c r="KK3" s="255" t="s">
        <v>144</v>
      </c>
      <c r="KL3" s="255" t="s">
        <v>99</v>
      </c>
      <c r="KM3" s="255" t="s">
        <v>94</v>
      </c>
      <c r="KN3" s="255" t="s">
        <v>142</v>
      </c>
      <c r="KO3" s="255" t="s">
        <v>95</v>
      </c>
      <c r="KP3" s="255" t="s">
        <v>96</v>
      </c>
      <c r="KQ3" s="255" t="s">
        <v>143</v>
      </c>
      <c r="KR3" s="255" t="s">
        <v>97</v>
      </c>
      <c r="KS3" s="255" t="s">
        <v>98</v>
      </c>
      <c r="KT3" s="255" t="s">
        <v>144</v>
      </c>
      <c r="KU3" s="255" t="s">
        <v>99</v>
      </c>
      <c r="KV3" s="255" t="s">
        <v>94</v>
      </c>
      <c r="KW3" s="255" t="s">
        <v>142</v>
      </c>
      <c r="KX3" s="255" t="s">
        <v>95</v>
      </c>
      <c r="KY3" s="255" t="s">
        <v>96</v>
      </c>
      <c r="KZ3" s="255" t="s">
        <v>143</v>
      </c>
      <c r="LA3" s="255" t="s">
        <v>97</v>
      </c>
      <c r="LB3" s="255" t="s">
        <v>98</v>
      </c>
      <c r="LC3" s="255" t="s">
        <v>144</v>
      </c>
      <c r="LD3" s="256" t="s">
        <v>99</v>
      </c>
      <c r="LE3" s="255" t="s">
        <v>94</v>
      </c>
      <c r="LF3" s="255" t="s">
        <v>142</v>
      </c>
      <c r="LG3" s="255" t="s">
        <v>95</v>
      </c>
      <c r="LH3" s="255" t="s">
        <v>96</v>
      </c>
      <c r="LI3" s="255" t="s">
        <v>143</v>
      </c>
      <c r="LJ3" s="255" t="s">
        <v>97</v>
      </c>
      <c r="LK3" s="255" t="s">
        <v>98</v>
      </c>
      <c r="LL3" s="255" t="s">
        <v>144</v>
      </c>
      <c r="LM3" s="255" t="s">
        <v>99</v>
      </c>
      <c r="LN3" s="255" t="s">
        <v>94</v>
      </c>
      <c r="LO3" s="255" t="s">
        <v>142</v>
      </c>
      <c r="LP3" s="255" t="s">
        <v>95</v>
      </c>
      <c r="LQ3" s="255" t="s">
        <v>96</v>
      </c>
      <c r="LR3" s="255" t="s">
        <v>143</v>
      </c>
      <c r="LS3" s="255" t="s">
        <v>97</v>
      </c>
      <c r="LT3" s="255" t="s">
        <v>98</v>
      </c>
      <c r="LU3" s="255" t="s">
        <v>144</v>
      </c>
      <c r="LV3" s="255" t="s">
        <v>99</v>
      </c>
      <c r="LW3" s="255" t="s">
        <v>94</v>
      </c>
      <c r="LX3" s="255" t="s">
        <v>142</v>
      </c>
      <c r="LY3" s="255" t="s">
        <v>95</v>
      </c>
      <c r="LZ3" s="255" t="s">
        <v>96</v>
      </c>
      <c r="MA3" s="255" t="s">
        <v>143</v>
      </c>
      <c r="MB3" s="255" t="s">
        <v>97</v>
      </c>
      <c r="MC3" s="255" t="s">
        <v>98</v>
      </c>
      <c r="MD3" s="255" t="s">
        <v>144</v>
      </c>
      <c r="ME3" s="255" t="s">
        <v>99</v>
      </c>
      <c r="MF3" s="255" t="s">
        <v>94</v>
      </c>
      <c r="MG3" s="255" t="s">
        <v>142</v>
      </c>
      <c r="MH3" s="255" t="s">
        <v>95</v>
      </c>
      <c r="MI3" s="255" t="s">
        <v>96</v>
      </c>
      <c r="MJ3" s="255" t="s">
        <v>143</v>
      </c>
      <c r="MK3" s="255" t="s">
        <v>97</v>
      </c>
      <c r="ML3" s="255" t="s">
        <v>98</v>
      </c>
      <c r="MM3" s="255" t="s">
        <v>144</v>
      </c>
      <c r="MN3" s="255" t="s">
        <v>99</v>
      </c>
      <c r="MO3" s="255" t="s">
        <v>94</v>
      </c>
      <c r="MP3" s="255" t="s">
        <v>142</v>
      </c>
      <c r="MQ3" s="255" t="s">
        <v>95</v>
      </c>
      <c r="MR3" s="255" t="s">
        <v>96</v>
      </c>
      <c r="MS3" s="255" t="s">
        <v>143</v>
      </c>
      <c r="MT3" s="255" t="s">
        <v>97</v>
      </c>
      <c r="MU3" s="255" t="s">
        <v>98</v>
      </c>
      <c r="MV3" s="255" t="s">
        <v>144</v>
      </c>
      <c r="MW3" s="256" t="s">
        <v>99</v>
      </c>
      <c r="MX3" s="255" t="s">
        <v>94</v>
      </c>
      <c r="MY3" s="255" t="s">
        <v>142</v>
      </c>
      <c r="MZ3" s="255" t="s">
        <v>95</v>
      </c>
      <c r="NA3" s="255" t="s">
        <v>96</v>
      </c>
      <c r="NB3" s="255" t="s">
        <v>143</v>
      </c>
      <c r="NC3" s="255" t="s">
        <v>97</v>
      </c>
      <c r="ND3" s="255" t="s">
        <v>98</v>
      </c>
      <c r="NE3" s="255" t="s">
        <v>144</v>
      </c>
      <c r="NF3" s="255" t="s">
        <v>99</v>
      </c>
      <c r="NG3" s="255" t="s">
        <v>94</v>
      </c>
      <c r="NH3" s="255" t="s">
        <v>142</v>
      </c>
      <c r="NI3" s="255" t="s">
        <v>95</v>
      </c>
      <c r="NJ3" s="255" t="s">
        <v>96</v>
      </c>
      <c r="NK3" s="255" t="s">
        <v>143</v>
      </c>
      <c r="NL3" s="255" t="s">
        <v>97</v>
      </c>
      <c r="NM3" s="255" t="s">
        <v>98</v>
      </c>
      <c r="NN3" s="255" t="s">
        <v>144</v>
      </c>
      <c r="NO3" s="255" t="s">
        <v>99</v>
      </c>
      <c r="NP3" s="255" t="s">
        <v>94</v>
      </c>
      <c r="NQ3" s="255" t="s">
        <v>142</v>
      </c>
      <c r="NR3" s="255" t="s">
        <v>95</v>
      </c>
      <c r="NS3" s="255" t="s">
        <v>96</v>
      </c>
      <c r="NT3" s="255" t="s">
        <v>143</v>
      </c>
      <c r="NU3" s="255" t="s">
        <v>97</v>
      </c>
      <c r="NV3" s="255" t="s">
        <v>98</v>
      </c>
      <c r="NW3" s="255" t="s">
        <v>144</v>
      </c>
      <c r="NX3" s="255" t="s">
        <v>99</v>
      </c>
      <c r="NY3" s="255" t="s">
        <v>94</v>
      </c>
      <c r="NZ3" s="255" t="s">
        <v>142</v>
      </c>
      <c r="OA3" s="255" t="s">
        <v>95</v>
      </c>
      <c r="OB3" s="255" t="s">
        <v>96</v>
      </c>
      <c r="OC3" s="255" t="s">
        <v>143</v>
      </c>
      <c r="OD3" s="255" t="s">
        <v>97</v>
      </c>
      <c r="OE3" s="255" t="s">
        <v>98</v>
      </c>
      <c r="OF3" s="255" t="s">
        <v>144</v>
      </c>
      <c r="OG3" s="255" t="s">
        <v>99</v>
      </c>
      <c r="OH3" s="255" t="s">
        <v>94</v>
      </c>
      <c r="OI3" s="255" t="s">
        <v>142</v>
      </c>
      <c r="OJ3" s="255" t="s">
        <v>95</v>
      </c>
      <c r="OK3" s="255" t="s">
        <v>96</v>
      </c>
      <c r="OL3" s="255" t="s">
        <v>143</v>
      </c>
      <c r="OM3" s="255" t="s">
        <v>97</v>
      </c>
      <c r="ON3" s="255" t="s">
        <v>98</v>
      </c>
      <c r="OO3" s="255" t="s">
        <v>144</v>
      </c>
      <c r="OP3" s="256" t="s">
        <v>99</v>
      </c>
      <c r="OQ3" s="255" t="s">
        <v>94</v>
      </c>
      <c r="OR3" s="255" t="s">
        <v>142</v>
      </c>
      <c r="OS3" s="255" t="s">
        <v>95</v>
      </c>
      <c r="OT3" s="255" t="s">
        <v>96</v>
      </c>
      <c r="OU3" s="255" t="s">
        <v>143</v>
      </c>
      <c r="OV3" s="255" t="s">
        <v>97</v>
      </c>
      <c r="OW3" s="255" t="s">
        <v>98</v>
      </c>
      <c r="OX3" s="255" t="s">
        <v>144</v>
      </c>
      <c r="OY3" s="255" t="s">
        <v>99</v>
      </c>
      <c r="OZ3" s="255" t="s">
        <v>94</v>
      </c>
      <c r="PA3" s="255" t="s">
        <v>142</v>
      </c>
      <c r="PB3" s="255" t="s">
        <v>95</v>
      </c>
      <c r="PC3" s="255" t="s">
        <v>96</v>
      </c>
      <c r="PD3" s="255" t="s">
        <v>143</v>
      </c>
      <c r="PE3" s="255" t="s">
        <v>97</v>
      </c>
      <c r="PF3" s="255" t="s">
        <v>98</v>
      </c>
      <c r="PG3" s="255" t="s">
        <v>144</v>
      </c>
      <c r="PH3" s="255" t="s">
        <v>99</v>
      </c>
      <c r="PI3" s="255" t="s">
        <v>94</v>
      </c>
      <c r="PJ3" s="255" t="s">
        <v>142</v>
      </c>
      <c r="PK3" s="255" t="s">
        <v>95</v>
      </c>
      <c r="PL3" s="255" t="s">
        <v>96</v>
      </c>
      <c r="PM3" s="255" t="s">
        <v>143</v>
      </c>
      <c r="PN3" s="255" t="s">
        <v>97</v>
      </c>
      <c r="PO3" s="255" t="s">
        <v>98</v>
      </c>
      <c r="PP3" s="255" t="s">
        <v>144</v>
      </c>
      <c r="PQ3" s="255" t="s">
        <v>99</v>
      </c>
      <c r="PR3" s="255" t="s">
        <v>94</v>
      </c>
      <c r="PS3" s="255" t="s">
        <v>142</v>
      </c>
      <c r="PT3" s="255" t="s">
        <v>95</v>
      </c>
      <c r="PU3" s="255" t="s">
        <v>96</v>
      </c>
      <c r="PV3" s="255" t="s">
        <v>143</v>
      </c>
      <c r="PW3" s="255" t="s">
        <v>97</v>
      </c>
      <c r="PX3" s="255" t="s">
        <v>98</v>
      </c>
      <c r="PY3" s="255" t="s">
        <v>144</v>
      </c>
      <c r="PZ3" s="255" t="s">
        <v>99</v>
      </c>
      <c r="QA3" s="255" t="s">
        <v>94</v>
      </c>
      <c r="QB3" s="255" t="s">
        <v>142</v>
      </c>
      <c r="QC3" s="255" t="s">
        <v>95</v>
      </c>
      <c r="QD3" s="255" t="s">
        <v>96</v>
      </c>
      <c r="QE3" s="255" t="s">
        <v>143</v>
      </c>
      <c r="QF3" s="255" t="s">
        <v>97</v>
      </c>
      <c r="QG3" s="255" t="s">
        <v>98</v>
      </c>
      <c r="QH3" s="255" t="s">
        <v>144</v>
      </c>
      <c r="QI3" s="256" t="s">
        <v>99</v>
      </c>
      <c r="QJ3" s="255" t="s">
        <v>94</v>
      </c>
      <c r="QK3" s="255" t="s">
        <v>142</v>
      </c>
      <c r="QL3" s="255" t="s">
        <v>95</v>
      </c>
      <c r="QM3" s="255" t="s">
        <v>96</v>
      </c>
      <c r="QN3" s="255" t="s">
        <v>143</v>
      </c>
      <c r="QO3" s="255" t="s">
        <v>97</v>
      </c>
      <c r="QP3" s="255" t="s">
        <v>98</v>
      </c>
      <c r="QQ3" s="255" t="s">
        <v>144</v>
      </c>
      <c r="QR3" s="255" t="s">
        <v>99</v>
      </c>
      <c r="QS3" s="255" t="s">
        <v>94</v>
      </c>
      <c r="QT3" s="255" t="s">
        <v>142</v>
      </c>
      <c r="QU3" s="255" t="s">
        <v>95</v>
      </c>
      <c r="QV3" s="255" t="s">
        <v>96</v>
      </c>
      <c r="QW3" s="255" t="s">
        <v>143</v>
      </c>
      <c r="QX3" s="255" t="s">
        <v>97</v>
      </c>
      <c r="QY3" s="255" t="s">
        <v>98</v>
      </c>
      <c r="QZ3" s="255" t="s">
        <v>144</v>
      </c>
      <c r="RA3" s="255" t="s">
        <v>99</v>
      </c>
      <c r="RB3" s="255" t="s">
        <v>94</v>
      </c>
      <c r="RC3" s="255" t="s">
        <v>142</v>
      </c>
      <c r="RD3" s="255" t="s">
        <v>95</v>
      </c>
      <c r="RE3" s="255" t="s">
        <v>96</v>
      </c>
      <c r="RF3" s="255" t="s">
        <v>143</v>
      </c>
      <c r="RG3" s="255" t="s">
        <v>97</v>
      </c>
      <c r="RH3" s="255" t="s">
        <v>98</v>
      </c>
      <c r="RI3" s="255" t="s">
        <v>144</v>
      </c>
      <c r="RJ3" s="255" t="s">
        <v>99</v>
      </c>
      <c r="RK3" s="255" t="s">
        <v>94</v>
      </c>
      <c r="RL3" s="255" t="s">
        <v>142</v>
      </c>
      <c r="RM3" s="255" t="s">
        <v>95</v>
      </c>
      <c r="RN3" s="255" t="s">
        <v>96</v>
      </c>
      <c r="RO3" s="255" t="s">
        <v>143</v>
      </c>
      <c r="RP3" s="255" t="s">
        <v>97</v>
      </c>
      <c r="RQ3" s="255" t="s">
        <v>98</v>
      </c>
      <c r="RR3" s="255" t="s">
        <v>144</v>
      </c>
      <c r="RS3" s="255" t="s">
        <v>99</v>
      </c>
      <c r="RT3" s="255" t="s">
        <v>94</v>
      </c>
      <c r="RU3" s="255" t="s">
        <v>142</v>
      </c>
      <c r="RV3" s="255" t="s">
        <v>95</v>
      </c>
      <c r="RW3" s="255" t="s">
        <v>96</v>
      </c>
      <c r="RX3" s="255" t="s">
        <v>143</v>
      </c>
      <c r="RY3" s="255" t="s">
        <v>97</v>
      </c>
      <c r="RZ3" s="255" t="s">
        <v>98</v>
      </c>
      <c r="SA3" s="255" t="s">
        <v>144</v>
      </c>
      <c r="SB3" s="256" t="s">
        <v>99</v>
      </c>
      <c r="SC3" s="255" t="s">
        <v>94</v>
      </c>
      <c r="SD3" s="255" t="s">
        <v>142</v>
      </c>
      <c r="SE3" s="255" t="s">
        <v>95</v>
      </c>
      <c r="SF3" s="255" t="s">
        <v>96</v>
      </c>
      <c r="SG3" s="255" t="s">
        <v>143</v>
      </c>
      <c r="SH3" s="255" t="s">
        <v>97</v>
      </c>
      <c r="SI3" s="255" t="s">
        <v>98</v>
      </c>
      <c r="SJ3" s="255" t="s">
        <v>144</v>
      </c>
      <c r="SK3" s="255" t="s">
        <v>99</v>
      </c>
      <c r="SL3" s="255" t="s">
        <v>94</v>
      </c>
      <c r="SM3" s="255" t="s">
        <v>142</v>
      </c>
      <c r="SN3" s="255" t="s">
        <v>95</v>
      </c>
      <c r="SO3" s="255" t="s">
        <v>96</v>
      </c>
      <c r="SP3" s="255" t="s">
        <v>143</v>
      </c>
      <c r="SQ3" s="255" t="s">
        <v>97</v>
      </c>
      <c r="SR3" s="255" t="s">
        <v>98</v>
      </c>
      <c r="SS3" s="255" t="s">
        <v>144</v>
      </c>
      <c r="ST3" s="255" t="s">
        <v>99</v>
      </c>
      <c r="SU3" s="255" t="s">
        <v>94</v>
      </c>
      <c r="SV3" s="255" t="s">
        <v>142</v>
      </c>
      <c r="SW3" s="255" t="s">
        <v>95</v>
      </c>
      <c r="SX3" s="255" t="s">
        <v>96</v>
      </c>
      <c r="SY3" s="255" t="s">
        <v>143</v>
      </c>
      <c r="SZ3" s="255" t="s">
        <v>97</v>
      </c>
      <c r="TA3" s="255" t="s">
        <v>98</v>
      </c>
      <c r="TB3" s="255" t="s">
        <v>144</v>
      </c>
      <c r="TC3" s="255" t="s">
        <v>99</v>
      </c>
      <c r="TD3" s="255" t="s">
        <v>94</v>
      </c>
      <c r="TE3" s="255" t="s">
        <v>142</v>
      </c>
      <c r="TF3" s="255" t="s">
        <v>95</v>
      </c>
      <c r="TG3" s="255" t="s">
        <v>96</v>
      </c>
      <c r="TH3" s="255" t="s">
        <v>143</v>
      </c>
      <c r="TI3" s="255" t="s">
        <v>97</v>
      </c>
      <c r="TJ3" s="255" t="s">
        <v>98</v>
      </c>
      <c r="TK3" s="255" t="s">
        <v>144</v>
      </c>
      <c r="TL3" s="255" t="s">
        <v>99</v>
      </c>
      <c r="TM3" s="255" t="s">
        <v>94</v>
      </c>
      <c r="TN3" s="255" t="s">
        <v>142</v>
      </c>
      <c r="TO3" s="255" t="s">
        <v>95</v>
      </c>
      <c r="TP3" s="255" t="s">
        <v>96</v>
      </c>
      <c r="TQ3" s="255" t="s">
        <v>143</v>
      </c>
      <c r="TR3" s="255" t="s">
        <v>97</v>
      </c>
      <c r="TS3" s="255" t="s">
        <v>98</v>
      </c>
      <c r="TT3" s="255" t="s">
        <v>144</v>
      </c>
      <c r="TU3" s="256" t="s">
        <v>99</v>
      </c>
      <c r="TV3" s="255" t="s">
        <v>94</v>
      </c>
      <c r="TW3" s="255" t="s">
        <v>142</v>
      </c>
      <c r="TX3" s="255" t="s">
        <v>95</v>
      </c>
      <c r="TY3" s="255" t="s">
        <v>96</v>
      </c>
      <c r="TZ3" s="255" t="s">
        <v>143</v>
      </c>
      <c r="UA3" s="255" t="s">
        <v>97</v>
      </c>
      <c r="UB3" s="255" t="s">
        <v>98</v>
      </c>
      <c r="UC3" s="255" t="s">
        <v>144</v>
      </c>
      <c r="UD3" s="255" t="s">
        <v>99</v>
      </c>
      <c r="UE3" s="255" t="s">
        <v>94</v>
      </c>
      <c r="UF3" s="255" t="s">
        <v>142</v>
      </c>
      <c r="UG3" s="255" t="s">
        <v>95</v>
      </c>
      <c r="UH3" s="255" t="s">
        <v>96</v>
      </c>
      <c r="UI3" s="255" t="s">
        <v>143</v>
      </c>
      <c r="UJ3" s="255" t="s">
        <v>97</v>
      </c>
      <c r="UK3" s="255" t="s">
        <v>98</v>
      </c>
      <c r="UL3" s="255" t="s">
        <v>144</v>
      </c>
      <c r="UM3" s="255" t="s">
        <v>99</v>
      </c>
      <c r="UN3" s="255" t="s">
        <v>94</v>
      </c>
      <c r="UO3" s="255" t="s">
        <v>142</v>
      </c>
      <c r="UP3" s="255" t="s">
        <v>95</v>
      </c>
      <c r="UQ3" s="255" t="s">
        <v>96</v>
      </c>
      <c r="UR3" s="255" t="s">
        <v>143</v>
      </c>
      <c r="US3" s="255" t="s">
        <v>97</v>
      </c>
      <c r="UT3" s="255" t="s">
        <v>98</v>
      </c>
      <c r="UU3" s="255" t="s">
        <v>144</v>
      </c>
      <c r="UV3" s="255" t="s">
        <v>99</v>
      </c>
      <c r="UW3" s="255" t="s">
        <v>94</v>
      </c>
      <c r="UX3" s="255" t="s">
        <v>142</v>
      </c>
      <c r="UY3" s="255" t="s">
        <v>95</v>
      </c>
      <c r="UZ3" s="255" t="s">
        <v>96</v>
      </c>
      <c r="VA3" s="255" t="s">
        <v>143</v>
      </c>
      <c r="VB3" s="255" t="s">
        <v>97</v>
      </c>
      <c r="VC3" s="255" t="s">
        <v>98</v>
      </c>
      <c r="VD3" s="255" t="s">
        <v>144</v>
      </c>
      <c r="VE3" s="255" t="s">
        <v>99</v>
      </c>
      <c r="VF3" s="255" t="s">
        <v>94</v>
      </c>
      <c r="VG3" s="255" t="s">
        <v>142</v>
      </c>
      <c r="VH3" s="255" t="s">
        <v>95</v>
      </c>
      <c r="VI3" s="255" t="s">
        <v>96</v>
      </c>
      <c r="VJ3" s="255" t="s">
        <v>143</v>
      </c>
      <c r="VK3" s="255" t="s">
        <v>97</v>
      </c>
      <c r="VL3" s="255" t="s">
        <v>98</v>
      </c>
      <c r="VM3" s="255" t="s">
        <v>144</v>
      </c>
      <c r="VN3" s="256" t="s">
        <v>99</v>
      </c>
    </row>
    <row r="4" spans="1:586">
      <c r="A4" s="163" t="s">
        <v>102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6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6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6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6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6"/>
      <c r="JL4" s="255"/>
      <c r="JM4" s="255"/>
      <c r="JN4" s="255"/>
      <c r="JO4" s="255"/>
      <c r="JP4" s="255"/>
      <c r="JQ4" s="255"/>
      <c r="JR4" s="255"/>
      <c r="JS4" s="255"/>
      <c r="JT4" s="255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5"/>
      <c r="KY4" s="255"/>
      <c r="KZ4" s="255"/>
      <c r="LA4" s="255"/>
      <c r="LB4" s="255"/>
      <c r="LC4" s="255"/>
      <c r="LD4" s="256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5"/>
      <c r="MC4" s="255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6"/>
      <c r="MX4" s="255"/>
      <c r="MY4" s="255"/>
      <c r="MZ4" s="255"/>
      <c r="NA4" s="255"/>
      <c r="NB4" s="255"/>
      <c r="NC4" s="255"/>
      <c r="ND4" s="255"/>
      <c r="NE4" s="255"/>
      <c r="NF4" s="255"/>
      <c r="NG4" s="255"/>
      <c r="NH4" s="255"/>
      <c r="NI4" s="255"/>
      <c r="NJ4" s="255"/>
      <c r="NK4" s="255"/>
      <c r="NL4" s="255"/>
      <c r="NM4" s="255"/>
      <c r="NN4" s="255"/>
      <c r="NO4" s="255"/>
      <c r="NP4" s="255"/>
      <c r="NQ4" s="255"/>
      <c r="NR4" s="255"/>
      <c r="NS4" s="255"/>
      <c r="NT4" s="255"/>
      <c r="NU4" s="255"/>
      <c r="NV4" s="255"/>
      <c r="NW4" s="255"/>
      <c r="NX4" s="255"/>
      <c r="NY4" s="255"/>
      <c r="NZ4" s="255"/>
      <c r="OA4" s="255"/>
      <c r="OB4" s="255"/>
      <c r="OC4" s="255"/>
      <c r="OD4" s="255"/>
      <c r="OE4" s="255"/>
      <c r="OF4" s="255"/>
      <c r="OG4" s="255"/>
      <c r="OH4" s="255"/>
      <c r="OI4" s="255"/>
      <c r="OJ4" s="255"/>
      <c r="OK4" s="255"/>
      <c r="OL4" s="255"/>
      <c r="OM4" s="255"/>
      <c r="ON4" s="255"/>
      <c r="OO4" s="255"/>
      <c r="OP4" s="256"/>
      <c r="OQ4" s="255"/>
      <c r="OR4" s="255"/>
      <c r="OS4" s="255"/>
      <c r="OT4" s="255"/>
      <c r="OU4" s="255"/>
      <c r="OV4" s="255"/>
      <c r="OW4" s="255"/>
      <c r="OX4" s="255"/>
      <c r="OY4" s="255"/>
      <c r="OZ4" s="255"/>
      <c r="PA4" s="255"/>
      <c r="PB4" s="255"/>
      <c r="PC4" s="255"/>
      <c r="PD4" s="255"/>
      <c r="PE4" s="255"/>
      <c r="PF4" s="255"/>
      <c r="PG4" s="255"/>
      <c r="PH4" s="255"/>
      <c r="PI4" s="255"/>
      <c r="PJ4" s="255"/>
      <c r="PK4" s="255"/>
      <c r="PL4" s="255"/>
      <c r="PM4" s="255"/>
      <c r="PN4" s="255"/>
      <c r="PO4" s="255"/>
      <c r="PP4" s="255"/>
      <c r="PQ4" s="255"/>
      <c r="PR4" s="255"/>
      <c r="PS4" s="255"/>
      <c r="PT4" s="255"/>
      <c r="PU4" s="255"/>
      <c r="PV4" s="255"/>
      <c r="PW4" s="255"/>
      <c r="PX4" s="255"/>
      <c r="PY4" s="255"/>
      <c r="PZ4" s="255"/>
      <c r="QA4" s="255"/>
      <c r="QB4" s="255"/>
      <c r="QC4" s="255"/>
      <c r="QD4" s="255"/>
      <c r="QE4" s="255"/>
      <c r="QF4" s="255"/>
      <c r="QG4" s="255"/>
      <c r="QH4" s="255"/>
      <c r="QI4" s="256"/>
      <c r="QJ4" s="255"/>
      <c r="QK4" s="255"/>
      <c r="QL4" s="255"/>
      <c r="QM4" s="255"/>
      <c r="QN4" s="255"/>
      <c r="QO4" s="255"/>
      <c r="QP4" s="255"/>
      <c r="QQ4" s="255"/>
      <c r="QR4" s="255"/>
      <c r="QS4" s="255"/>
      <c r="QT4" s="255"/>
      <c r="QU4" s="255"/>
      <c r="QV4" s="255"/>
      <c r="QW4" s="255"/>
      <c r="QX4" s="255"/>
      <c r="QY4" s="255"/>
      <c r="QZ4" s="255"/>
      <c r="RA4" s="255"/>
      <c r="RB4" s="255"/>
      <c r="RC4" s="255"/>
      <c r="RD4" s="255"/>
      <c r="RE4" s="255"/>
      <c r="RF4" s="255"/>
      <c r="RG4" s="255"/>
      <c r="RH4" s="255"/>
      <c r="RI4" s="255"/>
      <c r="RJ4" s="255"/>
      <c r="RK4" s="255"/>
      <c r="RL4" s="255"/>
      <c r="RM4" s="255"/>
      <c r="RN4" s="255"/>
      <c r="RO4" s="255"/>
      <c r="RP4" s="255"/>
      <c r="RQ4" s="255"/>
      <c r="RR4" s="255"/>
      <c r="RS4" s="255"/>
      <c r="RT4" s="255"/>
      <c r="RU4" s="255"/>
      <c r="RV4" s="255"/>
      <c r="RW4" s="255"/>
      <c r="RX4" s="255"/>
      <c r="RY4" s="255"/>
      <c r="RZ4" s="255"/>
      <c r="SA4" s="255"/>
      <c r="SB4" s="256"/>
      <c r="SC4" s="255"/>
      <c r="SD4" s="255"/>
      <c r="SE4" s="255"/>
      <c r="SF4" s="255"/>
      <c r="SG4" s="255"/>
      <c r="SH4" s="255"/>
      <c r="SI4" s="255"/>
      <c r="SJ4" s="255"/>
      <c r="SK4" s="255"/>
      <c r="SL4" s="255"/>
      <c r="SM4" s="255"/>
      <c r="SN4" s="255"/>
      <c r="SO4" s="255"/>
      <c r="SP4" s="255"/>
      <c r="SQ4" s="255"/>
      <c r="SR4" s="255"/>
      <c r="SS4" s="255"/>
      <c r="ST4" s="255"/>
      <c r="SU4" s="255"/>
      <c r="SV4" s="255"/>
      <c r="SW4" s="255"/>
      <c r="SX4" s="255"/>
      <c r="SY4" s="255"/>
      <c r="SZ4" s="255"/>
      <c r="TA4" s="255"/>
      <c r="TB4" s="255"/>
      <c r="TC4" s="255"/>
      <c r="TD4" s="255"/>
      <c r="TE4" s="255"/>
      <c r="TF4" s="255"/>
      <c r="TG4" s="255"/>
      <c r="TH4" s="255"/>
      <c r="TI4" s="255"/>
      <c r="TJ4" s="255"/>
      <c r="TK4" s="255"/>
      <c r="TL4" s="255"/>
      <c r="TM4" s="255"/>
      <c r="TN4" s="255"/>
      <c r="TO4" s="255"/>
      <c r="TP4" s="255"/>
      <c r="TQ4" s="255"/>
      <c r="TR4" s="255"/>
      <c r="TS4" s="255"/>
      <c r="TT4" s="255"/>
      <c r="TU4" s="256"/>
      <c r="TV4" s="255"/>
      <c r="TW4" s="255"/>
      <c r="TX4" s="255"/>
      <c r="TY4" s="255"/>
      <c r="TZ4" s="255"/>
      <c r="UA4" s="255"/>
      <c r="UB4" s="255"/>
      <c r="UC4" s="255"/>
      <c r="UD4" s="255"/>
      <c r="UE4" s="255"/>
      <c r="UF4" s="255"/>
      <c r="UG4" s="255"/>
      <c r="UH4" s="255"/>
      <c r="UI4" s="255"/>
      <c r="UJ4" s="255"/>
      <c r="UK4" s="255"/>
      <c r="UL4" s="255"/>
      <c r="UM4" s="255"/>
      <c r="UN4" s="255"/>
      <c r="UO4" s="255"/>
      <c r="UP4" s="255"/>
      <c r="UQ4" s="255"/>
      <c r="UR4" s="255"/>
      <c r="US4" s="255"/>
      <c r="UT4" s="255"/>
      <c r="UU4" s="255"/>
      <c r="UV4" s="255"/>
      <c r="UW4" s="255"/>
      <c r="UX4" s="255"/>
      <c r="UY4" s="255"/>
      <c r="UZ4" s="255"/>
      <c r="VA4" s="255"/>
      <c r="VB4" s="255"/>
      <c r="VC4" s="255"/>
      <c r="VD4" s="255"/>
      <c r="VE4" s="255"/>
      <c r="VF4" s="255"/>
      <c r="VG4" s="255"/>
      <c r="VH4" s="255"/>
      <c r="VI4" s="255"/>
      <c r="VJ4" s="255"/>
      <c r="VK4" s="255"/>
      <c r="VL4" s="255"/>
      <c r="VM4" s="255"/>
      <c r="VN4" s="256"/>
    </row>
    <row r="5" spans="1:586">
      <c r="A5" s="268" t="s">
        <v>2</v>
      </c>
      <c r="B5" s="262">
        <v>2894850.7707469999</v>
      </c>
      <c r="C5" s="262">
        <v>1484574.9925830001</v>
      </c>
      <c r="D5" s="263">
        <v>0.94995253537867597</v>
      </c>
      <c r="E5" s="262">
        <v>29746233.637301002</v>
      </c>
      <c r="F5" s="262">
        <v>18247606.114137001</v>
      </c>
      <c r="G5" s="263">
        <v>0.63014443928925301</v>
      </c>
      <c r="H5" s="262">
        <v>37259937.448310003</v>
      </c>
      <c r="I5" s="262">
        <v>22309474.761872999</v>
      </c>
      <c r="J5" s="263">
        <v>0.670139608664719</v>
      </c>
      <c r="K5" s="262">
        <v>0</v>
      </c>
      <c r="L5" s="262">
        <v>0</v>
      </c>
      <c r="M5" s="263">
        <v>0</v>
      </c>
      <c r="N5" s="262">
        <v>0</v>
      </c>
      <c r="O5" s="262">
        <v>0</v>
      </c>
      <c r="P5" s="263">
        <v>0</v>
      </c>
      <c r="Q5" s="262">
        <v>0</v>
      </c>
      <c r="R5" s="262">
        <v>0</v>
      </c>
      <c r="S5" s="263">
        <v>0</v>
      </c>
      <c r="T5" s="262">
        <v>0</v>
      </c>
      <c r="U5" s="262">
        <v>0</v>
      </c>
      <c r="V5" s="263">
        <v>0</v>
      </c>
      <c r="W5" s="262">
        <v>0</v>
      </c>
      <c r="X5" s="262">
        <v>0</v>
      </c>
      <c r="Y5" s="263">
        <v>0</v>
      </c>
      <c r="Z5" s="262">
        <v>0</v>
      </c>
      <c r="AA5" s="262">
        <v>0</v>
      </c>
      <c r="AB5" s="263">
        <v>0</v>
      </c>
      <c r="AC5" s="262">
        <v>0</v>
      </c>
      <c r="AD5" s="262">
        <v>0</v>
      </c>
      <c r="AE5" s="263">
        <v>0</v>
      </c>
      <c r="AF5" s="262">
        <v>0</v>
      </c>
      <c r="AG5" s="262">
        <v>0</v>
      </c>
      <c r="AH5" s="263">
        <v>0</v>
      </c>
      <c r="AI5" s="262">
        <v>0</v>
      </c>
      <c r="AJ5" s="262">
        <v>0</v>
      </c>
      <c r="AK5" s="263">
        <v>0</v>
      </c>
      <c r="AL5" s="262">
        <v>298.45299999999997</v>
      </c>
      <c r="AM5" s="262">
        <v>303.34699999999998</v>
      </c>
      <c r="AN5" s="263">
        <v>-1.6133339047361601E-2</v>
      </c>
      <c r="AO5" s="262">
        <v>2817.288</v>
      </c>
      <c r="AP5" s="262">
        <v>2863.058</v>
      </c>
      <c r="AQ5" s="263">
        <v>-1.5986403349146298E-2</v>
      </c>
      <c r="AR5" s="262">
        <v>3403.3679999999999</v>
      </c>
      <c r="AS5" s="262">
        <v>3429.114</v>
      </c>
      <c r="AT5" s="264">
        <v>-7.5080618492123904E-3</v>
      </c>
      <c r="AU5" s="262">
        <v>2726481.603164</v>
      </c>
      <c r="AV5" s="262">
        <v>3482485.3226510002</v>
      </c>
      <c r="AW5" s="263">
        <v>-0.21708741012338301</v>
      </c>
      <c r="AX5" s="262">
        <v>32472715.240465</v>
      </c>
      <c r="AY5" s="262">
        <v>21730091.436788</v>
      </c>
      <c r="AZ5" s="263">
        <v>0.49436624944385898</v>
      </c>
      <c r="BA5" s="262">
        <v>36503933.728822999</v>
      </c>
      <c r="BB5" s="262">
        <v>24480405.830591999</v>
      </c>
      <c r="BC5" s="263">
        <v>0.49114904309330398</v>
      </c>
      <c r="BD5" s="262">
        <v>0</v>
      </c>
      <c r="BE5" s="262">
        <v>0</v>
      </c>
      <c r="BF5" s="263">
        <v>0</v>
      </c>
      <c r="BG5" s="262">
        <v>0</v>
      </c>
      <c r="BH5" s="262">
        <v>0</v>
      </c>
      <c r="BI5" s="263">
        <v>0</v>
      </c>
      <c r="BJ5" s="262">
        <v>0</v>
      </c>
      <c r="BK5" s="262">
        <v>0</v>
      </c>
      <c r="BL5" s="263">
        <v>0</v>
      </c>
      <c r="BM5" s="262">
        <v>0</v>
      </c>
      <c r="BN5" s="262">
        <v>0</v>
      </c>
      <c r="BO5" s="263">
        <v>0</v>
      </c>
      <c r="BP5" s="262">
        <v>0</v>
      </c>
      <c r="BQ5" s="262">
        <v>0</v>
      </c>
      <c r="BR5" s="263">
        <v>0</v>
      </c>
      <c r="BS5" s="262">
        <v>0</v>
      </c>
      <c r="BT5" s="262">
        <v>0</v>
      </c>
      <c r="BU5" s="263">
        <v>0</v>
      </c>
      <c r="BV5" s="262">
        <v>0</v>
      </c>
      <c r="BW5" s="262">
        <v>0</v>
      </c>
      <c r="BX5" s="263">
        <v>0</v>
      </c>
      <c r="BY5" s="262">
        <v>0</v>
      </c>
      <c r="BZ5" s="262">
        <v>0</v>
      </c>
      <c r="CA5" s="263">
        <v>0</v>
      </c>
      <c r="CB5" s="262">
        <v>0</v>
      </c>
      <c r="CC5" s="262">
        <v>0</v>
      </c>
      <c r="CD5" s="263">
        <v>0</v>
      </c>
      <c r="CE5" s="262">
        <v>284.31799999999998</v>
      </c>
      <c r="CF5" s="262">
        <v>280.46899999999999</v>
      </c>
      <c r="CG5" s="263">
        <v>1.37234418064028E-2</v>
      </c>
      <c r="CH5" s="262">
        <v>3101.6060000000002</v>
      </c>
      <c r="CI5" s="262">
        <v>3143.527</v>
      </c>
      <c r="CJ5" s="263">
        <v>-1.3335657686413999E-2</v>
      </c>
      <c r="CK5" s="262">
        <v>3407.2170000000001</v>
      </c>
      <c r="CL5" s="262">
        <v>3432.0949999999998</v>
      </c>
      <c r="CM5" s="264">
        <v>-7.2486338519184802E-3</v>
      </c>
      <c r="CN5" s="262">
        <v>2467484.0409530001</v>
      </c>
      <c r="CO5" s="262">
        <v>4031218.4883579998</v>
      </c>
      <c r="CP5" s="263">
        <v>-0.38790615093699399</v>
      </c>
      <c r="CQ5" s="262">
        <v>34940199.281418003</v>
      </c>
      <c r="CR5" s="262">
        <v>25761309.925145999</v>
      </c>
      <c r="CS5" s="263">
        <v>0.35630522605189202</v>
      </c>
      <c r="CT5" s="262">
        <v>34940199.281418003</v>
      </c>
      <c r="CU5" s="262">
        <v>25761309.925145999</v>
      </c>
      <c r="CV5" s="263">
        <v>0.35630522605189202</v>
      </c>
      <c r="CW5" s="262">
        <v>0</v>
      </c>
      <c r="CX5" s="262">
        <v>0</v>
      </c>
      <c r="CY5" s="263">
        <v>0</v>
      </c>
      <c r="CZ5" s="262">
        <v>0</v>
      </c>
      <c r="DA5" s="262">
        <v>0</v>
      </c>
      <c r="DB5" s="263">
        <v>0</v>
      </c>
      <c r="DC5" s="262">
        <v>0</v>
      </c>
      <c r="DD5" s="262">
        <v>0</v>
      </c>
      <c r="DE5" s="263">
        <v>0</v>
      </c>
      <c r="DF5" s="262">
        <v>0</v>
      </c>
      <c r="DG5" s="262">
        <v>0</v>
      </c>
      <c r="DH5" s="263">
        <v>0</v>
      </c>
      <c r="DI5" s="262">
        <v>0</v>
      </c>
      <c r="DJ5" s="262">
        <v>0</v>
      </c>
      <c r="DK5" s="263">
        <v>0</v>
      </c>
      <c r="DL5" s="262">
        <v>0</v>
      </c>
      <c r="DM5" s="262">
        <v>0</v>
      </c>
      <c r="DN5" s="263">
        <v>0</v>
      </c>
      <c r="DO5" s="262">
        <v>0</v>
      </c>
      <c r="DP5" s="262">
        <v>0</v>
      </c>
      <c r="DQ5" s="263">
        <v>0</v>
      </c>
      <c r="DR5" s="262">
        <v>0</v>
      </c>
      <c r="DS5" s="262">
        <v>0</v>
      </c>
      <c r="DT5" s="263">
        <v>0</v>
      </c>
      <c r="DU5" s="262">
        <v>0</v>
      </c>
      <c r="DV5" s="262">
        <v>0</v>
      </c>
      <c r="DW5" s="263">
        <v>0</v>
      </c>
      <c r="DX5" s="262">
        <v>287.83499999999998</v>
      </c>
      <c r="DY5" s="262">
        <v>305.61099999999999</v>
      </c>
      <c r="DZ5" s="263">
        <v>-5.8165445615504699E-2</v>
      </c>
      <c r="EA5" s="262">
        <v>3389.4409999999998</v>
      </c>
      <c r="EB5" s="262">
        <v>3449.1379999999999</v>
      </c>
      <c r="EC5" s="263">
        <v>-1.7307802703168201E-2</v>
      </c>
      <c r="ED5" s="262">
        <v>3389.4409999999998</v>
      </c>
      <c r="EE5" s="262">
        <v>3449.1379999999999</v>
      </c>
      <c r="EF5" s="264">
        <v>-1.7307802703168201E-2</v>
      </c>
      <c r="EG5" s="262">
        <v>3124321.9639070001</v>
      </c>
      <c r="EH5" s="262">
        <v>3971633.3326650001</v>
      </c>
      <c r="EI5" s="263">
        <v>-0.21334078395133399</v>
      </c>
      <c r="EJ5" s="262">
        <v>3124321.9639070001</v>
      </c>
      <c r="EK5" s="262">
        <v>3971633.3326650001</v>
      </c>
      <c r="EL5" s="263">
        <v>-0.21334078395133399</v>
      </c>
      <c r="EM5" s="262">
        <v>34092887.912660003</v>
      </c>
      <c r="EN5" s="262">
        <v>25827794.985764999</v>
      </c>
      <c r="EO5" s="263">
        <v>0.32000768673633601</v>
      </c>
      <c r="EP5" s="262">
        <v>0</v>
      </c>
      <c r="EQ5" s="262">
        <v>0</v>
      </c>
      <c r="ER5" s="263">
        <v>0</v>
      </c>
      <c r="ES5" s="262">
        <v>0</v>
      </c>
      <c r="ET5" s="262">
        <v>0</v>
      </c>
      <c r="EU5" s="263">
        <v>0</v>
      </c>
      <c r="EV5" s="262">
        <v>0</v>
      </c>
      <c r="EW5" s="262">
        <v>0</v>
      </c>
      <c r="EX5" s="263">
        <v>0</v>
      </c>
      <c r="EY5" s="262">
        <v>0</v>
      </c>
      <c r="EZ5" s="262">
        <v>0</v>
      </c>
      <c r="FA5" s="263">
        <v>0</v>
      </c>
      <c r="FB5" s="262">
        <v>0</v>
      </c>
      <c r="FC5" s="262">
        <v>0</v>
      </c>
      <c r="FD5" s="263">
        <v>0</v>
      </c>
      <c r="FE5" s="262">
        <v>0</v>
      </c>
      <c r="FF5" s="262">
        <v>0</v>
      </c>
      <c r="FG5" s="263">
        <v>0</v>
      </c>
      <c r="FH5" s="262">
        <v>0</v>
      </c>
      <c r="FI5" s="262">
        <v>0</v>
      </c>
      <c r="FJ5" s="263">
        <v>0</v>
      </c>
      <c r="FK5" s="262">
        <v>0</v>
      </c>
      <c r="FL5" s="262">
        <v>0</v>
      </c>
      <c r="FM5" s="263">
        <v>0</v>
      </c>
      <c r="FN5" s="262">
        <v>0</v>
      </c>
      <c r="FO5" s="262">
        <v>0</v>
      </c>
      <c r="FP5" s="263">
        <v>0</v>
      </c>
      <c r="FQ5" s="262">
        <v>285.24200000000002</v>
      </c>
      <c r="FR5" s="262">
        <v>296.24200000000002</v>
      </c>
      <c r="FS5" s="263">
        <v>-3.7131804403156901E-2</v>
      </c>
      <c r="FT5" s="262">
        <v>285.24200000000002</v>
      </c>
      <c r="FU5" s="262">
        <v>296.24200000000002</v>
      </c>
      <c r="FV5" s="263">
        <v>-3.7131804403156901E-2</v>
      </c>
      <c r="FW5" s="262">
        <v>3378.4409999999998</v>
      </c>
      <c r="FX5" s="262">
        <v>3469.998</v>
      </c>
      <c r="FY5" s="264">
        <v>-2.6385317801335999E-2</v>
      </c>
      <c r="FZ5" s="262">
        <v>4134357.8483440001</v>
      </c>
      <c r="GA5" s="262">
        <v>3041976.2037479999</v>
      </c>
      <c r="GB5" s="263">
        <v>0.35910262652616498</v>
      </c>
      <c r="GC5" s="262">
        <v>7258679.8122509997</v>
      </c>
      <c r="GD5" s="262">
        <v>7013609.536413</v>
      </c>
      <c r="GE5" s="263">
        <v>3.4942104285340198E-2</v>
      </c>
      <c r="GF5" s="262">
        <v>35185269.557255998</v>
      </c>
      <c r="GG5" s="262">
        <v>26367521.874024998</v>
      </c>
      <c r="GH5" s="263">
        <v>0.33441700457703899</v>
      </c>
      <c r="GI5" s="262">
        <v>0</v>
      </c>
      <c r="GJ5" s="262">
        <v>0</v>
      </c>
      <c r="GK5" s="263">
        <v>0</v>
      </c>
      <c r="GL5" s="262">
        <v>0</v>
      </c>
      <c r="GM5" s="262">
        <v>0</v>
      </c>
      <c r="GN5" s="263">
        <v>0</v>
      </c>
      <c r="GO5" s="262">
        <v>0</v>
      </c>
      <c r="GP5" s="262">
        <v>0</v>
      </c>
      <c r="GQ5" s="263">
        <v>0</v>
      </c>
      <c r="GR5" s="262">
        <v>0</v>
      </c>
      <c r="GS5" s="262">
        <v>0</v>
      </c>
      <c r="GT5" s="263">
        <v>0</v>
      </c>
      <c r="GU5" s="262">
        <v>0</v>
      </c>
      <c r="GV5" s="262">
        <v>0</v>
      </c>
      <c r="GW5" s="263">
        <v>0</v>
      </c>
      <c r="GX5" s="262">
        <v>0</v>
      </c>
      <c r="GY5" s="262">
        <v>0</v>
      </c>
      <c r="GZ5" s="263">
        <v>0</v>
      </c>
      <c r="HA5" s="262">
        <v>0</v>
      </c>
      <c r="HB5" s="262">
        <v>0</v>
      </c>
      <c r="HC5" s="263">
        <v>0</v>
      </c>
      <c r="HD5" s="262">
        <v>0</v>
      </c>
      <c r="HE5" s="262">
        <v>0</v>
      </c>
      <c r="HF5" s="263">
        <v>0</v>
      </c>
      <c r="HG5" s="262">
        <v>0</v>
      </c>
      <c r="HH5" s="262">
        <v>0</v>
      </c>
      <c r="HI5" s="263">
        <v>0</v>
      </c>
      <c r="HJ5" s="262">
        <v>54.619</v>
      </c>
      <c r="HK5" s="262">
        <v>285.08300000000003</v>
      </c>
      <c r="HL5" s="263">
        <v>-0.80841018229778705</v>
      </c>
      <c r="HM5" s="262">
        <v>339.86099999999999</v>
      </c>
      <c r="HN5" s="262">
        <v>581.32500000000005</v>
      </c>
      <c r="HO5" s="263">
        <v>-0.41536833956908797</v>
      </c>
      <c r="HP5" s="262">
        <v>3147.9769999999999</v>
      </c>
      <c r="HQ5" s="262">
        <v>3500.29</v>
      </c>
      <c r="HR5" s="264">
        <v>-0.100652517362847</v>
      </c>
      <c r="HS5" s="262">
        <v>4148550.3963520001</v>
      </c>
      <c r="HT5" s="262">
        <v>4736926.9511879999</v>
      </c>
      <c r="HU5" s="263">
        <v>-0.124210603393079</v>
      </c>
      <c r="HV5" s="262">
        <v>11407230.208603</v>
      </c>
      <c r="HW5" s="262">
        <v>11750536.487601001</v>
      </c>
      <c r="HX5" s="263">
        <v>-2.9216221689984299E-2</v>
      </c>
      <c r="HY5" s="262">
        <v>34596893.002420001</v>
      </c>
      <c r="HZ5" s="262">
        <v>29016861.928323999</v>
      </c>
      <c r="IA5" s="263">
        <v>0.19230305082195001</v>
      </c>
      <c r="IB5" s="262">
        <v>0</v>
      </c>
      <c r="IC5" s="262">
        <v>0</v>
      </c>
      <c r="ID5" s="263">
        <v>0</v>
      </c>
      <c r="IE5" s="262">
        <v>0</v>
      </c>
      <c r="IF5" s="262">
        <v>0</v>
      </c>
      <c r="IG5" s="263">
        <v>0</v>
      </c>
      <c r="IH5" s="262">
        <v>0</v>
      </c>
      <c r="II5" s="262">
        <v>0</v>
      </c>
      <c r="IJ5" s="263">
        <v>0</v>
      </c>
      <c r="IK5" s="262">
        <v>0</v>
      </c>
      <c r="IL5" s="262">
        <v>0</v>
      </c>
      <c r="IM5" s="263">
        <v>0</v>
      </c>
      <c r="IN5" s="262">
        <v>0</v>
      </c>
      <c r="IO5" s="262">
        <v>0</v>
      </c>
      <c r="IP5" s="263">
        <v>0</v>
      </c>
      <c r="IQ5" s="262">
        <v>0</v>
      </c>
      <c r="IR5" s="262">
        <v>0</v>
      </c>
      <c r="IS5" s="263">
        <v>0</v>
      </c>
      <c r="IT5" s="262">
        <v>0</v>
      </c>
      <c r="IU5" s="262">
        <v>0</v>
      </c>
      <c r="IV5" s="263">
        <v>0</v>
      </c>
      <c r="IW5" s="262">
        <v>0</v>
      </c>
      <c r="IX5" s="262">
        <v>0</v>
      </c>
      <c r="IY5" s="263">
        <v>0</v>
      </c>
      <c r="IZ5" s="262">
        <v>0</v>
      </c>
      <c r="JA5" s="262">
        <v>0</v>
      </c>
      <c r="JB5" s="263">
        <v>0</v>
      </c>
      <c r="JC5" s="262">
        <v>0</v>
      </c>
      <c r="JD5" s="262">
        <v>272.92399999999998</v>
      </c>
      <c r="JE5" s="263">
        <v>-1</v>
      </c>
      <c r="JF5" s="262">
        <v>339.86099999999999</v>
      </c>
      <c r="JG5" s="262">
        <v>854.24900000000002</v>
      </c>
      <c r="JH5" s="263">
        <v>-0.60215229985636498</v>
      </c>
      <c r="JI5" s="262">
        <v>2875.0529999999999</v>
      </c>
      <c r="JJ5" s="262">
        <v>3482.4270000000001</v>
      </c>
      <c r="JK5" s="264">
        <v>-0.174411121898607</v>
      </c>
      <c r="JL5" s="262">
        <v>3938848.3733959999</v>
      </c>
      <c r="JM5" s="262">
        <v>4064545.493493</v>
      </c>
      <c r="JN5" s="263">
        <v>-3.0925258506327699E-2</v>
      </c>
      <c r="JO5" s="262">
        <v>15346078.581999</v>
      </c>
      <c r="JP5" s="262">
        <v>15815081.981094001</v>
      </c>
      <c r="JQ5" s="263">
        <v>-2.9655451654039301E-2</v>
      </c>
      <c r="JR5" s="262">
        <v>34471195.882322997</v>
      </c>
      <c r="JS5" s="262">
        <v>31511971.182534002</v>
      </c>
      <c r="JT5" s="263">
        <v>9.3907952715734599E-2</v>
      </c>
      <c r="JU5" s="262">
        <v>0</v>
      </c>
      <c r="JV5" s="262">
        <v>0</v>
      </c>
      <c r="JW5" s="263">
        <v>0</v>
      </c>
      <c r="JX5" s="262">
        <v>0</v>
      </c>
      <c r="JY5" s="262">
        <v>0</v>
      </c>
      <c r="JZ5" s="263">
        <v>0</v>
      </c>
      <c r="KA5" s="262">
        <v>0</v>
      </c>
      <c r="KB5" s="262">
        <v>0</v>
      </c>
      <c r="KC5" s="263">
        <v>0</v>
      </c>
      <c r="KD5" s="262">
        <v>0</v>
      </c>
      <c r="KE5" s="262">
        <v>0</v>
      </c>
      <c r="KF5" s="263">
        <v>0</v>
      </c>
      <c r="KG5" s="262">
        <v>0</v>
      </c>
      <c r="KH5" s="262">
        <v>0</v>
      </c>
      <c r="KI5" s="263">
        <v>0</v>
      </c>
      <c r="KJ5" s="262">
        <v>0</v>
      </c>
      <c r="KK5" s="262">
        <v>0</v>
      </c>
      <c r="KL5" s="263">
        <v>0</v>
      </c>
      <c r="KM5" s="262">
        <v>0</v>
      </c>
      <c r="KN5" s="262">
        <v>0</v>
      </c>
      <c r="KO5" s="263">
        <v>0</v>
      </c>
      <c r="KP5" s="262">
        <v>0</v>
      </c>
      <c r="KQ5" s="262">
        <v>0</v>
      </c>
      <c r="KR5" s="263">
        <v>0</v>
      </c>
      <c r="KS5" s="262">
        <v>0</v>
      </c>
      <c r="KT5" s="262">
        <v>0</v>
      </c>
      <c r="KU5" s="263">
        <v>0</v>
      </c>
      <c r="KV5" s="262">
        <v>0</v>
      </c>
      <c r="KW5" s="262">
        <v>258.40699999999998</v>
      </c>
      <c r="KX5" s="263">
        <v>-1</v>
      </c>
      <c r="KY5" s="262">
        <v>339.86099999999999</v>
      </c>
      <c r="KZ5" s="262">
        <v>1112.6559999999999</v>
      </c>
      <c r="LA5" s="263">
        <v>-0.69454979796091498</v>
      </c>
      <c r="LB5" s="262">
        <v>2616.6460000000002</v>
      </c>
      <c r="LC5" s="262">
        <v>3464.7260000000001</v>
      </c>
      <c r="LD5" s="264">
        <v>-0.24477548873994701</v>
      </c>
      <c r="LE5" s="262">
        <v>3578052.1202079998</v>
      </c>
      <c r="LF5" s="262">
        <v>2965411.454165</v>
      </c>
      <c r="LG5" s="263">
        <v>0.20659550133676399</v>
      </c>
      <c r="LH5" s="262">
        <v>18924130.702206999</v>
      </c>
      <c r="LI5" s="262">
        <v>18780493.435258999</v>
      </c>
      <c r="LJ5" s="263">
        <v>7.6482158172868396E-3</v>
      </c>
      <c r="LK5" s="262">
        <v>35083836.548366003</v>
      </c>
      <c r="LL5" s="262">
        <v>33046246.493625</v>
      </c>
      <c r="LM5" s="263">
        <v>6.1658744061419198E-2</v>
      </c>
      <c r="LN5" s="262">
        <v>0</v>
      </c>
      <c r="LO5" s="262">
        <v>0</v>
      </c>
      <c r="LP5" s="263">
        <v>0</v>
      </c>
      <c r="LQ5" s="262">
        <v>0</v>
      </c>
      <c r="LR5" s="262">
        <v>0</v>
      </c>
      <c r="LS5" s="263">
        <v>0</v>
      </c>
      <c r="LT5" s="262">
        <v>0</v>
      </c>
      <c r="LU5" s="262">
        <v>0</v>
      </c>
      <c r="LV5" s="263">
        <v>0</v>
      </c>
      <c r="LW5" s="262">
        <v>0</v>
      </c>
      <c r="LX5" s="262">
        <v>0</v>
      </c>
      <c r="LY5" s="263">
        <v>0</v>
      </c>
      <c r="LZ5" s="262">
        <v>0</v>
      </c>
      <c r="MA5" s="262">
        <v>0</v>
      </c>
      <c r="MB5" s="263">
        <v>0</v>
      </c>
      <c r="MC5" s="262">
        <v>0</v>
      </c>
      <c r="MD5" s="262">
        <v>0</v>
      </c>
      <c r="ME5" s="263">
        <v>0</v>
      </c>
      <c r="MF5" s="262">
        <v>0</v>
      </c>
      <c r="MG5" s="262">
        <v>0</v>
      </c>
      <c r="MH5" s="263">
        <v>0</v>
      </c>
      <c r="MI5" s="262">
        <v>0</v>
      </c>
      <c r="MJ5" s="262">
        <v>0</v>
      </c>
      <c r="MK5" s="263">
        <v>0</v>
      </c>
      <c r="ML5" s="262">
        <v>0</v>
      </c>
      <c r="MM5" s="262">
        <v>0</v>
      </c>
      <c r="MN5" s="263">
        <v>0</v>
      </c>
      <c r="MO5" s="262">
        <v>0</v>
      </c>
      <c r="MP5" s="262">
        <v>282.13200000000001</v>
      </c>
      <c r="MQ5" s="263">
        <v>-1</v>
      </c>
      <c r="MR5" s="262">
        <v>339.86099999999999</v>
      </c>
      <c r="MS5" s="262">
        <v>1394.788</v>
      </c>
      <c r="MT5" s="263">
        <v>-0.75633501291952598</v>
      </c>
      <c r="MU5" s="262">
        <v>2334.5140000000001</v>
      </c>
      <c r="MV5" s="262">
        <v>3448.9490000000001</v>
      </c>
      <c r="MW5" s="264">
        <v>-0.32312307314489103</v>
      </c>
      <c r="MX5" s="262">
        <v>2404385.0213359999</v>
      </c>
      <c r="MY5" s="262">
        <v>2438057.4653989999</v>
      </c>
      <c r="MZ5" s="263">
        <v>-1.3811177357744999E-2</v>
      </c>
      <c r="NA5" s="262">
        <v>21328515.723542999</v>
      </c>
      <c r="NB5" s="262">
        <v>21218550.900658</v>
      </c>
      <c r="NC5" s="263">
        <v>5.1824850528124E-3</v>
      </c>
      <c r="ND5" s="262">
        <v>35050164.104303002</v>
      </c>
      <c r="NE5" s="262">
        <v>33548477.075601999</v>
      </c>
      <c r="NF5" s="263">
        <v>4.47617048403397E-2</v>
      </c>
      <c r="NG5" s="262">
        <v>0</v>
      </c>
      <c r="NH5" s="262">
        <v>0</v>
      </c>
      <c r="NI5" s="263">
        <v>0</v>
      </c>
      <c r="NJ5" s="262">
        <v>0</v>
      </c>
      <c r="NK5" s="262">
        <v>0</v>
      </c>
      <c r="NL5" s="263">
        <v>0</v>
      </c>
      <c r="NM5" s="262">
        <v>0</v>
      </c>
      <c r="NN5" s="262">
        <v>0</v>
      </c>
      <c r="NO5" s="263">
        <v>0</v>
      </c>
      <c r="NP5" s="262">
        <v>0</v>
      </c>
      <c r="NQ5" s="262">
        <v>0</v>
      </c>
      <c r="NR5" s="263">
        <v>0</v>
      </c>
      <c r="NS5" s="262">
        <v>0</v>
      </c>
      <c r="NT5" s="262">
        <v>0</v>
      </c>
      <c r="NU5" s="263">
        <v>0</v>
      </c>
      <c r="NV5" s="262">
        <v>0</v>
      </c>
      <c r="NW5" s="262">
        <v>0</v>
      </c>
      <c r="NX5" s="263">
        <v>0</v>
      </c>
      <c r="NY5" s="262">
        <v>0</v>
      </c>
      <c r="NZ5" s="262">
        <v>0</v>
      </c>
      <c r="OA5" s="263">
        <v>0</v>
      </c>
      <c r="OB5" s="262">
        <v>0</v>
      </c>
      <c r="OC5" s="262">
        <v>0</v>
      </c>
      <c r="OD5" s="263">
        <v>0</v>
      </c>
      <c r="OE5" s="262">
        <v>0</v>
      </c>
      <c r="OF5" s="262">
        <v>0</v>
      </c>
      <c r="OG5" s="263">
        <v>0</v>
      </c>
      <c r="OH5" s="262">
        <v>0</v>
      </c>
      <c r="OI5" s="262">
        <v>275.41500000000002</v>
      </c>
      <c r="OJ5" s="263">
        <v>-1</v>
      </c>
      <c r="OK5" s="262">
        <v>339.86099999999999</v>
      </c>
      <c r="OL5" s="262">
        <v>1670.203</v>
      </c>
      <c r="OM5" s="263">
        <v>-0.79651515414593299</v>
      </c>
      <c r="ON5" s="262">
        <v>2059.0990000000002</v>
      </c>
      <c r="OO5" s="262">
        <v>3440.527</v>
      </c>
      <c r="OP5" s="264">
        <v>-0.40151639559869801</v>
      </c>
      <c r="OQ5" s="262">
        <v>1895084.1001530001</v>
      </c>
      <c r="OR5" s="262">
        <v>2170205.7400830002</v>
      </c>
      <c r="OS5" s="263">
        <v>-0.12677214645993801</v>
      </c>
      <c r="OT5" s="262">
        <v>23223599.823695999</v>
      </c>
      <c r="OU5" s="262">
        <v>23388756.640741002</v>
      </c>
      <c r="OV5" s="263">
        <v>-7.0613765229961796E-3</v>
      </c>
      <c r="OW5" s="262">
        <v>34775042.464373</v>
      </c>
      <c r="OX5" s="262">
        <v>34388344.049497001</v>
      </c>
      <c r="OY5" s="263">
        <v>1.1245043213462201E-2</v>
      </c>
      <c r="OZ5" s="262">
        <v>0</v>
      </c>
      <c r="PA5" s="262">
        <v>0</v>
      </c>
      <c r="PB5" s="263">
        <v>0</v>
      </c>
      <c r="PC5" s="262">
        <v>0</v>
      </c>
      <c r="PD5" s="262">
        <v>0</v>
      </c>
      <c r="PE5" s="263">
        <v>0</v>
      </c>
      <c r="PF5" s="262">
        <v>0</v>
      </c>
      <c r="PG5" s="262">
        <v>0</v>
      </c>
      <c r="PH5" s="263">
        <v>0</v>
      </c>
      <c r="PI5" s="262">
        <v>0</v>
      </c>
      <c r="PJ5" s="262">
        <v>0</v>
      </c>
      <c r="PK5" s="263">
        <v>0</v>
      </c>
      <c r="PL5" s="262">
        <v>0</v>
      </c>
      <c r="PM5" s="262">
        <v>0</v>
      </c>
      <c r="PN5" s="263">
        <v>0</v>
      </c>
      <c r="PO5" s="262">
        <v>0</v>
      </c>
      <c r="PP5" s="262">
        <v>0</v>
      </c>
      <c r="PQ5" s="263">
        <v>0</v>
      </c>
      <c r="PR5" s="262">
        <v>0</v>
      </c>
      <c r="PS5" s="262">
        <v>0</v>
      </c>
      <c r="PT5" s="263">
        <v>0</v>
      </c>
      <c r="PU5" s="262">
        <v>0</v>
      </c>
      <c r="PV5" s="262">
        <v>0</v>
      </c>
      <c r="PW5" s="263">
        <v>0</v>
      </c>
      <c r="PX5" s="262">
        <v>0</v>
      </c>
      <c r="PY5" s="262">
        <v>0</v>
      </c>
      <c r="PZ5" s="263">
        <v>0</v>
      </c>
      <c r="QA5" s="262">
        <v>0</v>
      </c>
      <c r="QB5" s="262">
        <v>290.60300000000001</v>
      </c>
      <c r="QC5" s="263">
        <v>-1</v>
      </c>
      <c r="QD5" s="262">
        <v>339.86099999999999</v>
      </c>
      <c r="QE5" s="262">
        <v>1960.806</v>
      </c>
      <c r="QF5" s="263">
        <v>-0.82667280699875501</v>
      </c>
      <c r="QG5" s="262">
        <v>1768.4960000000001</v>
      </c>
      <c r="QH5" s="262">
        <v>3429.14</v>
      </c>
      <c r="QI5" s="264">
        <v>-0.48427419119662701</v>
      </c>
      <c r="QJ5" s="262">
        <v>1781807.04951</v>
      </c>
      <c r="QK5" s="262">
        <v>1809467.52568</v>
      </c>
      <c r="QL5" s="263">
        <v>-1.52865280959409E-2</v>
      </c>
      <c r="QM5" s="262">
        <v>25005406.873206001</v>
      </c>
      <c r="QN5" s="262">
        <v>25198224.166421</v>
      </c>
      <c r="QO5" s="263">
        <v>-7.65201912410742E-3</v>
      </c>
      <c r="QP5" s="262">
        <v>34747381.988202997</v>
      </c>
      <c r="QQ5" s="262">
        <v>35169311.265188999</v>
      </c>
      <c r="QR5" s="263">
        <v>-1.1997086715872801E-2</v>
      </c>
      <c r="QS5" s="262">
        <v>0</v>
      </c>
      <c r="QT5" s="262">
        <v>0</v>
      </c>
      <c r="QU5" s="263">
        <v>0</v>
      </c>
      <c r="QV5" s="262">
        <v>0</v>
      </c>
      <c r="QW5" s="262">
        <v>0</v>
      </c>
      <c r="QX5" s="263">
        <v>0</v>
      </c>
      <c r="QY5" s="262">
        <v>0</v>
      </c>
      <c r="QZ5" s="262">
        <v>0</v>
      </c>
      <c r="RA5" s="263">
        <v>0</v>
      </c>
      <c r="RB5" s="262">
        <v>0</v>
      </c>
      <c r="RC5" s="262">
        <v>0</v>
      </c>
      <c r="RD5" s="263">
        <v>0</v>
      </c>
      <c r="RE5" s="262">
        <v>0</v>
      </c>
      <c r="RF5" s="262">
        <v>0</v>
      </c>
      <c r="RG5" s="263">
        <v>0</v>
      </c>
      <c r="RH5" s="262">
        <v>0</v>
      </c>
      <c r="RI5" s="262">
        <v>0</v>
      </c>
      <c r="RJ5" s="263">
        <v>0</v>
      </c>
      <c r="RK5" s="262">
        <v>0</v>
      </c>
      <c r="RL5" s="262">
        <v>0</v>
      </c>
      <c r="RM5" s="263">
        <v>0</v>
      </c>
      <c r="RN5" s="262">
        <v>0</v>
      </c>
      <c r="RO5" s="262">
        <v>0</v>
      </c>
      <c r="RP5" s="263">
        <v>0</v>
      </c>
      <c r="RQ5" s="262">
        <v>0</v>
      </c>
      <c r="RR5" s="262">
        <v>0</v>
      </c>
      <c r="RS5" s="263">
        <v>0</v>
      </c>
      <c r="RT5" s="262">
        <v>0</v>
      </c>
      <c r="RU5" s="262">
        <v>281.81700000000001</v>
      </c>
      <c r="RV5" s="263">
        <v>-1</v>
      </c>
      <c r="RW5" s="262">
        <v>339.86099999999999</v>
      </c>
      <c r="RX5" s="262">
        <v>2242.623</v>
      </c>
      <c r="RY5" s="263">
        <v>-0.84845379718303104</v>
      </c>
      <c r="RZ5" s="262">
        <v>1486.6790000000001</v>
      </c>
      <c r="SA5" s="262">
        <v>3421.3270000000002</v>
      </c>
      <c r="SB5" s="264">
        <v>-0.56546714184291702</v>
      </c>
      <c r="SC5" s="262">
        <v>1598996.6885200001</v>
      </c>
      <c r="SD5" s="262">
        <v>1653158.700133</v>
      </c>
      <c r="SE5" s="263">
        <v>-3.2762741779505201E-2</v>
      </c>
      <c r="SF5" s="262">
        <v>26604403.561726</v>
      </c>
      <c r="SG5" s="262">
        <v>26851382.866553999</v>
      </c>
      <c r="SH5" s="263">
        <v>-9.1980106222251997E-3</v>
      </c>
      <c r="SI5" s="262">
        <v>34693219.97659</v>
      </c>
      <c r="SJ5" s="262">
        <v>35849661.670146003</v>
      </c>
      <c r="SK5" s="263">
        <v>-3.2258092257507601E-2</v>
      </c>
      <c r="SL5" s="262">
        <v>0</v>
      </c>
      <c r="SM5" s="262">
        <v>0</v>
      </c>
      <c r="SN5" s="263">
        <v>0</v>
      </c>
      <c r="SO5" s="262">
        <v>0</v>
      </c>
      <c r="SP5" s="262">
        <v>0</v>
      </c>
      <c r="SQ5" s="263">
        <v>0</v>
      </c>
      <c r="SR5" s="262">
        <v>0</v>
      </c>
      <c r="SS5" s="262">
        <v>0</v>
      </c>
      <c r="ST5" s="263">
        <v>0</v>
      </c>
      <c r="SU5" s="262">
        <v>0</v>
      </c>
      <c r="SV5" s="262">
        <v>0</v>
      </c>
      <c r="SW5" s="263">
        <v>0</v>
      </c>
      <c r="SX5" s="262">
        <v>0</v>
      </c>
      <c r="SY5" s="262">
        <v>0</v>
      </c>
      <c r="SZ5" s="263">
        <v>0</v>
      </c>
      <c r="TA5" s="262">
        <v>0</v>
      </c>
      <c r="TB5" s="262">
        <v>0</v>
      </c>
      <c r="TC5" s="263">
        <v>0</v>
      </c>
      <c r="TD5" s="262">
        <v>0</v>
      </c>
      <c r="TE5" s="262">
        <v>0</v>
      </c>
      <c r="TF5" s="263">
        <v>0</v>
      </c>
      <c r="TG5" s="262">
        <v>0</v>
      </c>
      <c r="TH5" s="262">
        <v>0</v>
      </c>
      <c r="TI5" s="263">
        <v>0</v>
      </c>
      <c r="TJ5" s="262">
        <v>0</v>
      </c>
      <c r="TK5" s="262">
        <v>0</v>
      </c>
      <c r="TL5" s="263">
        <v>0</v>
      </c>
      <c r="TM5" s="262">
        <v>0</v>
      </c>
      <c r="TN5" s="262">
        <v>276.21199999999999</v>
      </c>
      <c r="TO5" s="263">
        <v>-1</v>
      </c>
      <c r="TP5" s="262">
        <v>339.86099999999999</v>
      </c>
      <c r="TQ5" s="262">
        <v>2518.835</v>
      </c>
      <c r="TR5" s="263">
        <v>-0.86507214644865604</v>
      </c>
      <c r="TS5" s="262">
        <v>1210.4670000000001</v>
      </c>
      <c r="TT5" s="262">
        <v>3408.2620000000002</v>
      </c>
      <c r="TU5" s="264">
        <v>-0.64484332483828999</v>
      </c>
      <c r="TV5" s="262">
        <v>1776331.4679479999</v>
      </c>
      <c r="TW5" s="262">
        <v>2894850.7707469999</v>
      </c>
      <c r="TX5" s="263">
        <v>-0.38638237041502899</v>
      </c>
      <c r="TY5" s="262">
        <v>28380735.029674001</v>
      </c>
      <c r="TZ5" s="262">
        <v>29746233.637301002</v>
      </c>
      <c r="UA5" s="263">
        <v>-4.5904924444441303E-2</v>
      </c>
      <c r="UB5" s="262">
        <v>33574700.673790999</v>
      </c>
      <c r="UC5" s="262">
        <v>37259937.448310003</v>
      </c>
      <c r="UD5" s="263">
        <v>-9.8906144961500894E-2</v>
      </c>
      <c r="UE5" s="262">
        <v>0</v>
      </c>
      <c r="UF5" s="262">
        <v>0</v>
      </c>
      <c r="UG5" s="263">
        <v>0</v>
      </c>
      <c r="UH5" s="262">
        <v>0</v>
      </c>
      <c r="UI5" s="262">
        <v>0</v>
      </c>
      <c r="UJ5" s="263">
        <v>0</v>
      </c>
      <c r="UK5" s="262">
        <v>0</v>
      </c>
      <c r="UL5" s="262">
        <v>0</v>
      </c>
      <c r="UM5" s="263">
        <v>0</v>
      </c>
      <c r="UN5" s="262">
        <v>0</v>
      </c>
      <c r="UO5" s="262">
        <v>0</v>
      </c>
      <c r="UP5" s="263">
        <v>0</v>
      </c>
      <c r="UQ5" s="262">
        <v>0</v>
      </c>
      <c r="UR5" s="262">
        <v>0</v>
      </c>
      <c r="US5" s="263">
        <v>0</v>
      </c>
      <c r="UT5" s="262">
        <v>0</v>
      </c>
      <c r="UU5" s="262">
        <v>0</v>
      </c>
      <c r="UV5" s="263">
        <v>0</v>
      </c>
      <c r="UW5" s="262">
        <v>0</v>
      </c>
      <c r="UX5" s="262">
        <v>0</v>
      </c>
      <c r="UY5" s="263">
        <v>0</v>
      </c>
      <c r="UZ5" s="262">
        <v>0</v>
      </c>
      <c r="VA5" s="262">
        <v>0</v>
      </c>
      <c r="VB5" s="263">
        <v>0</v>
      </c>
      <c r="VC5" s="262">
        <v>0</v>
      </c>
      <c r="VD5" s="262">
        <v>0</v>
      </c>
      <c r="VE5" s="263">
        <v>0</v>
      </c>
      <c r="VF5" s="262">
        <v>0</v>
      </c>
      <c r="VG5" s="262">
        <v>298.45299999999997</v>
      </c>
      <c r="VH5" s="263">
        <v>-1</v>
      </c>
      <c r="VI5" s="262">
        <v>339.86099999999999</v>
      </c>
      <c r="VJ5" s="262">
        <v>2817.288</v>
      </c>
      <c r="VK5" s="263">
        <v>-0.87936590082377097</v>
      </c>
      <c r="VL5" s="262">
        <v>912.01400000000001</v>
      </c>
      <c r="VM5" s="262">
        <v>3403.3679999999999</v>
      </c>
      <c r="VN5" s="264">
        <v>-0.73202604008734895</v>
      </c>
    </row>
    <row r="6" spans="1:586">
      <c r="A6" s="268" t="s">
        <v>3</v>
      </c>
      <c r="B6" s="262">
        <v>4636156.5559999999</v>
      </c>
      <c r="C6" s="262">
        <v>3784160.4879999999</v>
      </c>
      <c r="D6" s="263">
        <v>0.22514797422090699</v>
      </c>
      <c r="E6" s="262">
        <v>44511098.950999998</v>
      </c>
      <c r="F6" s="262">
        <v>45851429.897</v>
      </c>
      <c r="G6" s="263">
        <v>-2.9232042468706101E-2</v>
      </c>
      <c r="H6" s="262">
        <v>53307096.637000002</v>
      </c>
      <c r="I6" s="262">
        <v>55194712.729000002</v>
      </c>
      <c r="J6" s="263">
        <v>-3.41992194300927E-2</v>
      </c>
      <c r="K6" s="262">
        <v>0</v>
      </c>
      <c r="L6" s="262">
        <v>0</v>
      </c>
      <c r="M6" s="263">
        <v>0</v>
      </c>
      <c r="N6" s="262">
        <v>0</v>
      </c>
      <c r="O6" s="262">
        <v>0</v>
      </c>
      <c r="P6" s="263">
        <v>0</v>
      </c>
      <c r="Q6" s="262">
        <v>0</v>
      </c>
      <c r="R6" s="262">
        <v>0</v>
      </c>
      <c r="S6" s="263">
        <v>0</v>
      </c>
      <c r="T6" s="262">
        <v>0</v>
      </c>
      <c r="U6" s="262">
        <v>0</v>
      </c>
      <c r="V6" s="263">
        <v>0</v>
      </c>
      <c r="W6" s="262">
        <v>0</v>
      </c>
      <c r="X6" s="262">
        <v>0</v>
      </c>
      <c r="Y6" s="263">
        <v>0</v>
      </c>
      <c r="Z6" s="262">
        <v>0</v>
      </c>
      <c r="AA6" s="262">
        <v>0</v>
      </c>
      <c r="AB6" s="263">
        <v>0</v>
      </c>
      <c r="AC6" s="262">
        <v>0</v>
      </c>
      <c r="AD6" s="262">
        <v>0</v>
      </c>
      <c r="AE6" s="263">
        <v>0</v>
      </c>
      <c r="AF6" s="262">
        <v>0</v>
      </c>
      <c r="AG6" s="262">
        <v>0</v>
      </c>
      <c r="AH6" s="263">
        <v>0</v>
      </c>
      <c r="AI6" s="262">
        <v>0</v>
      </c>
      <c r="AJ6" s="262">
        <v>0</v>
      </c>
      <c r="AK6" s="263">
        <v>0</v>
      </c>
      <c r="AL6" s="262">
        <v>0</v>
      </c>
      <c r="AM6" s="262">
        <v>0</v>
      </c>
      <c r="AN6" s="263">
        <v>0</v>
      </c>
      <c r="AO6" s="262">
        <v>0</v>
      </c>
      <c r="AP6" s="262">
        <v>0</v>
      </c>
      <c r="AQ6" s="263">
        <v>0</v>
      </c>
      <c r="AR6" s="262">
        <v>0</v>
      </c>
      <c r="AS6" s="262">
        <v>0</v>
      </c>
      <c r="AT6" s="264">
        <v>0</v>
      </c>
      <c r="AU6" s="262">
        <v>3631614.6009999998</v>
      </c>
      <c r="AV6" s="262">
        <v>3783657.0109999999</v>
      </c>
      <c r="AW6" s="263">
        <v>-4.0183983262218601E-2</v>
      </c>
      <c r="AX6" s="262">
        <v>48142713.552000001</v>
      </c>
      <c r="AY6" s="262">
        <v>49635086.908</v>
      </c>
      <c r="AZ6" s="263">
        <v>-3.0066903252655802E-2</v>
      </c>
      <c r="BA6" s="262">
        <v>53155054.226999998</v>
      </c>
      <c r="BB6" s="262">
        <v>54796276.851999998</v>
      </c>
      <c r="BC6" s="263">
        <v>-2.9951352889043902E-2</v>
      </c>
      <c r="BD6" s="262">
        <v>0</v>
      </c>
      <c r="BE6" s="262">
        <v>0</v>
      </c>
      <c r="BF6" s="263">
        <v>0</v>
      </c>
      <c r="BG6" s="262">
        <v>0</v>
      </c>
      <c r="BH6" s="262">
        <v>0</v>
      </c>
      <c r="BI6" s="263">
        <v>0</v>
      </c>
      <c r="BJ6" s="262">
        <v>0</v>
      </c>
      <c r="BK6" s="262">
        <v>0</v>
      </c>
      <c r="BL6" s="263">
        <v>0</v>
      </c>
      <c r="BM6" s="262">
        <v>0</v>
      </c>
      <c r="BN6" s="262">
        <v>0</v>
      </c>
      <c r="BO6" s="263">
        <v>0</v>
      </c>
      <c r="BP6" s="262">
        <v>0</v>
      </c>
      <c r="BQ6" s="262">
        <v>0</v>
      </c>
      <c r="BR6" s="263">
        <v>0</v>
      </c>
      <c r="BS6" s="262">
        <v>0</v>
      </c>
      <c r="BT6" s="262">
        <v>0</v>
      </c>
      <c r="BU6" s="263">
        <v>0</v>
      </c>
      <c r="BV6" s="262">
        <v>0</v>
      </c>
      <c r="BW6" s="262">
        <v>0</v>
      </c>
      <c r="BX6" s="263">
        <v>0</v>
      </c>
      <c r="BY6" s="262">
        <v>0</v>
      </c>
      <c r="BZ6" s="262">
        <v>0</v>
      </c>
      <c r="CA6" s="263">
        <v>0</v>
      </c>
      <c r="CB6" s="262">
        <v>0</v>
      </c>
      <c r="CC6" s="262">
        <v>0</v>
      </c>
      <c r="CD6" s="263">
        <v>0</v>
      </c>
      <c r="CE6" s="262">
        <v>0</v>
      </c>
      <c r="CF6" s="262">
        <v>0</v>
      </c>
      <c r="CG6" s="263">
        <v>0</v>
      </c>
      <c r="CH6" s="262">
        <v>0</v>
      </c>
      <c r="CI6" s="262">
        <v>0</v>
      </c>
      <c r="CJ6" s="263">
        <v>0</v>
      </c>
      <c r="CK6" s="262">
        <v>0</v>
      </c>
      <c r="CL6" s="262">
        <v>0</v>
      </c>
      <c r="CM6" s="264">
        <v>0</v>
      </c>
      <c r="CN6" s="262">
        <v>4248089.3849999998</v>
      </c>
      <c r="CO6" s="262">
        <v>5012340.6749999998</v>
      </c>
      <c r="CP6" s="263">
        <v>-0.15247393175245399</v>
      </c>
      <c r="CQ6" s="262">
        <v>52390802.936999999</v>
      </c>
      <c r="CR6" s="262">
        <v>54647427.582999997</v>
      </c>
      <c r="CS6" s="263">
        <v>-4.1294252004315801E-2</v>
      </c>
      <c r="CT6" s="262">
        <v>52390802.936999999</v>
      </c>
      <c r="CU6" s="262">
        <v>54647427.582999997</v>
      </c>
      <c r="CV6" s="263">
        <v>-4.1294252004315801E-2</v>
      </c>
      <c r="CW6" s="262">
        <v>0</v>
      </c>
      <c r="CX6" s="262">
        <v>0</v>
      </c>
      <c r="CY6" s="263">
        <v>0</v>
      </c>
      <c r="CZ6" s="262">
        <v>0</v>
      </c>
      <c r="DA6" s="262">
        <v>0</v>
      </c>
      <c r="DB6" s="263">
        <v>0</v>
      </c>
      <c r="DC6" s="262">
        <v>0</v>
      </c>
      <c r="DD6" s="262">
        <v>0</v>
      </c>
      <c r="DE6" s="263">
        <v>0</v>
      </c>
      <c r="DF6" s="262">
        <v>0</v>
      </c>
      <c r="DG6" s="262">
        <v>0</v>
      </c>
      <c r="DH6" s="263">
        <v>0</v>
      </c>
      <c r="DI6" s="262">
        <v>0</v>
      </c>
      <c r="DJ6" s="262">
        <v>0</v>
      </c>
      <c r="DK6" s="263">
        <v>0</v>
      </c>
      <c r="DL6" s="262">
        <v>0</v>
      </c>
      <c r="DM6" s="262">
        <v>0</v>
      </c>
      <c r="DN6" s="263">
        <v>0</v>
      </c>
      <c r="DO6" s="262">
        <v>0</v>
      </c>
      <c r="DP6" s="262">
        <v>0</v>
      </c>
      <c r="DQ6" s="263">
        <v>0</v>
      </c>
      <c r="DR6" s="262">
        <v>0</v>
      </c>
      <c r="DS6" s="262">
        <v>0</v>
      </c>
      <c r="DT6" s="263">
        <v>0</v>
      </c>
      <c r="DU6" s="262">
        <v>0</v>
      </c>
      <c r="DV6" s="262">
        <v>0</v>
      </c>
      <c r="DW6" s="263">
        <v>0</v>
      </c>
      <c r="DX6" s="262">
        <v>0</v>
      </c>
      <c r="DY6" s="262">
        <v>0</v>
      </c>
      <c r="DZ6" s="263">
        <v>0</v>
      </c>
      <c r="EA6" s="262">
        <v>0</v>
      </c>
      <c r="EB6" s="262">
        <v>0</v>
      </c>
      <c r="EC6" s="263">
        <v>0</v>
      </c>
      <c r="ED6" s="262">
        <v>0</v>
      </c>
      <c r="EE6" s="262">
        <v>0</v>
      </c>
      <c r="EF6" s="264">
        <v>0</v>
      </c>
      <c r="EG6" s="262">
        <v>5226016.4349999996</v>
      </c>
      <c r="EH6" s="262">
        <v>5179885.926</v>
      </c>
      <c r="EI6" s="263">
        <v>8.9056997893431199E-3</v>
      </c>
      <c r="EJ6" s="262">
        <v>5226016.4349999996</v>
      </c>
      <c r="EK6" s="262">
        <v>5179885.926</v>
      </c>
      <c r="EL6" s="263">
        <v>8.9056997893431199E-3</v>
      </c>
      <c r="EM6" s="262">
        <v>52436933.446000002</v>
      </c>
      <c r="EN6" s="262">
        <v>54715257.572999999</v>
      </c>
      <c r="EO6" s="263">
        <v>-4.1639649122738799E-2</v>
      </c>
      <c r="EP6" s="262">
        <v>0</v>
      </c>
      <c r="EQ6" s="262">
        <v>0</v>
      </c>
      <c r="ER6" s="263">
        <v>0</v>
      </c>
      <c r="ES6" s="262">
        <v>0</v>
      </c>
      <c r="ET6" s="262">
        <v>0</v>
      </c>
      <c r="EU6" s="263">
        <v>0</v>
      </c>
      <c r="EV6" s="262">
        <v>0</v>
      </c>
      <c r="EW6" s="262">
        <v>0</v>
      </c>
      <c r="EX6" s="263">
        <v>0</v>
      </c>
      <c r="EY6" s="262">
        <v>0</v>
      </c>
      <c r="EZ6" s="262">
        <v>0</v>
      </c>
      <c r="FA6" s="263">
        <v>0</v>
      </c>
      <c r="FB6" s="262">
        <v>0</v>
      </c>
      <c r="FC6" s="262">
        <v>0</v>
      </c>
      <c r="FD6" s="263">
        <v>0</v>
      </c>
      <c r="FE6" s="262">
        <v>0</v>
      </c>
      <c r="FF6" s="262">
        <v>0</v>
      </c>
      <c r="FG6" s="263">
        <v>0</v>
      </c>
      <c r="FH6" s="262">
        <v>0</v>
      </c>
      <c r="FI6" s="262">
        <v>0</v>
      </c>
      <c r="FJ6" s="263">
        <v>0</v>
      </c>
      <c r="FK6" s="262">
        <v>0</v>
      </c>
      <c r="FL6" s="262">
        <v>0</v>
      </c>
      <c r="FM6" s="263">
        <v>0</v>
      </c>
      <c r="FN6" s="262">
        <v>0</v>
      </c>
      <c r="FO6" s="262">
        <v>0</v>
      </c>
      <c r="FP6" s="263">
        <v>0</v>
      </c>
      <c r="FQ6" s="262">
        <v>0</v>
      </c>
      <c r="FR6" s="262">
        <v>0</v>
      </c>
      <c r="FS6" s="263">
        <v>0</v>
      </c>
      <c r="FT6" s="262">
        <v>0</v>
      </c>
      <c r="FU6" s="262">
        <v>0</v>
      </c>
      <c r="FV6" s="263">
        <v>0</v>
      </c>
      <c r="FW6" s="262">
        <v>0</v>
      </c>
      <c r="FX6" s="262">
        <v>0</v>
      </c>
      <c r="FY6" s="264">
        <v>0</v>
      </c>
      <c r="FZ6" s="262">
        <v>4737450.693</v>
      </c>
      <c r="GA6" s="262">
        <v>4529278.0810000002</v>
      </c>
      <c r="GB6" s="263">
        <v>4.5961543600793499E-2</v>
      </c>
      <c r="GC6" s="262">
        <v>9963467.1280000005</v>
      </c>
      <c r="GD6" s="262">
        <v>9709164.0069999993</v>
      </c>
      <c r="GE6" s="263">
        <v>2.6192071821699199E-2</v>
      </c>
      <c r="GF6" s="262">
        <v>52645106.057999998</v>
      </c>
      <c r="GG6" s="262">
        <v>54624050.818000004</v>
      </c>
      <c r="GH6" s="263">
        <v>-3.6228451210870198E-2</v>
      </c>
      <c r="GI6" s="262">
        <v>0</v>
      </c>
      <c r="GJ6" s="262">
        <v>0</v>
      </c>
      <c r="GK6" s="263">
        <v>0</v>
      </c>
      <c r="GL6" s="262">
        <v>0</v>
      </c>
      <c r="GM6" s="262">
        <v>0</v>
      </c>
      <c r="GN6" s="263">
        <v>0</v>
      </c>
      <c r="GO6" s="262">
        <v>0</v>
      </c>
      <c r="GP6" s="262">
        <v>0</v>
      </c>
      <c r="GQ6" s="263">
        <v>0</v>
      </c>
      <c r="GR6" s="262">
        <v>0</v>
      </c>
      <c r="GS6" s="262">
        <v>0</v>
      </c>
      <c r="GT6" s="263">
        <v>0</v>
      </c>
      <c r="GU6" s="262">
        <v>0</v>
      </c>
      <c r="GV6" s="262">
        <v>0</v>
      </c>
      <c r="GW6" s="263">
        <v>0</v>
      </c>
      <c r="GX6" s="262">
        <v>0</v>
      </c>
      <c r="GY6" s="262">
        <v>0</v>
      </c>
      <c r="GZ6" s="263">
        <v>0</v>
      </c>
      <c r="HA6" s="262">
        <v>0</v>
      </c>
      <c r="HB6" s="262">
        <v>0</v>
      </c>
      <c r="HC6" s="263">
        <v>0</v>
      </c>
      <c r="HD6" s="262">
        <v>0</v>
      </c>
      <c r="HE6" s="262">
        <v>0</v>
      </c>
      <c r="HF6" s="263">
        <v>0</v>
      </c>
      <c r="HG6" s="262">
        <v>0</v>
      </c>
      <c r="HH6" s="262">
        <v>0</v>
      </c>
      <c r="HI6" s="263">
        <v>0</v>
      </c>
      <c r="HJ6" s="262">
        <v>0</v>
      </c>
      <c r="HK6" s="262">
        <v>0</v>
      </c>
      <c r="HL6" s="263">
        <v>0</v>
      </c>
      <c r="HM6" s="262">
        <v>0</v>
      </c>
      <c r="HN6" s="262">
        <v>0</v>
      </c>
      <c r="HO6" s="263">
        <v>0</v>
      </c>
      <c r="HP6" s="262">
        <v>0</v>
      </c>
      <c r="HQ6" s="262">
        <v>0</v>
      </c>
      <c r="HR6" s="264">
        <v>0</v>
      </c>
      <c r="HS6" s="262">
        <v>4877991.96</v>
      </c>
      <c r="HT6" s="262">
        <v>3507782.4509999999</v>
      </c>
      <c r="HU6" s="263">
        <v>0.39061986543931199</v>
      </c>
      <c r="HV6" s="262">
        <v>14841459.088</v>
      </c>
      <c r="HW6" s="262">
        <v>13216946.458000001</v>
      </c>
      <c r="HX6" s="263">
        <v>0.122911342280327</v>
      </c>
      <c r="HY6" s="262">
        <v>54015315.567000002</v>
      </c>
      <c r="HZ6" s="262">
        <v>53003075.447999999</v>
      </c>
      <c r="IA6" s="263">
        <v>1.9097761977851398E-2</v>
      </c>
      <c r="IB6" s="262">
        <v>0</v>
      </c>
      <c r="IC6" s="262">
        <v>0</v>
      </c>
      <c r="ID6" s="263">
        <v>0</v>
      </c>
      <c r="IE6" s="262">
        <v>0</v>
      </c>
      <c r="IF6" s="262">
        <v>0</v>
      </c>
      <c r="IG6" s="263">
        <v>0</v>
      </c>
      <c r="IH6" s="262">
        <v>0</v>
      </c>
      <c r="II6" s="262">
        <v>0</v>
      </c>
      <c r="IJ6" s="263">
        <v>0</v>
      </c>
      <c r="IK6" s="262">
        <v>0</v>
      </c>
      <c r="IL6" s="262">
        <v>0</v>
      </c>
      <c r="IM6" s="263">
        <v>0</v>
      </c>
      <c r="IN6" s="262">
        <v>0</v>
      </c>
      <c r="IO6" s="262">
        <v>0</v>
      </c>
      <c r="IP6" s="263">
        <v>0</v>
      </c>
      <c r="IQ6" s="262">
        <v>0</v>
      </c>
      <c r="IR6" s="262">
        <v>0</v>
      </c>
      <c r="IS6" s="263">
        <v>0</v>
      </c>
      <c r="IT6" s="262">
        <v>0</v>
      </c>
      <c r="IU6" s="262">
        <v>0</v>
      </c>
      <c r="IV6" s="263">
        <v>0</v>
      </c>
      <c r="IW6" s="262">
        <v>0</v>
      </c>
      <c r="IX6" s="262">
        <v>0</v>
      </c>
      <c r="IY6" s="263">
        <v>0</v>
      </c>
      <c r="IZ6" s="262">
        <v>0</v>
      </c>
      <c r="JA6" s="262">
        <v>0</v>
      </c>
      <c r="JB6" s="263">
        <v>0</v>
      </c>
      <c r="JC6" s="262">
        <v>0</v>
      </c>
      <c r="JD6" s="262">
        <v>0</v>
      </c>
      <c r="JE6" s="263">
        <v>0</v>
      </c>
      <c r="JF6" s="262">
        <v>0</v>
      </c>
      <c r="JG6" s="262">
        <v>0</v>
      </c>
      <c r="JH6" s="263">
        <v>0</v>
      </c>
      <c r="JI6" s="262">
        <v>0</v>
      </c>
      <c r="JJ6" s="262">
        <v>0</v>
      </c>
      <c r="JK6" s="264">
        <v>0</v>
      </c>
      <c r="JL6" s="262">
        <v>2951069.1239999998</v>
      </c>
      <c r="JM6" s="262">
        <v>3525863.7629999998</v>
      </c>
      <c r="JN6" s="263">
        <v>-0.16302236207531001</v>
      </c>
      <c r="JO6" s="262">
        <v>17792528.212000001</v>
      </c>
      <c r="JP6" s="262">
        <v>16742810.221000001</v>
      </c>
      <c r="JQ6" s="263">
        <v>6.2696642746590495E-2</v>
      </c>
      <c r="JR6" s="262">
        <v>53440520.928000003</v>
      </c>
      <c r="JS6" s="262">
        <v>51932967.508000001</v>
      </c>
      <c r="JT6" s="263">
        <v>2.9028832595937699E-2</v>
      </c>
      <c r="JU6" s="262">
        <v>0</v>
      </c>
      <c r="JV6" s="262">
        <v>0</v>
      </c>
      <c r="JW6" s="263">
        <v>0</v>
      </c>
      <c r="JX6" s="262">
        <v>0</v>
      </c>
      <c r="JY6" s="262">
        <v>0</v>
      </c>
      <c r="JZ6" s="263">
        <v>0</v>
      </c>
      <c r="KA6" s="262">
        <v>0</v>
      </c>
      <c r="KB6" s="262">
        <v>0</v>
      </c>
      <c r="KC6" s="263">
        <v>0</v>
      </c>
      <c r="KD6" s="262">
        <v>0</v>
      </c>
      <c r="KE6" s="262">
        <v>0</v>
      </c>
      <c r="KF6" s="263">
        <v>0</v>
      </c>
      <c r="KG6" s="262">
        <v>0</v>
      </c>
      <c r="KH6" s="262">
        <v>0</v>
      </c>
      <c r="KI6" s="263">
        <v>0</v>
      </c>
      <c r="KJ6" s="262">
        <v>0</v>
      </c>
      <c r="KK6" s="262">
        <v>0</v>
      </c>
      <c r="KL6" s="263">
        <v>0</v>
      </c>
      <c r="KM6" s="262">
        <v>0</v>
      </c>
      <c r="KN6" s="262">
        <v>0</v>
      </c>
      <c r="KO6" s="263">
        <v>0</v>
      </c>
      <c r="KP6" s="262">
        <v>0</v>
      </c>
      <c r="KQ6" s="262">
        <v>0</v>
      </c>
      <c r="KR6" s="263">
        <v>0</v>
      </c>
      <c r="KS6" s="262">
        <v>0</v>
      </c>
      <c r="KT6" s="262">
        <v>0</v>
      </c>
      <c r="KU6" s="263">
        <v>0</v>
      </c>
      <c r="KV6" s="262">
        <v>0</v>
      </c>
      <c r="KW6" s="262">
        <v>0</v>
      </c>
      <c r="KX6" s="263">
        <v>0</v>
      </c>
      <c r="KY6" s="262">
        <v>0</v>
      </c>
      <c r="KZ6" s="262">
        <v>0</v>
      </c>
      <c r="LA6" s="263">
        <v>0</v>
      </c>
      <c r="LB6" s="262">
        <v>0</v>
      </c>
      <c r="LC6" s="262">
        <v>0</v>
      </c>
      <c r="LD6" s="264">
        <v>0</v>
      </c>
      <c r="LE6" s="262">
        <v>3062480.1869999999</v>
      </c>
      <c r="LF6" s="262">
        <v>3543073.2919999999</v>
      </c>
      <c r="LG6" s="263">
        <v>-0.135643004079296</v>
      </c>
      <c r="LH6" s="262">
        <v>20855008.399</v>
      </c>
      <c r="LI6" s="262">
        <v>20285883.513</v>
      </c>
      <c r="LJ6" s="263">
        <v>2.8055218084796898E-2</v>
      </c>
      <c r="LK6" s="262">
        <v>52959927.822999999</v>
      </c>
      <c r="LL6" s="262">
        <v>51706927.741999999</v>
      </c>
      <c r="LM6" s="263">
        <v>2.4232731197104701E-2</v>
      </c>
      <c r="LN6" s="262">
        <v>0</v>
      </c>
      <c r="LO6" s="262">
        <v>0</v>
      </c>
      <c r="LP6" s="263">
        <v>0</v>
      </c>
      <c r="LQ6" s="262">
        <v>0</v>
      </c>
      <c r="LR6" s="262">
        <v>0</v>
      </c>
      <c r="LS6" s="263">
        <v>0</v>
      </c>
      <c r="LT6" s="262">
        <v>0</v>
      </c>
      <c r="LU6" s="262">
        <v>0</v>
      </c>
      <c r="LV6" s="263">
        <v>0</v>
      </c>
      <c r="LW6" s="262">
        <v>0</v>
      </c>
      <c r="LX6" s="262">
        <v>0</v>
      </c>
      <c r="LY6" s="263">
        <v>0</v>
      </c>
      <c r="LZ6" s="262">
        <v>0</v>
      </c>
      <c r="MA6" s="262">
        <v>0</v>
      </c>
      <c r="MB6" s="263">
        <v>0</v>
      </c>
      <c r="MC6" s="262">
        <v>0</v>
      </c>
      <c r="MD6" s="262">
        <v>0</v>
      </c>
      <c r="ME6" s="263">
        <v>0</v>
      </c>
      <c r="MF6" s="262">
        <v>0</v>
      </c>
      <c r="MG6" s="262">
        <v>0</v>
      </c>
      <c r="MH6" s="263">
        <v>0</v>
      </c>
      <c r="MI6" s="262">
        <v>0</v>
      </c>
      <c r="MJ6" s="262">
        <v>0</v>
      </c>
      <c r="MK6" s="263">
        <v>0</v>
      </c>
      <c r="ML6" s="262">
        <v>0</v>
      </c>
      <c r="MM6" s="262">
        <v>0</v>
      </c>
      <c r="MN6" s="263">
        <v>0</v>
      </c>
      <c r="MO6" s="262">
        <v>0</v>
      </c>
      <c r="MP6" s="262">
        <v>0</v>
      </c>
      <c r="MQ6" s="263">
        <v>0</v>
      </c>
      <c r="MR6" s="262">
        <v>0</v>
      </c>
      <c r="MS6" s="262">
        <v>0</v>
      </c>
      <c r="MT6" s="263">
        <v>0</v>
      </c>
      <c r="MU6" s="262">
        <v>0</v>
      </c>
      <c r="MV6" s="262">
        <v>0</v>
      </c>
      <c r="MW6" s="264">
        <v>0</v>
      </c>
      <c r="MX6" s="262">
        <v>4096380.2540000002</v>
      </c>
      <c r="MY6" s="262">
        <v>4365764.8140000002</v>
      </c>
      <c r="MZ6" s="263">
        <v>-6.17038643804508E-2</v>
      </c>
      <c r="NA6" s="262">
        <v>24951388.653000001</v>
      </c>
      <c r="NB6" s="262">
        <v>24651648.327</v>
      </c>
      <c r="NC6" s="263">
        <v>1.21590378876088E-2</v>
      </c>
      <c r="ND6" s="262">
        <v>52690543.262999997</v>
      </c>
      <c r="NE6" s="262">
        <v>52020713.575999998</v>
      </c>
      <c r="NF6" s="263">
        <v>1.28762110504579E-2</v>
      </c>
      <c r="NG6" s="262">
        <v>0</v>
      </c>
      <c r="NH6" s="262">
        <v>0</v>
      </c>
      <c r="NI6" s="263">
        <v>0</v>
      </c>
      <c r="NJ6" s="262">
        <v>0</v>
      </c>
      <c r="NK6" s="262">
        <v>0</v>
      </c>
      <c r="NL6" s="263">
        <v>0</v>
      </c>
      <c r="NM6" s="262">
        <v>0</v>
      </c>
      <c r="NN6" s="262">
        <v>0</v>
      </c>
      <c r="NO6" s="263">
        <v>0</v>
      </c>
      <c r="NP6" s="262">
        <v>0</v>
      </c>
      <c r="NQ6" s="262">
        <v>0</v>
      </c>
      <c r="NR6" s="263">
        <v>0</v>
      </c>
      <c r="NS6" s="262">
        <v>0</v>
      </c>
      <c r="NT6" s="262">
        <v>0</v>
      </c>
      <c r="NU6" s="263">
        <v>0</v>
      </c>
      <c r="NV6" s="262">
        <v>0</v>
      </c>
      <c r="NW6" s="262">
        <v>0</v>
      </c>
      <c r="NX6" s="263">
        <v>0</v>
      </c>
      <c r="NY6" s="262">
        <v>0</v>
      </c>
      <c r="NZ6" s="262">
        <v>0</v>
      </c>
      <c r="OA6" s="263">
        <v>0</v>
      </c>
      <c r="OB6" s="262">
        <v>0</v>
      </c>
      <c r="OC6" s="262">
        <v>0</v>
      </c>
      <c r="OD6" s="263">
        <v>0</v>
      </c>
      <c r="OE6" s="262">
        <v>0</v>
      </c>
      <c r="OF6" s="262">
        <v>0</v>
      </c>
      <c r="OG6" s="263">
        <v>0</v>
      </c>
      <c r="OH6" s="262">
        <v>0</v>
      </c>
      <c r="OI6" s="262">
        <v>0</v>
      </c>
      <c r="OJ6" s="263">
        <v>0</v>
      </c>
      <c r="OK6" s="262">
        <v>0</v>
      </c>
      <c r="OL6" s="262">
        <v>0</v>
      </c>
      <c r="OM6" s="263">
        <v>0</v>
      </c>
      <c r="ON6" s="262">
        <v>0</v>
      </c>
      <c r="OO6" s="262">
        <v>0</v>
      </c>
      <c r="OP6" s="264">
        <v>0</v>
      </c>
      <c r="OQ6" s="262">
        <v>5059022.7649999997</v>
      </c>
      <c r="OR6" s="262">
        <v>5078745.102</v>
      </c>
      <c r="OS6" s="263">
        <v>-3.88330908598537E-3</v>
      </c>
      <c r="OT6" s="262">
        <v>30010411.418000001</v>
      </c>
      <c r="OU6" s="262">
        <v>29730393.429000001</v>
      </c>
      <c r="OV6" s="263">
        <v>9.4185766383724102E-3</v>
      </c>
      <c r="OW6" s="262">
        <v>52670820.925999999</v>
      </c>
      <c r="OX6" s="262">
        <v>51942783.151000001</v>
      </c>
      <c r="OY6" s="263">
        <v>1.40161487474316E-2</v>
      </c>
      <c r="OZ6" s="262">
        <v>0</v>
      </c>
      <c r="PA6" s="262">
        <v>0</v>
      </c>
      <c r="PB6" s="263">
        <v>0</v>
      </c>
      <c r="PC6" s="262">
        <v>0</v>
      </c>
      <c r="PD6" s="262">
        <v>0</v>
      </c>
      <c r="PE6" s="263">
        <v>0</v>
      </c>
      <c r="PF6" s="262">
        <v>0</v>
      </c>
      <c r="PG6" s="262">
        <v>0</v>
      </c>
      <c r="PH6" s="263">
        <v>0</v>
      </c>
      <c r="PI6" s="262">
        <v>0</v>
      </c>
      <c r="PJ6" s="262">
        <v>0</v>
      </c>
      <c r="PK6" s="263">
        <v>0</v>
      </c>
      <c r="PL6" s="262">
        <v>0</v>
      </c>
      <c r="PM6" s="262">
        <v>0</v>
      </c>
      <c r="PN6" s="263">
        <v>0</v>
      </c>
      <c r="PO6" s="262">
        <v>0</v>
      </c>
      <c r="PP6" s="262">
        <v>0</v>
      </c>
      <c r="PQ6" s="263">
        <v>0</v>
      </c>
      <c r="PR6" s="262">
        <v>0</v>
      </c>
      <c r="PS6" s="262">
        <v>0</v>
      </c>
      <c r="PT6" s="263">
        <v>0</v>
      </c>
      <c r="PU6" s="262">
        <v>0</v>
      </c>
      <c r="PV6" s="262">
        <v>0</v>
      </c>
      <c r="PW6" s="263">
        <v>0</v>
      </c>
      <c r="PX6" s="262">
        <v>0</v>
      </c>
      <c r="PY6" s="262">
        <v>0</v>
      </c>
      <c r="PZ6" s="263">
        <v>0</v>
      </c>
      <c r="QA6" s="262">
        <v>0</v>
      </c>
      <c r="QB6" s="262">
        <v>0</v>
      </c>
      <c r="QC6" s="263">
        <v>0</v>
      </c>
      <c r="QD6" s="262">
        <v>0</v>
      </c>
      <c r="QE6" s="262">
        <v>0</v>
      </c>
      <c r="QF6" s="263">
        <v>0</v>
      </c>
      <c r="QG6" s="262">
        <v>0</v>
      </c>
      <c r="QH6" s="262">
        <v>0</v>
      </c>
      <c r="QI6" s="264">
        <v>0</v>
      </c>
      <c r="QJ6" s="262">
        <v>5094839.5760000004</v>
      </c>
      <c r="QK6" s="262">
        <v>5127963.6950000003</v>
      </c>
      <c r="QL6" s="263">
        <v>-6.4595073152131496E-3</v>
      </c>
      <c r="QM6" s="262">
        <v>35105250.994000003</v>
      </c>
      <c r="QN6" s="262">
        <v>34858357.123999998</v>
      </c>
      <c r="QO6" s="263">
        <v>7.0827741285035602E-3</v>
      </c>
      <c r="QP6" s="262">
        <v>52637696.806999996</v>
      </c>
      <c r="QQ6" s="262">
        <v>52027883.001000002</v>
      </c>
      <c r="QR6" s="263">
        <v>1.17209036928962E-2</v>
      </c>
      <c r="QS6" s="262">
        <v>0</v>
      </c>
      <c r="QT6" s="262">
        <v>0</v>
      </c>
      <c r="QU6" s="263">
        <v>0</v>
      </c>
      <c r="QV6" s="262">
        <v>0</v>
      </c>
      <c r="QW6" s="262">
        <v>0</v>
      </c>
      <c r="QX6" s="263">
        <v>0</v>
      </c>
      <c r="QY6" s="262">
        <v>0</v>
      </c>
      <c r="QZ6" s="262">
        <v>0</v>
      </c>
      <c r="RA6" s="263">
        <v>0</v>
      </c>
      <c r="RB6" s="262">
        <v>0</v>
      </c>
      <c r="RC6" s="262">
        <v>0</v>
      </c>
      <c r="RD6" s="263">
        <v>0</v>
      </c>
      <c r="RE6" s="262">
        <v>0</v>
      </c>
      <c r="RF6" s="262">
        <v>0</v>
      </c>
      <c r="RG6" s="263">
        <v>0</v>
      </c>
      <c r="RH6" s="262">
        <v>0</v>
      </c>
      <c r="RI6" s="262">
        <v>0</v>
      </c>
      <c r="RJ6" s="263">
        <v>0</v>
      </c>
      <c r="RK6" s="262">
        <v>0</v>
      </c>
      <c r="RL6" s="262">
        <v>0</v>
      </c>
      <c r="RM6" s="263">
        <v>0</v>
      </c>
      <c r="RN6" s="262">
        <v>0</v>
      </c>
      <c r="RO6" s="262">
        <v>0</v>
      </c>
      <c r="RP6" s="263">
        <v>0</v>
      </c>
      <c r="RQ6" s="262">
        <v>0</v>
      </c>
      <c r="RR6" s="262">
        <v>0</v>
      </c>
      <c r="RS6" s="263">
        <v>0</v>
      </c>
      <c r="RT6" s="262">
        <v>0</v>
      </c>
      <c r="RU6" s="262">
        <v>0</v>
      </c>
      <c r="RV6" s="263">
        <v>0</v>
      </c>
      <c r="RW6" s="262">
        <v>0</v>
      </c>
      <c r="RX6" s="262">
        <v>0</v>
      </c>
      <c r="RY6" s="263">
        <v>0</v>
      </c>
      <c r="RZ6" s="262">
        <v>0</v>
      </c>
      <c r="SA6" s="262">
        <v>0</v>
      </c>
      <c r="SB6" s="264">
        <v>0</v>
      </c>
      <c r="SC6" s="262">
        <v>4538216.0970000001</v>
      </c>
      <c r="SD6" s="262">
        <v>5016585.2709999997</v>
      </c>
      <c r="SE6" s="263">
        <v>-9.5357528708894496E-2</v>
      </c>
      <c r="SF6" s="262">
        <v>39643467.090999998</v>
      </c>
      <c r="SG6" s="262">
        <v>39874942.395000003</v>
      </c>
      <c r="SH6" s="263">
        <v>-5.8050316839838301E-3</v>
      </c>
      <c r="SI6" s="262">
        <v>52159327.633000001</v>
      </c>
      <c r="SJ6" s="262">
        <v>52455100.568999998</v>
      </c>
      <c r="SK6" s="263">
        <v>-5.6385924875109903E-3</v>
      </c>
      <c r="SL6" s="262">
        <v>0</v>
      </c>
      <c r="SM6" s="262">
        <v>0</v>
      </c>
      <c r="SN6" s="263">
        <v>0</v>
      </c>
      <c r="SO6" s="262">
        <v>0</v>
      </c>
      <c r="SP6" s="262">
        <v>0</v>
      </c>
      <c r="SQ6" s="263">
        <v>0</v>
      </c>
      <c r="SR6" s="262">
        <v>0</v>
      </c>
      <c r="SS6" s="262">
        <v>0</v>
      </c>
      <c r="ST6" s="263">
        <v>0</v>
      </c>
      <c r="SU6" s="262">
        <v>0</v>
      </c>
      <c r="SV6" s="262">
        <v>0</v>
      </c>
      <c r="SW6" s="263">
        <v>0</v>
      </c>
      <c r="SX6" s="262">
        <v>0</v>
      </c>
      <c r="SY6" s="262">
        <v>0</v>
      </c>
      <c r="SZ6" s="263">
        <v>0</v>
      </c>
      <c r="TA6" s="262">
        <v>0</v>
      </c>
      <c r="TB6" s="262">
        <v>0</v>
      </c>
      <c r="TC6" s="263">
        <v>0</v>
      </c>
      <c r="TD6" s="262">
        <v>0</v>
      </c>
      <c r="TE6" s="262">
        <v>0</v>
      </c>
      <c r="TF6" s="263">
        <v>0</v>
      </c>
      <c r="TG6" s="262">
        <v>0</v>
      </c>
      <c r="TH6" s="262">
        <v>0</v>
      </c>
      <c r="TI6" s="263">
        <v>0</v>
      </c>
      <c r="TJ6" s="262">
        <v>0</v>
      </c>
      <c r="TK6" s="262">
        <v>0</v>
      </c>
      <c r="TL6" s="263">
        <v>0</v>
      </c>
      <c r="TM6" s="262">
        <v>0</v>
      </c>
      <c r="TN6" s="262">
        <v>0</v>
      </c>
      <c r="TO6" s="263">
        <v>0</v>
      </c>
      <c r="TP6" s="262">
        <v>0</v>
      </c>
      <c r="TQ6" s="262">
        <v>0</v>
      </c>
      <c r="TR6" s="263">
        <v>0</v>
      </c>
      <c r="TS6" s="262">
        <v>0</v>
      </c>
      <c r="TT6" s="262">
        <v>0</v>
      </c>
      <c r="TU6" s="264">
        <v>0</v>
      </c>
      <c r="TV6" s="262">
        <v>3695400.9619999998</v>
      </c>
      <c r="TW6" s="262">
        <v>4636156.5559999999</v>
      </c>
      <c r="TX6" s="263">
        <v>-0.202917132464497</v>
      </c>
      <c r="TY6" s="262">
        <v>43338868.053000003</v>
      </c>
      <c r="TZ6" s="262">
        <v>44511098.950999998</v>
      </c>
      <c r="UA6" s="263">
        <v>-2.6335698862219599E-2</v>
      </c>
      <c r="UB6" s="262">
        <v>51218572.038999997</v>
      </c>
      <c r="UC6" s="262">
        <v>53307096.637000002</v>
      </c>
      <c r="UD6" s="263">
        <v>-3.9179109907673697E-2</v>
      </c>
      <c r="UE6" s="262">
        <v>0</v>
      </c>
      <c r="UF6" s="262">
        <v>0</v>
      </c>
      <c r="UG6" s="263">
        <v>0</v>
      </c>
      <c r="UH6" s="262">
        <v>0</v>
      </c>
      <c r="UI6" s="262">
        <v>0</v>
      </c>
      <c r="UJ6" s="263">
        <v>0</v>
      </c>
      <c r="UK6" s="262">
        <v>0</v>
      </c>
      <c r="UL6" s="262">
        <v>0</v>
      </c>
      <c r="UM6" s="263">
        <v>0</v>
      </c>
      <c r="UN6" s="262">
        <v>0</v>
      </c>
      <c r="UO6" s="262">
        <v>0</v>
      </c>
      <c r="UP6" s="263">
        <v>0</v>
      </c>
      <c r="UQ6" s="262">
        <v>0</v>
      </c>
      <c r="UR6" s="262">
        <v>0</v>
      </c>
      <c r="US6" s="263">
        <v>0</v>
      </c>
      <c r="UT6" s="262">
        <v>0</v>
      </c>
      <c r="UU6" s="262">
        <v>0</v>
      </c>
      <c r="UV6" s="263">
        <v>0</v>
      </c>
      <c r="UW6" s="262">
        <v>0</v>
      </c>
      <c r="UX6" s="262">
        <v>0</v>
      </c>
      <c r="UY6" s="263">
        <v>0</v>
      </c>
      <c r="UZ6" s="262">
        <v>0</v>
      </c>
      <c r="VA6" s="262">
        <v>0</v>
      </c>
      <c r="VB6" s="263">
        <v>0</v>
      </c>
      <c r="VC6" s="262">
        <v>0</v>
      </c>
      <c r="VD6" s="262">
        <v>0</v>
      </c>
      <c r="VE6" s="263">
        <v>0</v>
      </c>
      <c r="VF6" s="262">
        <v>0</v>
      </c>
      <c r="VG6" s="262">
        <v>0</v>
      </c>
      <c r="VH6" s="263">
        <v>0</v>
      </c>
      <c r="VI6" s="262">
        <v>0</v>
      </c>
      <c r="VJ6" s="262">
        <v>0</v>
      </c>
      <c r="VK6" s="263">
        <v>0</v>
      </c>
      <c r="VL6" s="262">
        <v>0</v>
      </c>
      <c r="VM6" s="262">
        <v>0</v>
      </c>
      <c r="VN6" s="264">
        <v>0</v>
      </c>
    </row>
    <row r="7" spans="1:586">
      <c r="A7" s="268" t="s">
        <v>4</v>
      </c>
      <c r="B7" s="262">
        <v>310385.93599999999</v>
      </c>
      <c r="C7" s="262">
        <v>382302.17</v>
      </c>
      <c r="D7" s="263">
        <v>-0.18811359088021901</v>
      </c>
      <c r="E7" s="262">
        <v>2369226.3879999998</v>
      </c>
      <c r="F7" s="262">
        <v>3482422.8119999999</v>
      </c>
      <c r="G7" s="263">
        <v>-0.31966147825705199</v>
      </c>
      <c r="H7" s="262">
        <v>2817275.5980000002</v>
      </c>
      <c r="I7" s="262">
        <v>4496586.4349999996</v>
      </c>
      <c r="J7" s="263">
        <v>-0.37346348419520597</v>
      </c>
      <c r="K7" s="262">
        <v>0</v>
      </c>
      <c r="L7" s="262">
        <v>0</v>
      </c>
      <c r="M7" s="263">
        <v>0</v>
      </c>
      <c r="N7" s="262">
        <v>0</v>
      </c>
      <c r="O7" s="262">
        <v>0</v>
      </c>
      <c r="P7" s="263">
        <v>0</v>
      </c>
      <c r="Q7" s="262">
        <v>0</v>
      </c>
      <c r="R7" s="262">
        <v>0</v>
      </c>
      <c r="S7" s="263">
        <v>0</v>
      </c>
      <c r="T7" s="262">
        <v>0</v>
      </c>
      <c r="U7" s="262">
        <v>0</v>
      </c>
      <c r="V7" s="263">
        <v>0</v>
      </c>
      <c r="W7" s="262">
        <v>0</v>
      </c>
      <c r="X7" s="262">
        <v>0</v>
      </c>
      <c r="Y7" s="263">
        <v>0</v>
      </c>
      <c r="Z7" s="262">
        <v>0</v>
      </c>
      <c r="AA7" s="262">
        <v>0</v>
      </c>
      <c r="AB7" s="263">
        <v>0</v>
      </c>
      <c r="AC7" s="262">
        <v>0</v>
      </c>
      <c r="AD7" s="262">
        <v>0</v>
      </c>
      <c r="AE7" s="263">
        <v>0</v>
      </c>
      <c r="AF7" s="262">
        <v>58050.74</v>
      </c>
      <c r="AG7" s="262">
        <v>75935.157999999996</v>
      </c>
      <c r="AH7" s="263">
        <v>-0.23552223332438399</v>
      </c>
      <c r="AI7" s="262">
        <v>58050.74</v>
      </c>
      <c r="AJ7" s="262">
        <v>74720.248000000007</v>
      </c>
      <c r="AK7" s="263">
        <v>-0.223092246695969</v>
      </c>
      <c r="AL7" s="262">
        <v>0</v>
      </c>
      <c r="AM7" s="262">
        <v>0</v>
      </c>
      <c r="AN7" s="263">
        <v>0</v>
      </c>
      <c r="AO7" s="262">
        <v>0</v>
      </c>
      <c r="AP7" s="262">
        <v>0</v>
      </c>
      <c r="AQ7" s="263">
        <v>0</v>
      </c>
      <c r="AR7" s="262">
        <v>0</v>
      </c>
      <c r="AS7" s="262">
        <v>0</v>
      </c>
      <c r="AT7" s="264">
        <v>0</v>
      </c>
      <c r="AU7" s="262">
        <v>288076.16899999999</v>
      </c>
      <c r="AV7" s="262">
        <v>228074.83900000001</v>
      </c>
      <c r="AW7" s="263">
        <v>0.26307737522945301</v>
      </c>
      <c r="AX7" s="262">
        <v>2657302.557</v>
      </c>
      <c r="AY7" s="262">
        <v>3710497.6510000001</v>
      </c>
      <c r="AZ7" s="263">
        <v>-0.28384200532135001</v>
      </c>
      <c r="BA7" s="262">
        <v>2877276.9279999998</v>
      </c>
      <c r="BB7" s="262">
        <v>4404387.335</v>
      </c>
      <c r="BC7" s="263">
        <v>-0.34672482024108803</v>
      </c>
      <c r="BD7" s="262">
        <v>0</v>
      </c>
      <c r="BE7" s="262">
        <v>0</v>
      </c>
      <c r="BF7" s="263">
        <v>0</v>
      </c>
      <c r="BG7" s="262">
        <v>0</v>
      </c>
      <c r="BH7" s="262">
        <v>0</v>
      </c>
      <c r="BI7" s="263">
        <v>0</v>
      </c>
      <c r="BJ7" s="262">
        <v>0</v>
      </c>
      <c r="BK7" s="262">
        <v>0</v>
      </c>
      <c r="BL7" s="263">
        <v>0</v>
      </c>
      <c r="BM7" s="262">
        <v>0</v>
      </c>
      <c r="BN7" s="262">
        <v>0</v>
      </c>
      <c r="BO7" s="263">
        <v>0</v>
      </c>
      <c r="BP7" s="262">
        <v>0</v>
      </c>
      <c r="BQ7" s="262">
        <v>0</v>
      </c>
      <c r="BR7" s="263">
        <v>0</v>
      </c>
      <c r="BS7" s="262">
        <v>0</v>
      </c>
      <c r="BT7" s="262">
        <v>0</v>
      </c>
      <c r="BU7" s="263">
        <v>0</v>
      </c>
      <c r="BV7" s="262">
        <v>0</v>
      </c>
      <c r="BW7" s="262">
        <v>0</v>
      </c>
      <c r="BX7" s="263">
        <v>0</v>
      </c>
      <c r="BY7" s="262">
        <v>58050.74</v>
      </c>
      <c r="BZ7" s="262">
        <v>75935.157999999996</v>
      </c>
      <c r="CA7" s="263">
        <v>-0.23552223332438399</v>
      </c>
      <c r="CB7" s="262">
        <v>58050.74</v>
      </c>
      <c r="CC7" s="262">
        <v>75308.365999999995</v>
      </c>
      <c r="CD7" s="263">
        <v>-0.229159480103446</v>
      </c>
      <c r="CE7" s="262">
        <v>0</v>
      </c>
      <c r="CF7" s="262">
        <v>0</v>
      </c>
      <c r="CG7" s="263">
        <v>0</v>
      </c>
      <c r="CH7" s="262">
        <v>0</v>
      </c>
      <c r="CI7" s="262">
        <v>0</v>
      </c>
      <c r="CJ7" s="263">
        <v>0</v>
      </c>
      <c r="CK7" s="262">
        <v>0</v>
      </c>
      <c r="CL7" s="262">
        <v>0</v>
      </c>
      <c r="CM7" s="264">
        <v>0</v>
      </c>
      <c r="CN7" s="262">
        <v>315086.51699999999</v>
      </c>
      <c r="CO7" s="262">
        <v>219974.37100000001</v>
      </c>
      <c r="CP7" s="263">
        <v>0.43237830647098402</v>
      </c>
      <c r="CQ7" s="262">
        <v>2972389.074</v>
      </c>
      <c r="CR7" s="262">
        <v>3930472.0219999999</v>
      </c>
      <c r="CS7" s="263">
        <v>-0.24375773256680899</v>
      </c>
      <c r="CT7" s="262">
        <v>2972389.074</v>
      </c>
      <c r="CU7" s="262">
        <v>3930472.0219999999</v>
      </c>
      <c r="CV7" s="263">
        <v>-0.24375773256680899</v>
      </c>
      <c r="CW7" s="262">
        <v>0</v>
      </c>
      <c r="CX7" s="262">
        <v>0</v>
      </c>
      <c r="CY7" s="263">
        <v>0</v>
      </c>
      <c r="CZ7" s="262">
        <v>0</v>
      </c>
      <c r="DA7" s="262">
        <v>0</v>
      </c>
      <c r="DB7" s="263">
        <v>0</v>
      </c>
      <c r="DC7" s="262">
        <v>0</v>
      </c>
      <c r="DD7" s="262">
        <v>0</v>
      </c>
      <c r="DE7" s="263">
        <v>0</v>
      </c>
      <c r="DF7" s="262">
        <v>0</v>
      </c>
      <c r="DG7" s="262">
        <v>0</v>
      </c>
      <c r="DH7" s="263">
        <v>0</v>
      </c>
      <c r="DI7" s="262">
        <v>0</v>
      </c>
      <c r="DJ7" s="262">
        <v>0</v>
      </c>
      <c r="DK7" s="263">
        <v>0</v>
      </c>
      <c r="DL7" s="262">
        <v>0</v>
      </c>
      <c r="DM7" s="262">
        <v>0</v>
      </c>
      <c r="DN7" s="263">
        <v>0</v>
      </c>
      <c r="DO7" s="262">
        <v>0</v>
      </c>
      <c r="DP7" s="262">
        <v>0</v>
      </c>
      <c r="DQ7" s="263">
        <v>0</v>
      </c>
      <c r="DR7" s="262">
        <v>58050.74</v>
      </c>
      <c r="DS7" s="262">
        <v>75935.157999999996</v>
      </c>
      <c r="DT7" s="263">
        <v>-0.23552223332438399</v>
      </c>
      <c r="DU7" s="262">
        <v>58050.74</v>
      </c>
      <c r="DV7" s="262">
        <v>75935.157999999996</v>
      </c>
      <c r="DW7" s="263">
        <v>-0.23552223332438399</v>
      </c>
      <c r="DX7" s="262">
        <v>0</v>
      </c>
      <c r="DY7" s="262">
        <v>0</v>
      </c>
      <c r="DZ7" s="263">
        <v>0</v>
      </c>
      <c r="EA7" s="262">
        <v>0</v>
      </c>
      <c r="EB7" s="262">
        <v>0</v>
      </c>
      <c r="EC7" s="263">
        <v>0</v>
      </c>
      <c r="ED7" s="262">
        <v>0</v>
      </c>
      <c r="EE7" s="262">
        <v>0</v>
      </c>
      <c r="EF7" s="264">
        <v>0</v>
      </c>
      <c r="EG7" s="262">
        <v>297469.81800000003</v>
      </c>
      <c r="EH7" s="262">
        <v>273958.35399999999</v>
      </c>
      <c r="EI7" s="263">
        <v>8.5821306985951501E-2</v>
      </c>
      <c r="EJ7" s="262">
        <v>297469.81800000003</v>
      </c>
      <c r="EK7" s="262">
        <v>273958.35399999999</v>
      </c>
      <c r="EL7" s="263">
        <v>8.5821306985951501E-2</v>
      </c>
      <c r="EM7" s="262">
        <v>2995900.5380000002</v>
      </c>
      <c r="EN7" s="262">
        <v>3896919.0890000002</v>
      </c>
      <c r="EO7" s="263">
        <v>-0.231213050725981</v>
      </c>
      <c r="EP7" s="262">
        <v>0</v>
      </c>
      <c r="EQ7" s="262">
        <v>0</v>
      </c>
      <c r="ER7" s="263">
        <v>0</v>
      </c>
      <c r="ES7" s="262">
        <v>0</v>
      </c>
      <c r="ET7" s="262">
        <v>0</v>
      </c>
      <c r="EU7" s="263">
        <v>0</v>
      </c>
      <c r="EV7" s="262">
        <v>0</v>
      </c>
      <c r="EW7" s="262">
        <v>0</v>
      </c>
      <c r="EX7" s="263">
        <v>0</v>
      </c>
      <c r="EY7" s="262">
        <v>0</v>
      </c>
      <c r="EZ7" s="262">
        <v>0</v>
      </c>
      <c r="FA7" s="263">
        <v>0</v>
      </c>
      <c r="FB7" s="262">
        <v>0</v>
      </c>
      <c r="FC7" s="262">
        <v>0</v>
      </c>
      <c r="FD7" s="263">
        <v>0</v>
      </c>
      <c r="FE7" s="262">
        <v>0</v>
      </c>
      <c r="FF7" s="262">
        <v>0</v>
      </c>
      <c r="FG7" s="263">
        <v>0</v>
      </c>
      <c r="FH7" s="262">
        <v>4631.9679999999998</v>
      </c>
      <c r="FI7" s="262">
        <v>0</v>
      </c>
      <c r="FJ7" s="263">
        <v>0</v>
      </c>
      <c r="FK7" s="262">
        <v>4631.9679999999998</v>
      </c>
      <c r="FL7" s="262">
        <v>0</v>
      </c>
      <c r="FM7" s="263">
        <v>0</v>
      </c>
      <c r="FN7" s="262">
        <v>62682.707999999999</v>
      </c>
      <c r="FO7" s="262">
        <v>75935.157999999996</v>
      </c>
      <c r="FP7" s="263">
        <v>-0.17452324258020199</v>
      </c>
      <c r="FQ7" s="262">
        <v>0</v>
      </c>
      <c r="FR7" s="262">
        <v>0</v>
      </c>
      <c r="FS7" s="263">
        <v>0</v>
      </c>
      <c r="FT7" s="262">
        <v>0</v>
      </c>
      <c r="FU7" s="262">
        <v>0</v>
      </c>
      <c r="FV7" s="263">
        <v>0</v>
      </c>
      <c r="FW7" s="262">
        <v>0</v>
      </c>
      <c r="FX7" s="262">
        <v>0</v>
      </c>
      <c r="FY7" s="264">
        <v>0</v>
      </c>
      <c r="FZ7" s="262">
        <v>278055.158</v>
      </c>
      <c r="GA7" s="262">
        <v>211248.554</v>
      </c>
      <c r="GB7" s="263">
        <v>0.31624644398749302</v>
      </c>
      <c r="GC7" s="262">
        <v>575524.97600000002</v>
      </c>
      <c r="GD7" s="262">
        <v>485206.908</v>
      </c>
      <c r="GE7" s="263">
        <v>0.186143409153606</v>
      </c>
      <c r="GF7" s="262">
        <v>3062707.142</v>
      </c>
      <c r="GG7" s="262">
        <v>3680859.1239999998</v>
      </c>
      <c r="GH7" s="263">
        <v>-0.167936875923752</v>
      </c>
      <c r="GI7" s="262">
        <v>0</v>
      </c>
      <c r="GJ7" s="262">
        <v>0</v>
      </c>
      <c r="GK7" s="263">
        <v>0</v>
      </c>
      <c r="GL7" s="262">
        <v>0</v>
      </c>
      <c r="GM7" s="262">
        <v>0</v>
      </c>
      <c r="GN7" s="263">
        <v>0</v>
      </c>
      <c r="GO7" s="262">
        <v>0</v>
      </c>
      <c r="GP7" s="262">
        <v>0</v>
      </c>
      <c r="GQ7" s="263">
        <v>0</v>
      </c>
      <c r="GR7" s="262">
        <v>0</v>
      </c>
      <c r="GS7" s="262">
        <v>0</v>
      </c>
      <c r="GT7" s="263">
        <v>0</v>
      </c>
      <c r="GU7" s="262">
        <v>0</v>
      </c>
      <c r="GV7" s="262">
        <v>0</v>
      </c>
      <c r="GW7" s="263">
        <v>0</v>
      </c>
      <c r="GX7" s="262">
        <v>0</v>
      </c>
      <c r="GY7" s="262">
        <v>0</v>
      </c>
      <c r="GZ7" s="263">
        <v>0</v>
      </c>
      <c r="HA7" s="262">
        <v>61004.25</v>
      </c>
      <c r="HB7" s="262">
        <v>0</v>
      </c>
      <c r="HC7" s="263">
        <v>0</v>
      </c>
      <c r="HD7" s="262">
        <v>65636.217999999993</v>
      </c>
      <c r="HE7" s="262">
        <v>0</v>
      </c>
      <c r="HF7" s="263">
        <v>0</v>
      </c>
      <c r="HG7" s="262">
        <v>123686.958</v>
      </c>
      <c r="HH7" s="262">
        <v>75935.157999999996</v>
      </c>
      <c r="HI7" s="263">
        <v>0.62884968251465301</v>
      </c>
      <c r="HJ7" s="262">
        <v>0</v>
      </c>
      <c r="HK7" s="262">
        <v>0</v>
      </c>
      <c r="HL7" s="263">
        <v>0</v>
      </c>
      <c r="HM7" s="262">
        <v>0</v>
      </c>
      <c r="HN7" s="262">
        <v>0</v>
      </c>
      <c r="HO7" s="263">
        <v>0</v>
      </c>
      <c r="HP7" s="262">
        <v>0</v>
      </c>
      <c r="HQ7" s="262">
        <v>0</v>
      </c>
      <c r="HR7" s="264">
        <v>0</v>
      </c>
      <c r="HS7" s="262">
        <v>190539.58</v>
      </c>
      <c r="HT7" s="262">
        <v>213900.071</v>
      </c>
      <c r="HU7" s="263">
        <v>-0.109212170387732</v>
      </c>
      <c r="HV7" s="262">
        <v>766064.55599999998</v>
      </c>
      <c r="HW7" s="262">
        <v>699106.97900000005</v>
      </c>
      <c r="HX7" s="263">
        <v>9.5775866943533905E-2</v>
      </c>
      <c r="HY7" s="262">
        <v>3039346.6510000001</v>
      </c>
      <c r="HZ7" s="262">
        <v>3459795.139</v>
      </c>
      <c r="IA7" s="263">
        <v>-0.12152409929147499</v>
      </c>
      <c r="IB7" s="262">
        <v>0</v>
      </c>
      <c r="IC7" s="262">
        <v>0</v>
      </c>
      <c r="ID7" s="263">
        <v>0</v>
      </c>
      <c r="IE7" s="262">
        <v>0</v>
      </c>
      <c r="IF7" s="262">
        <v>0</v>
      </c>
      <c r="IG7" s="263">
        <v>0</v>
      </c>
      <c r="IH7" s="262">
        <v>0</v>
      </c>
      <c r="II7" s="262">
        <v>0</v>
      </c>
      <c r="IJ7" s="263">
        <v>0</v>
      </c>
      <c r="IK7" s="262">
        <v>0</v>
      </c>
      <c r="IL7" s="262">
        <v>0</v>
      </c>
      <c r="IM7" s="263">
        <v>0</v>
      </c>
      <c r="IN7" s="262">
        <v>0</v>
      </c>
      <c r="IO7" s="262">
        <v>0</v>
      </c>
      <c r="IP7" s="263">
        <v>0</v>
      </c>
      <c r="IQ7" s="262">
        <v>0</v>
      </c>
      <c r="IR7" s="262">
        <v>0</v>
      </c>
      <c r="IS7" s="263">
        <v>0</v>
      </c>
      <c r="IT7" s="262">
        <v>29608.97</v>
      </c>
      <c r="IU7" s="262">
        <v>0</v>
      </c>
      <c r="IV7" s="263">
        <v>0</v>
      </c>
      <c r="IW7" s="262">
        <v>95245.187999999995</v>
      </c>
      <c r="IX7" s="262">
        <v>0</v>
      </c>
      <c r="IY7" s="263">
        <v>0</v>
      </c>
      <c r="IZ7" s="262">
        <v>153295.92800000001</v>
      </c>
      <c r="JA7" s="262">
        <v>75935.157999999996</v>
      </c>
      <c r="JB7" s="263">
        <v>1.0187740703719901</v>
      </c>
      <c r="JC7" s="262">
        <v>0</v>
      </c>
      <c r="JD7" s="262">
        <v>0</v>
      </c>
      <c r="JE7" s="263">
        <v>0</v>
      </c>
      <c r="JF7" s="262">
        <v>0</v>
      </c>
      <c r="JG7" s="262">
        <v>0</v>
      </c>
      <c r="JH7" s="263">
        <v>0</v>
      </c>
      <c r="JI7" s="262">
        <v>0</v>
      </c>
      <c r="JJ7" s="262">
        <v>0</v>
      </c>
      <c r="JK7" s="264">
        <v>0</v>
      </c>
      <c r="JL7" s="262">
        <v>169826.41099999999</v>
      </c>
      <c r="JM7" s="262">
        <v>219580.598</v>
      </c>
      <c r="JN7" s="263">
        <v>-0.22658735540924299</v>
      </c>
      <c r="JO7" s="262">
        <v>935890.96699999995</v>
      </c>
      <c r="JP7" s="262">
        <v>918687.57700000005</v>
      </c>
      <c r="JQ7" s="263">
        <v>1.8726050542860299E-2</v>
      </c>
      <c r="JR7" s="262">
        <v>2989592.4640000002</v>
      </c>
      <c r="JS7" s="262">
        <v>3419170.679</v>
      </c>
      <c r="JT7" s="263">
        <v>-0.12563813138618701</v>
      </c>
      <c r="JU7" s="262">
        <v>0</v>
      </c>
      <c r="JV7" s="262">
        <v>0</v>
      </c>
      <c r="JW7" s="263">
        <v>0</v>
      </c>
      <c r="JX7" s="262">
        <v>0</v>
      </c>
      <c r="JY7" s="262">
        <v>0</v>
      </c>
      <c r="JZ7" s="263">
        <v>0</v>
      </c>
      <c r="KA7" s="262">
        <v>0</v>
      </c>
      <c r="KB7" s="262">
        <v>0</v>
      </c>
      <c r="KC7" s="263">
        <v>0</v>
      </c>
      <c r="KD7" s="262">
        <v>0</v>
      </c>
      <c r="KE7" s="262">
        <v>0</v>
      </c>
      <c r="KF7" s="263">
        <v>0</v>
      </c>
      <c r="KG7" s="262">
        <v>0</v>
      </c>
      <c r="KH7" s="262">
        <v>0</v>
      </c>
      <c r="KI7" s="263">
        <v>0</v>
      </c>
      <c r="KJ7" s="262">
        <v>0</v>
      </c>
      <c r="KK7" s="262">
        <v>0</v>
      </c>
      <c r="KL7" s="263">
        <v>0</v>
      </c>
      <c r="KM7" s="262">
        <v>0</v>
      </c>
      <c r="KN7" s="262">
        <v>0</v>
      </c>
      <c r="KO7" s="263">
        <v>0</v>
      </c>
      <c r="KP7" s="262">
        <v>95245.187999999995</v>
      </c>
      <c r="KQ7" s="262">
        <v>0</v>
      </c>
      <c r="KR7" s="263">
        <v>0</v>
      </c>
      <c r="KS7" s="262">
        <v>153295.92800000001</v>
      </c>
      <c r="KT7" s="262">
        <v>75935.157999999996</v>
      </c>
      <c r="KU7" s="263">
        <v>1.0187740703719901</v>
      </c>
      <c r="KV7" s="262">
        <v>0</v>
      </c>
      <c r="KW7" s="262">
        <v>0</v>
      </c>
      <c r="KX7" s="263">
        <v>0</v>
      </c>
      <c r="KY7" s="262">
        <v>0</v>
      </c>
      <c r="KZ7" s="262">
        <v>0</v>
      </c>
      <c r="LA7" s="263">
        <v>0</v>
      </c>
      <c r="LB7" s="262">
        <v>0</v>
      </c>
      <c r="LC7" s="262">
        <v>0</v>
      </c>
      <c r="LD7" s="264">
        <v>0</v>
      </c>
      <c r="LE7" s="262">
        <v>143526.74799999999</v>
      </c>
      <c r="LF7" s="262">
        <v>214352.32399999999</v>
      </c>
      <c r="LG7" s="263">
        <v>-0.33041664619414202</v>
      </c>
      <c r="LH7" s="262">
        <v>1079417.7150000001</v>
      </c>
      <c r="LI7" s="262">
        <v>1133039.9010000001</v>
      </c>
      <c r="LJ7" s="263">
        <v>-4.73259467320385E-2</v>
      </c>
      <c r="LK7" s="262">
        <v>2918766.8879999998</v>
      </c>
      <c r="LL7" s="262">
        <v>3385454.7379999999</v>
      </c>
      <c r="LM7" s="263">
        <v>-0.13785086084940601</v>
      </c>
      <c r="LN7" s="262">
        <v>0</v>
      </c>
      <c r="LO7" s="262">
        <v>0</v>
      </c>
      <c r="LP7" s="263">
        <v>0</v>
      </c>
      <c r="LQ7" s="262">
        <v>0</v>
      </c>
      <c r="LR7" s="262">
        <v>0</v>
      </c>
      <c r="LS7" s="263">
        <v>0</v>
      </c>
      <c r="LT7" s="262">
        <v>0</v>
      </c>
      <c r="LU7" s="262">
        <v>0</v>
      </c>
      <c r="LV7" s="263">
        <v>0</v>
      </c>
      <c r="LW7" s="262">
        <v>0</v>
      </c>
      <c r="LX7" s="262">
        <v>0</v>
      </c>
      <c r="LY7" s="263">
        <v>0</v>
      </c>
      <c r="LZ7" s="262">
        <v>0</v>
      </c>
      <c r="MA7" s="262">
        <v>0</v>
      </c>
      <c r="MB7" s="263">
        <v>0</v>
      </c>
      <c r="MC7" s="262">
        <v>0</v>
      </c>
      <c r="MD7" s="262">
        <v>0</v>
      </c>
      <c r="ME7" s="263">
        <v>0</v>
      </c>
      <c r="MF7" s="262">
        <v>0</v>
      </c>
      <c r="MG7" s="262">
        <v>25151.704000000002</v>
      </c>
      <c r="MH7" s="263">
        <v>-1</v>
      </c>
      <c r="MI7" s="262">
        <v>95245.187999999995</v>
      </c>
      <c r="MJ7" s="262">
        <v>25151.704000000002</v>
      </c>
      <c r="MK7" s="263">
        <v>2.7868284391387599</v>
      </c>
      <c r="ML7" s="262">
        <v>128144.224</v>
      </c>
      <c r="MM7" s="262">
        <v>101086.86199999999</v>
      </c>
      <c r="MN7" s="263">
        <v>0.26766447651723502</v>
      </c>
      <c r="MO7" s="262">
        <v>0</v>
      </c>
      <c r="MP7" s="262">
        <v>0</v>
      </c>
      <c r="MQ7" s="263">
        <v>0</v>
      </c>
      <c r="MR7" s="262">
        <v>0</v>
      </c>
      <c r="MS7" s="262">
        <v>0</v>
      </c>
      <c r="MT7" s="263">
        <v>0</v>
      </c>
      <c r="MU7" s="262">
        <v>0</v>
      </c>
      <c r="MV7" s="262">
        <v>0</v>
      </c>
      <c r="MW7" s="264">
        <v>0</v>
      </c>
      <c r="MX7" s="262">
        <v>154141.783</v>
      </c>
      <c r="MY7" s="262">
        <v>190868.32699999999</v>
      </c>
      <c r="MZ7" s="263">
        <v>-0.19241822138462999</v>
      </c>
      <c r="NA7" s="262">
        <v>1233559.4979999999</v>
      </c>
      <c r="NB7" s="262">
        <v>1323908.2279999999</v>
      </c>
      <c r="NC7" s="263">
        <v>-6.8243952329300098E-2</v>
      </c>
      <c r="ND7" s="262">
        <v>2882040.344</v>
      </c>
      <c r="NE7" s="262">
        <v>3270497.0320000001</v>
      </c>
      <c r="NF7" s="263">
        <v>-0.118776040522027</v>
      </c>
      <c r="NG7" s="262">
        <v>0</v>
      </c>
      <c r="NH7" s="262">
        <v>0</v>
      </c>
      <c r="NI7" s="263">
        <v>0</v>
      </c>
      <c r="NJ7" s="262">
        <v>0</v>
      </c>
      <c r="NK7" s="262">
        <v>0</v>
      </c>
      <c r="NL7" s="263">
        <v>0</v>
      </c>
      <c r="NM7" s="262">
        <v>0</v>
      </c>
      <c r="NN7" s="262">
        <v>0</v>
      </c>
      <c r="NO7" s="263">
        <v>0</v>
      </c>
      <c r="NP7" s="262">
        <v>0</v>
      </c>
      <c r="NQ7" s="262">
        <v>0</v>
      </c>
      <c r="NR7" s="263">
        <v>0</v>
      </c>
      <c r="NS7" s="262">
        <v>0</v>
      </c>
      <c r="NT7" s="262">
        <v>0</v>
      </c>
      <c r="NU7" s="263">
        <v>0</v>
      </c>
      <c r="NV7" s="262">
        <v>0</v>
      </c>
      <c r="NW7" s="262">
        <v>0</v>
      </c>
      <c r="NX7" s="263">
        <v>0</v>
      </c>
      <c r="NY7" s="262">
        <v>0</v>
      </c>
      <c r="NZ7" s="262">
        <v>29836.831999999999</v>
      </c>
      <c r="OA7" s="263">
        <v>-1</v>
      </c>
      <c r="OB7" s="262">
        <v>95245.187999999995</v>
      </c>
      <c r="OC7" s="262">
        <v>54988.536</v>
      </c>
      <c r="OD7" s="263">
        <v>0.73209172180906901</v>
      </c>
      <c r="OE7" s="262">
        <v>98307.392000000007</v>
      </c>
      <c r="OF7" s="262">
        <v>126209.92</v>
      </c>
      <c r="OG7" s="263">
        <v>-0.221080308108903</v>
      </c>
      <c r="OH7" s="262">
        <v>0</v>
      </c>
      <c r="OI7" s="262">
        <v>0</v>
      </c>
      <c r="OJ7" s="263">
        <v>0</v>
      </c>
      <c r="OK7" s="262">
        <v>0</v>
      </c>
      <c r="OL7" s="262">
        <v>0</v>
      </c>
      <c r="OM7" s="263">
        <v>0</v>
      </c>
      <c r="ON7" s="262">
        <v>0</v>
      </c>
      <c r="OO7" s="262">
        <v>0</v>
      </c>
      <c r="OP7" s="264">
        <v>0</v>
      </c>
      <c r="OQ7" s="262">
        <v>105938.849</v>
      </c>
      <c r="OR7" s="262">
        <v>210529.611</v>
      </c>
      <c r="OS7" s="263">
        <v>-0.49679834348812801</v>
      </c>
      <c r="OT7" s="262">
        <v>1339498.3470000001</v>
      </c>
      <c r="OU7" s="262">
        <v>1534437.8389999999</v>
      </c>
      <c r="OV7" s="263">
        <v>-0.12704293849208201</v>
      </c>
      <c r="OW7" s="262">
        <v>2777449.5819999999</v>
      </c>
      <c r="OX7" s="262">
        <v>3193293.656</v>
      </c>
      <c r="OY7" s="263">
        <v>-0.13022418818847301</v>
      </c>
      <c r="OZ7" s="262">
        <v>0</v>
      </c>
      <c r="PA7" s="262">
        <v>0</v>
      </c>
      <c r="PB7" s="263">
        <v>0</v>
      </c>
      <c r="PC7" s="262">
        <v>0</v>
      </c>
      <c r="PD7" s="262">
        <v>0</v>
      </c>
      <c r="PE7" s="263">
        <v>0</v>
      </c>
      <c r="PF7" s="262">
        <v>0</v>
      </c>
      <c r="PG7" s="262">
        <v>0</v>
      </c>
      <c r="PH7" s="263">
        <v>0</v>
      </c>
      <c r="PI7" s="262">
        <v>0</v>
      </c>
      <c r="PJ7" s="262">
        <v>0</v>
      </c>
      <c r="PK7" s="263">
        <v>0</v>
      </c>
      <c r="PL7" s="262">
        <v>0</v>
      </c>
      <c r="PM7" s="262">
        <v>0</v>
      </c>
      <c r="PN7" s="263">
        <v>0</v>
      </c>
      <c r="PO7" s="262">
        <v>0</v>
      </c>
      <c r="PP7" s="262">
        <v>0</v>
      </c>
      <c r="PQ7" s="263">
        <v>0</v>
      </c>
      <c r="PR7" s="262">
        <v>0</v>
      </c>
      <c r="PS7" s="262">
        <v>3062.2040000000002</v>
      </c>
      <c r="PT7" s="263">
        <v>-1</v>
      </c>
      <c r="PU7" s="262">
        <v>95245.187999999995</v>
      </c>
      <c r="PV7" s="262">
        <v>58050.74</v>
      </c>
      <c r="PW7" s="263">
        <v>0.64072306399539403</v>
      </c>
      <c r="PX7" s="262">
        <v>95245.187999999995</v>
      </c>
      <c r="PY7" s="262">
        <v>68883.034</v>
      </c>
      <c r="PZ7" s="263">
        <v>0.38270895558984802</v>
      </c>
      <c r="QA7" s="262">
        <v>0</v>
      </c>
      <c r="QB7" s="262">
        <v>0</v>
      </c>
      <c r="QC7" s="263">
        <v>0</v>
      </c>
      <c r="QD7" s="262">
        <v>0</v>
      </c>
      <c r="QE7" s="262">
        <v>0</v>
      </c>
      <c r="QF7" s="263">
        <v>0</v>
      </c>
      <c r="QG7" s="262">
        <v>0</v>
      </c>
      <c r="QH7" s="262">
        <v>0</v>
      </c>
      <c r="QI7" s="264">
        <v>0</v>
      </c>
      <c r="QJ7" s="262">
        <v>0.11</v>
      </c>
      <c r="QK7" s="262">
        <v>224373.74799999999</v>
      </c>
      <c r="QL7" s="263">
        <v>-0.99999950974656804</v>
      </c>
      <c r="QM7" s="262">
        <v>1339498.4569999999</v>
      </c>
      <c r="QN7" s="262">
        <v>1758811.5870000001</v>
      </c>
      <c r="QO7" s="263">
        <v>-0.23840707731248301</v>
      </c>
      <c r="QP7" s="262">
        <v>2553075.9440000001</v>
      </c>
      <c r="QQ7" s="262">
        <v>3001035.449</v>
      </c>
      <c r="QR7" s="263">
        <v>-0.14926831509080299</v>
      </c>
      <c r="QS7" s="262">
        <v>0</v>
      </c>
      <c r="QT7" s="262">
        <v>0</v>
      </c>
      <c r="QU7" s="263">
        <v>0</v>
      </c>
      <c r="QV7" s="262">
        <v>0</v>
      </c>
      <c r="QW7" s="262">
        <v>0</v>
      </c>
      <c r="QX7" s="263">
        <v>0</v>
      </c>
      <c r="QY7" s="262">
        <v>0</v>
      </c>
      <c r="QZ7" s="262">
        <v>0</v>
      </c>
      <c r="RA7" s="263">
        <v>0</v>
      </c>
      <c r="RB7" s="262">
        <v>0</v>
      </c>
      <c r="RC7" s="262">
        <v>0</v>
      </c>
      <c r="RD7" s="263">
        <v>0</v>
      </c>
      <c r="RE7" s="262">
        <v>0</v>
      </c>
      <c r="RF7" s="262">
        <v>0</v>
      </c>
      <c r="RG7" s="263">
        <v>0</v>
      </c>
      <c r="RH7" s="262">
        <v>0</v>
      </c>
      <c r="RI7" s="262">
        <v>0</v>
      </c>
      <c r="RJ7" s="263">
        <v>0</v>
      </c>
      <c r="RK7" s="262">
        <v>0</v>
      </c>
      <c r="RL7" s="262">
        <v>0</v>
      </c>
      <c r="RM7" s="263">
        <v>0</v>
      </c>
      <c r="RN7" s="262">
        <v>95245.187999999995</v>
      </c>
      <c r="RO7" s="262">
        <v>58050.74</v>
      </c>
      <c r="RP7" s="263">
        <v>0.64072306399539403</v>
      </c>
      <c r="RQ7" s="262">
        <v>95245.187999999995</v>
      </c>
      <c r="RR7" s="262">
        <v>58050.74</v>
      </c>
      <c r="RS7" s="263">
        <v>0.64072306399539403</v>
      </c>
      <c r="RT7" s="262">
        <v>0</v>
      </c>
      <c r="RU7" s="262">
        <v>0</v>
      </c>
      <c r="RV7" s="263">
        <v>0</v>
      </c>
      <c r="RW7" s="262">
        <v>0</v>
      </c>
      <c r="RX7" s="262">
        <v>0</v>
      </c>
      <c r="RY7" s="263">
        <v>0</v>
      </c>
      <c r="RZ7" s="262">
        <v>0</v>
      </c>
      <c r="SA7" s="262">
        <v>0</v>
      </c>
      <c r="SB7" s="264">
        <v>0</v>
      </c>
      <c r="SC7" s="262">
        <v>7238.9179999999997</v>
      </c>
      <c r="SD7" s="262">
        <v>300028.86499999999</v>
      </c>
      <c r="SE7" s="263">
        <v>-0.97587259479183797</v>
      </c>
      <c r="SF7" s="262">
        <v>1346737.375</v>
      </c>
      <c r="SG7" s="262">
        <v>2058840.452</v>
      </c>
      <c r="SH7" s="263">
        <v>-0.34587579445908401</v>
      </c>
      <c r="SI7" s="262">
        <v>2260285.997</v>
      </c>
      <c r="SJ7" s="262">
        <v>2889191.8319999999</v>
      </c>
      <c r="SK7" s="263">
        <v>-0.217675347145312</v>
      </c>
      <c r="SL7" s="262">
        <v>0</v>
      </c>
      <c r="SM7" s="262">
        <v>0</v>
      </c>
      <c r="SN7" s="263">
        <v>0</v>
      </c>
      <c r="SO7" s="262">
        <v>0</v>
      </c>
      <c r="SP7" s="262">
        <v>0</v>
      </c>
      <c r="SQ7" s="263">
        <v>0</v>
      </c>
      <c r="SR7" s="262">
        <v>0</v>
      </c>
      <c r="SS7" s="262">
        <v>0</v>
      </c>
      <c r="ST7" s="263">
        <v>0</v>
      </c>
      <c r="SU7" s="262">
        <v>0</v>
      </c>
      <c r="SV7" s="262">
        <v>0</v>
      </c>
      <c r="SW7" s="263">
        <v>0</v>
      </c>
      <c r="SX7" s="262">
        <v>0</v>
      </c>
      <c r="SY7" s="262">
        <v>0</v>
      </c>
      <c r="SZ7" s="263">
        <v>0</v>
      </c>
      <c r="TA7" s="262">
        <v>0</v>
      </c>
      <c r="TB7" s="262">
        <v>0</v>
      </c>
      <c r="TC7" s="263">
        <v>0</v>
      </c>
      <c r="TD7" s="262">
        <v>0</v>
      </c>
      <c r="TE7" s="262">
        <v>0</v>
      </c>
      <c r="TF7" s="263">
        <v>0</v>
      </c>
      <c r="TG7" s="262">
        <v>95245.187999999995</v>
      </c>
      <c r="TH7" s="262">
        <v>58050.74</v>
      </c>
      <c r="TI7" s="263">
        <v>0.64072306399539403</v>
      </c>
      <c r="TJ7" s="262">
        <v>95245.187999999995</v>
      </c>
      <c r="TK7" s="262">
        <v>58050.74</v>
      </c>
      <c r="TL7" s="263">
        <v>0.64072306399539403</v>
      </c>
      <c r="TM7" s="262">
        <v>0</v>
      </c>
      <c r="TN7" s="262">
        <v>0</v>
      </c>
      <c r="TO7" s="263">
        <v>0</v>
      </c>
      <c r="TP7" s="262">
        <v>0</v>
      </c>
      <c r="TQ7" s="262">
        <v>0</v>
      </c>
      <c r="TR7" s="263">
        <v>0</v>
      </c>
      <c r="TS7" s="262">
        <v>0</v>
      </c>
      <c r="TT7" s="262">
        <v>0</v>
      </c>
      <c r="TU7" s="264">
        <v>0</v>
      </c>
      <c r="TV7" s="262">
        <v>19604.61</v>
      </c>
      <c r="TW7" s="262">
        <v>310385.93599999999</v>
      </c>
      <c r="TX7" s="263">
        <v>-0.93683795647235801</v>
      </c>
      <c r="TY7" s="262">
        <v>1366341.9850000001</v>
      </c>
      <c r="TZ7" s="262">
        <v>2369226.3879999998</v>
      </c>
      <c r="UA7" s="263">
        <v>-0.42329614767062901</v>
      </c>
      <c r="UB7" s="262">
        <v>1969504.6710000001</v>
      </c>
      <c r="UC7" s="262">
        <v>2817275.5980000002</v>
      </c>
      <c r="UD7" s="263">
        <v>-0.30091870585960301</v>
      </c>
      <c r="UE7" s="262">
        <v>0</v>
      </c>
      <c r="UF7" s="262">
        <v>0</v>
      </c>
      <c r="UG7" s="263">
        <v>0</v>
      </c>
      <c r="UH7" s="262">
        <v>0</v>
      </c>
      <c r="UI7" s="262">
        <v>0</v>
      </c>
      <c r="UJ7" s="263">
        <v>0</v>
      </c>
      <c r="UK7" s="262">
        <v>0</v>
      </c>
      <c r="UL7" s="262">
        <v>0</v>
      </c>
      <c r="UM7" s="263">
        <v>0</v>
      </c>
      <c r="UN7" s="262">
        <v>0</v>
      </c>
      <c r="UO7" s="262">
        <v>0</v>
      </c>
      <c r="UP7" s="263">
        <v>0</v>
      </c>
      <c r="UQ7" s="262">
        <v>0</v>
      </c>
      <c r="UR7" s="262">
        <v>0</v>
      </c>
      <c r="US7" s="263">
        <v>0</v>
      </c>
      <c r="UT7" s="262">
        <v>0</v>
      </c>
      <c r="UU7" s="262">
        <v>0</v>
      </c>
      <c r="UV7" s="263">
        <v>0</v>
      </c>
      <c r="UW7" s="262">
        <v>0</v>
      </c>
      <c r="UX7" s="262">
        <v>0</v>
      </c>
      <c r="UY7" s="263">
        <v>0</v>
      </c>
      <c r="UZ7" s="262">
        <v>95245.187999999995</v>
      </c>
      <c r="VA7" s="262">
        <v>58050.74</v>
      </c>
      <c r="VB7" s="263">
        <v>0.64072306399539403</v>
      </c>
      <c r="VC7" s="262">
        <v>95245.187999999995</v>
      </c>
      <c r="VD7" s="262">
        <v>58050.74</v>
      </c>
      <c r="VE7" s="263">
        <v>0.64072306399539403</v>
      </c>
      <c r="VF7" s="262">
        <v>0</v>
      </c>
      <c r="VG7" s="262">
        <v>0</v>
      </c>
      <c r="VH7" s="263">
        <v>0</v>
      </c>
      <c r="VI7" s="262">
        <v>0</v>
      </c>
      <c r="VJ7" s="262">
        <v>0</v>
      </c>
      <c r="VK7" s="263">
        <v>0</v>
      </c>
      <c r="VL7" s="262">
        <v>0</v>
      </c>
      <c r="VM7" s="262">
        <v>0</v>
      </c>
      <c r="VN7" s="264">
        <v>0</v>
      </c>
    </row>
    <row r="8" spans="1:586">
      <c r="A8" s="268" t="s">
        <v>133</v>
      </c>
      <c r="B8" s="262">
        <v>0</v>
      </c>
      <c r="C8" s="262">
        <v>0</v>
      </c>
      <c r="D8" s="263">
        <v>0</v>
      </c>
      <c r="E8" s="262">
        <v>0</v>
      </c>
      <c r="F8" s="262">
        <v>0</v>
      </c>
      <c r="G8" s="263">
        <v>0</v>
      </c>
      <c r="H8" s="262">
        <v>0</v>
      </c>
      <c r="I8" s="262">
        <v>0</v>
      </c>
      <c r="J8" s="263">
        <v>0</v>
      </c>
      <c r="K8" s="262">
        <v>15959.118</v>
      </c>
      <c r="L8" s="262">
        <v>15670.694</v>
      </c>
      <c r="M8" s="263">
        <v>1.8405311213402602E-2</v>
      </c>
      <c r="N8" s="262">
        <v>156665.84899999999</v>
      </c>
      <c r="O8" s="262">
        <v>155915.83199999999</v>
      </c>
      <c r="P8" s="263">
        <v>4.8103966760732302E-3</v>
      </c>
      <c r="Q8" s="262">
        <v>186726.42499999999</v>
      </c>
      <c r="R8" s="262">
        <v>186474.32199999999</v>
      </c>
      <c r="S8" s="263">
        <v>1.35194485383356E-3</v>
      </c>
      <c r="T8" s="262">
        <v>15638.532999999999</v>
      </c>
      <c r="U8" s="262">
        <v>16257.334999999999</v>
      </c>
      <c r="V8" s="263">
        <v>-3.80629420504651E-2</v>
      </c>
      <c r="W8" s="262">
        <v>160817.72399999999</v>
      </c>
      <c r="X8" s="262">
        <v>161721.13800000001</v>
      </c>
      <c r="Y8" s="263">
        <v>-5.5862456273340702E-3</v>
      </c>
      <c r="Z8" s="262">
        <v>190196.53400000001</v>
      </c>
      <c r="AA8" s="262">
        <v>189865.64799999999</v>
      </c>
      <c r="AB8" s="263">
        <v>1.74273758041791E-3</v>
      </c>
      <c r="AC8" s="262">
        <v>25321.735000000001</v>
      </c>
      <c r="AD8" s="262">
        <v>17676.518</v>
      </c>
      <c r="AE8" s="263">
        <v>0.43250695640397102</v>
      </c>
      <c r="AF8" s="262">
        <v>245511.682</v>
      </c>
      <c r="AG8" s="262">
        <v>245704.29399999999</v>
      </c>
      <c r="AH8" s="263">
        <v>-7.8391792371359105E-4</v>
      </c>
      <c r="AI8" s="262">
        <v>259532.34</v>
      </c>
      <c r="AJ8" s="262">
        <v>257196.68599999999</v>
      </c>
      <c r="AK8" s="263">
        <v>9.0811978813755394E-3</v>
      </c>
      <c r="AL8" s="262">
        <v>161225.87400000001</v>
      </c>
      <c r="AM8" s="262">
        <v>182940.095</v>
      </c>
      <c r="AN8" s="263">
        <v>-0.118695800393019</v>
      </c>
      <c r="AO8" s="262">
        <v>1556443.648</v>
      </c>
      <c r="AP8" s="262">
        <v>1577714.9879999999</v>
      </c>
      <c r="AQ8" s="263">
        <v>-1.34823717602918E-2</v>
      </c>
      <c r="AR8" s="262">
        <v>1902714.93</v>
      </c>
      <c r="AS8" s="262">
        <v>1899984.1140000001</v>
      </c>
      <c r="AT8" s="264">
        <v>1.43728359615134E-3</v>
      </c>
      <c r="AU8" s="262">
        <v>0</v>
      </c>
      <c r="AV8" s="262">
        <v>0</v>
      </c>
      <c r="AW8" s="263">
        <v>0</v>
      </c>
      <c r="AX8" s="262">
        <v>0</v>
      </c>
      <c r="AY8" s="262">
        <v>0</v>
      </c>
      <c r="AZ8" s="263">
        <v>0</v>
      </c>
      <c r="BA8" s="262">
        <v>0</v>
      </c>
      <c r="BB8" s="262">
        <v>0</v>
      </c>
      <c r="BC8" s="263">
        <v>0</v>
      </c>
      <c r="BD8" s="262">
        <v>14706.832</v>
      </c>
      <c r="BE8" s="262">
        <v>14646.923000000001</v>
      </c>
      <c r="BF8" s="263">
        <v>4.09021061966391E-3</v>
      </c>
      <c r="BG8" s="262">
        <v>171372.68100000001</v>
      </c>
      <c r="BH8" s="262">
        <v>170562.755</v>
      </c>
      <c r="BI8" s="263">
        <v>4.7485513469808002E-3</v>
      </c>
      <c r="BJ8" s="262">
        <v>186786.334</v>
      </c>
      <c r="BK8" s="262">
        <v>186292.20300000001</v>
      </c>
      <c r="BL8" s="263">
        <v>2.6524513213255301E-3</v>
      </c>
      <c r="BM8" s="262">
        <v>14895.164000000001</v>
      </c>
      <c r="BN8" s="262">
        <v>14599.58</v>
      </c>
      <c r="BO8" s="263">
        <v>2.02460618730128E-2</v>
      </c>
      <c r="BP8" s="262">
        <v>175712.88800000001</v>
      </c>
      <c r="BQ8" s="262">
        <v>176320.71799999999</v>
      </c>
      <c r="BR8" s="263">
        <v>-3.4472976681051001E-3</v>
      </c>
      <c r="BS8" s="262">
        <v>190492.11799999999</v>
      </c>
      <c r="BT8" s="262">
        <v>190523.08300000001</v>
      </c>
      <c r="BU8" s="263">
        <v>-1.6252623835624999E-4</v>
      </c>
      <c r="BV8" s="262">
        <v>8042.0429999999997</v>
      </c>
      <c r="BW8" s="262">
        <v>6837.4709999999995</v>
      </c>
      <c r="BX8" s="263">
        <v>0.17617215488007201</v>
      </c>
      <c r="BY8" s="262">
        <v>253553.72500000001</v>
      </c>
      <c r="BZ8" s="262">
        <v>252541.76500000001</v>
      </c>
      <c r="CA8" s="263">
        <v>4.0070995781628102E-3</v>
      </c>
      <c r="CB8" s="262">
        <v>260736.91200000001</v>
      </c>
      <c r="CC8" s="262">
        <v>254752.20499999999</v>
      </c>
      <c r="CD8" s="263">
        <v>2.3492267711676999E-2</v>
      </c>
      <c r="CE8" s="262">
        <v>162623.89799999999</v>
      </c>
      <c r="CF8" s="262">
        <v>171845.17600000001</v>
      </c>
      <c r="CG8" s="263">
        <v>-5.3660383227749298E-2</v>
      </c>
      <c r="CH8" s="262">
        <v>1719067.5460000001</v>
      </c>
      <c r="CI8" s="262">
        <v>1749560.1640000001</v>
      </c>
      <c r="CJ8" s="263">
        <v>-1.7428733591124498E-2</v>
      </c>
      <c r="CK8" s="262">
        <v>1893493.652</v>
      </c>
      <c r="CL8" s="262">
        <v>1917673.1810000001</v>
      </c>
      <c r="CM8" s="264">
        <v>-1.2608785083697499E-2</v>
      </c>
      <c r="CN8" s="262">
        <v>0</v>
      </c>
      <c r="CO8" s="262">
        <v>0</v>
      </c>
      <c r="CP8" s="263">
        <v>0</v>
      </c>
      <c r="CQ8" s="262">
        <v>0</v>
      </c>
      <c r="CR8" s="262">
        <v>0</v>
      </c>
      <c r="CS8" s="263">
        <v>0</v>
      </c>
      <c r="CT8" s="262">
        <v>0</v>
      </c>
      <c r="CU8" s="262">
        <v>0</v>
      </c>
      <c r="CV8" s="263">
        <v>0</v>
      </c>
      <c r="CW8" s="262">
        <v>14502.299000000001</v>
      </c>
      <c r="CX8" s="262">
        <v>15413.653</v>
      </c>
      <c r="CY8" s="263">
        <v>-5.9126412149021298E-2</v>
      </c>
      <c r="CZ8" s="262">
        <v>185874.98</v>
      </c>
      <c r="DA8" s="262">
        <v>185976.408</v>
      </c>
      <c r="DB8" s="263">
        <v>-5.4538100337966195E-4</v>
      </c>
      <c r="DC8" s="262">
        <v>185874.98</v>
      </c>
      <c r="DD8" s="262">
        <v>185976.408</v>
      </c>
      <c r="DE8" s="263">
        <v>-5.4538100337966195E-4</v>
      </c>
      <c r="DF8" s="262">
        <v>15602.386</v>
      </c>
      <c r="DG8" s="262">
        <v>14779.23</v>
      </c>
      <c r="DH8" s="263">
        <v>5.5696812350846503E-2</v>
      </c>
      <c r="DI8" s="262">
        <v>191315.274</v>
      </c>
      <c r="DJ8" s="262">
        <v>191099.948</v>
      </c>
      <c r="DK8" s="263">
        <v>1.1267716305187101E-3</v>
      </c>
      <c r="DL8" s="262">
        <v>191315.274</v>
      </c>
      <c r="DM8" s="262">
        <v>191099.948</v>
      </c>
      <c r="DN8" s="263">
        <v>1.1267716305187101E-3</v>
      </c>
      <c r="DO8" s="262">
        <v>8270.1910000000007</v>
      </c>
      <c r="DP8" s="262">
        <v>7183.1869999999999</v>
      </c>
      <c r="DQ8" s="263">
        <v>0.151326145344678</v>
      </c>
      <c r="DR8" s="262">
        <v>261823.916</v>
      </c>
      <c r="DS8" s="262">
        <v>259724.95199999999</v>
      </c>
      <c r="DT8" s="263">
        <v>8.0814876808601999E-3</v>
      </c>
      <c r="DU8" s="262">
        <v>261823.916</v>
      </c>
      <c r="DV8" s="262">
        <v>259724.95199999999</v>
      </c>
      <c r="DW8" s="263">
        <v>8.0814876808601999E-3</v>
      </c>
      <c r="DX8" s="262">
        <v>158879.446</v>
      </c>
      <c r="DY8" s="262">
        <v>174426.106</v>
      </c>
      <c r="DZ8" s="263">
        <v>-8.9130350705644998E-2</v>
      </c>
      <c r="EA8" s="262">
        <v>1877946.9920000001</v>
      </c>
      <c r="EB8" s="262">
        <v>1923986.27</v>
      </c>
      <c r="EC8" s="263">
        <v>-2.39291094317425E-2</v>
      </c>
      <c r="ED8" s="262">
        <v>1877946.9920000001</v>
      </c>
      <c r="EE8" s="262">
        <v>1923986.27</v>
      </c>
      <c r="EF8" s="264">
        <v>-2.39291094317425E-2</v>
      </c>
      <c r="EG8" s="262">
        <v>0</v>
      </c>
      <c r="EH8" s="262">
        <v>0</v>
      </c>
      <c r="EI8" s="263">
        <v>0</v>
      </c>
      <c r="EJ8" s="262">
        <v>0</v>
      </c>
      <c r="EK8" s="262">
        <v>0</v>
      </c>
      <c r="EL8" s="263">
        <v>0</v>
      </c>
      <c r="EM8" s="262">
        <v>0</v>
      </c>
      <c r="EN8" s="262">
        <v>0</v>
      </c>
      <c r="EO8" s="263">
        <v>0</v>
      </c>
      <c r="EP8" s="262">
        <v>17089.555</v>
      </c>
      <c r="EQ8" s="262">
        <v>15945.093000000001</v>
      </c>
      <c r="ER8" s="263">
        <v>7.1775185005192504E-2</v>
      </c>
      <c r="ES8" s="262">
        <v>17089.555</v>
      </c>
      <c r="ET8" s="262">
        <v>15945.093000000001</v>
      </c>
      <c r="EU8" s="263">
        <v>7.1775185005192504E-2</v>
      </c>
      <c r="EV8" s="262">
        <v>187019.44200000001</v>
      </c>
      <c r="EW8" s="262">
        <v>185282.99400000001</v>
      </c>
      <c r="EX8" s="263">
        <v>9.3718692822936794E-3</v>
      </c>
      <c r="EY8" s="262">
        <v>17414.43</v>
      </c>
      <c r="EZ8" s="262">
        <v>15293.357</v>
      </c>
      <c r="FA8" s="263">
        <v>0.138692440122859</v>
      </c>
      <c r="FB8" s="262">
        <v>17414.43</v>
      </c>
      <c r="FC8" s="262">
        <v>15293.357</v>
      </c>
      <c r="FD8" s="263">
        <v>0.138692440122859</v>
      </c>
      <c r="FE8" s="262">
        <v>193436.34700000001</v>
      </c>
      <c r="FF8" s="262">
        <v>191070.38</v>
      </c>
      <c r="FG8" s="263">
        <v>1.23826989824377E-2</v>
      </c>
      <c r="FH8" s="262">
        <v>8585.4889999999996</v>
      </c>
      <c r="FI8" s="262">
        <v>6197.9409999999998</v>
      </c>
      <c r="FJ8" s="263">
        <v>0.38521631619274799</v>
      </c>
      <c r="FK8" s="262">
        <v>8585.4889999999996</v>
      </c>
      <c r="FL8" s="262">
        <v>6197.9409999999998</v>
      </c>
      <c r="FM8" s="263">
        <v>0.38521631619274799</v>
      </c>
      <c r="FN8" s="262">
        <v>264211.46399999998</v>
      </c>
      <c r="FO8" s="262">
        <v>260107.75899999999</v>
      </c>
      <c r="FP8" s="263">
        <v>1.57769418943015E-2</v>
      </c>
      <c r="FQ8" s="262">
        <v>164446.28099999999</v>
      </c>
      <c r="FR8" s="262">
        <v>169881.87400000001</v>
      </c>
      <c r="FS8" s="263">
        <v>-3.1996309388487201E-2</v>
      </c>
      <c r="FT8" s="262">
        <v>164446.28099999999</v>
      </c>
      <c r="FU8" s="262">
        <v>169881.87400000001</v>
      </c>
      <c r="FV8" s="263">
        <v>-3.1996309388487201E-2</v>
      </c>
      <c r="FW8" s="262">
        <v>1872511.399</v>
      </c>
      <c r="FX8" s="262">
        <v>1940558.132</v>
      </c>
      <c r="FY8" s="264">
        <v>-3.5065547317497198E-2</v>
      </c>
      <c r="FZ8" s="262">
        <v>0</v>
      </c>
      <c r="GA8" s="262">
        <v>0</v>
      </c>
      <c r="GB8" s="263">
        <v>0</v>
      </c>
      <c r="GC8" s="262">
        <v>0</v>
      </c>
      <c r="GD8" s="262">
        <v>0</v>
      </c>
      <c r="GE8" s="263">
        <v>0</v>
      </c>
      <c r="GF8" s="262">
        <v>0</v>
      </c>
      <c r="GG8" s="262">
        <v>0</v>
      </c>
      <c r="GH8" s="263">
        <v>0</v>
      </c>
      <c r="GI8" s="262">
        <v>15499.653</v>
      </c>
      <c r="GJ8" s="262">
        <v>14658.482</v>
      </c>
      <c r="GK8" s="263">
        <v>5.73845913922056E-2</v>
      </c>
      <c r="GL8" s="262">
        <v>32589.207999999999</v>
      </c>
      <c r="GM8" s="262">
        <v>30603.575000000001</v>
      </c>
      <c r="GN8" s="263">
        <v>6.4882387106734996E-2</v>
      </c>
      <c r="GO8" s="262">
        <v>187860.61300000001</v>
      </c>
      <c r="GP8" s="262">
        <v>184252.12100000001</v>
      </c>
      <c r="GQ8" s="263">
        <v>1.9584534389159101E-2</v>
      </c>
      <c r="GR8" s="262">
        <v>15277.513000000001</v>
      </c>
      <c r="GS8" s="262">
        <v>14372.143</v>
      </c>
      <c r="GT8" s="263">
        <v>6.2994780945333007E-2</v>
      </c>
      <c r="GU8" s="262">
        <v>32691.942999999999</v>
      </c>
      <c r="GV8" s="262">
        <v>29665.5</v>
      </c>
      <c r="GW8" s="263">
        <v>0.102018944565236</v>
      </c>
      <c r="GX8" s="262">
        <v>194341.717</v>
      </c>
      <c r="GY8" s="262">
        <v>191437.93700000001</v>
      </c>
      <c r="GZ8" s="263">
        <v>1.51682578986423E-2</v>
      </c>
      <c r="HA8" s="262">
        <v>6475.8909999999996</v>
      </c>
      <c r="HB8" s="262">
        <v>5700.4009999999998</v>
      </c>
      <c r="HC8" s="263">
        <v>0.136041306567731</v>
      </c>
      <c r="HD8" s="262">
        <v>15061.38</v>
      </c>
      <c r="HE8" s="262">
        <v>11898.342000000001</v>
      </c>
      <c r="HF8" s="263">
        <v>0.26583855128723</v>
      </c>
      <c r="HG8" s="262">
        <v>264986.95400000003</v>
      </c>
      <c r="HH8" s="262">
        <v>250256.603</v>
      </c>
      <c r="HI8" s="263">
        <v>5.8860988375199902E-2</v>
      </c>
      <c r="HJ8" s="262">
        <v>147687.49600000001</v>
      </c>
      <c r="HK8" s="262">
        <v>150503.68700000001</v>
      </c>
      <c r="HL8" s="263">
        <v>-1.8711774150755499E-2</v>
      </c>
      <c r="HM8" s="262">
        <v>312133.777</v>
      </c>
      <c r="HN8" s="262">
        <v>320385.56099999999</v>
      </c>
      <c r="HO8" s="263">
        <v>-2.5755792409134299E-2</v>
      </c>
      <c r="HP8" s="262">
        <v>1869695.2080000001</v>
      </c>
      <c r="HQ8" s="262">
        <v>1936919.4650000001</v>
      </c>
      <c r="HR8" s="264">
        <v>-3.4706789938734002E-2</v>
      </c>
      <c r="HS8" s="262">
        <v>0</v>
      </c>
      <c r="HT8" s="262">
        <v>0</v>
      </c>
      <c r="HU8" s="263">
        <v>0</v>
      </c>
      <c r="HV8" s="262">
        <v>0</v>
      </c>
      <c r="HW8" s="262">
        <v>0</v>
      </c>
      <c r="HX8" s="263">
        <v>0</v>
      </c>
      <c r="HY8" s="262">
        <v>0</v>
      </c>
      <c r="HZ8" s="262">
        <v>0</v>
      </c>
      <c r="IA8" s="263">
        <v>0</v>
      </c>
      <c r="IB8" s="262">
        <v>16981.288</v>
      </c>
      <c r="IC8" s="262">
        <v>15261.883</v>
      </c>
      <c r="ID8" s="263">
        <v>0.11266008263855801</v>
      </c>
      <c r="IE8" s="262">
        <v>49570.495999999999</v>
      </c>
      <c r="IF8" s="262">
        <v>45865.457999999999</v>
      </c>
      <c r="IG8" s="263">
        <v>8.0780573476449305E-2</v>
      </c>
      <c r="IH8" s="262">
        <v>189580.01800000001</v>
      </c>
      <c r="II8" s="262">
        <v>184136.01699999999</v>
      </c>
      <c r="IJ8" s="263">
        <v>2.9565106754753E-2</v>
      </c>
      <c r="IK8" s="262">
        <v>16101.53</v>
      </c>
      <c r="IL8" s="262">
        <v>14486</v>
      </c>
      <c r="IM8" s="263">
        <v>0.111523539969626</v>
      </c>
      <c r="IN8" s="262">
        <v>48793.472999999998</v>
      </c>
      <c r="IO8" s="262">
        <v>44151.5</v>
      </c>
      <c r="IP8" s="263">
        <v>0.105137379250988</v>
      </c>
      <c r="IQ8" s="262">
        <v>195957.247</v>
      </c>
      <c r="IR8" s="262">
        <v>191620.81200000001</v>
      </c>
      <c r="IS8" s="263">
        <v>2.2630292371373501E-2</v>
      </c>
      <c r="IT8" s="262">
        <v>7395.7849999999999</v>
      </c>
      <c r="IU8" s="262">
        <v>6287.4660000000003</v>
      </c>
      <c r="IV8" s="263">
        <v>0.17627435281558601</v>
      </c>
      <c r="IW8" s="262">
        <v>22457.165000000001</v>
      </c>
      <c r="IX8" s="262">
        <v>18185.808000000001</v>
      </c>
      <c r="IY8" s="263">
        <v>0.23487309444815399</v>
      </c>
      <c r="IZ8" s="262">
        <v>266095.27299999999</v>
      </c>
      <c r="JA8" s="262">
        <v>249558.67</v>
      </c>
      <c r="JB8" s="263">
        <v>6.6263388084252903E-2</v>
      </c>
      <c r="JC8" s="262">
        <v>173833.432</v>
      </c>
      <c r="JD8" s="262">
        <v>159117.802</v>
      </c>
      <c r="JE8" s="263">
        <v>9.2482612347799906E-2</v>
      </c>
      <c r="JF8" s="262">
        <v>485967.20899999997</v>
      </c>
      <c r="JG8" s="262">
        <v>479503.36300000001</v>
      </c>
      <c r="JH8" s="263">
        <v>1.34802933592773E-2</v>
      </c>
      <c r="JI8" s="262">
        <v>1884410.838</v>
      </c>
      <c r="JJ8" s="262">
        <v>1950868.388</v>
      </c>
      <c r="JK8" s="264">
        <v>-3.4065624523308503E-2</v>
      </c>
      <c r="JL8" s="262">
        <v>0</v>
      </c>
      <c r="JM8" s="262">
        <v>0</v>
      </c>
      <c r="JN8" s="263">
        <v>0</v>
      </c>
      <c r="JO8" s="262">
        <v>0</v>
      </c>
      <c r="JP8" s="262">
        <v>0</v>
      </c>
      <c r="JQ8" s="263">
        <v>0</v>
      </c>
      <c r="JR8" s="262">
        <v>0</v>
      </c>
      <c r="JS8" s="262">
        <v>0</v>
      </c>
      <c r="JT8" s="263">
        <v>0</v>
      </c>
      <c r="JU8" s="262">
        <v>14959.986999999999</v>
      </c>
      <c r="JV8" s="262">
        <v>14339.790999999999</v>
      </c>
      <c r="JW8" s="263">
        <v>4.3250002737138901E-2</v>
      </c>
      <c r="JX8" s="262">
        <v>64530.483</v>
      </c>
      <c r="JY8" s="262">
        <v>60205.249000000003</v>
      </c>
      <c r="JZ8" s="263">
        <v>7.1841476812096502E-2</v>
      </c>
      <c r="KA8" s="262">
        <v>190200.21400000001</v>
      </c>
      <c r="KB8" s="262">
        <v>184699.625</v>
      </c>
      <c r="KC8" s="263">
        <v>2.9781267828778799E-2</v>
      </c>
      <c r="KD8" s="262">
        <v>14727.669</v>
      </c>
      <c r="KE8" s="262">
        <v>13738.512000000001</v>
      </c>
      <c r="KF8" s="263">
        <v>7.1998845289795693E-2</v>
      </c>
      <c r="KG8" s="262">
        <v>63521.142</v>
      </c>
      <c r="KH8" s="262">
        <v>57890.012000000002</v>
      </c>
      <c r="KI8" s="263">
        <v>9.7272911257990397E-2</v>
      </c>
      <c r="KJ8" s="262">
        <v>196946.40400000001</v>
      </c>
      <c r="KK8" s="262">
        <v>191955.83100000001</v>
      </c>
      <c r="KL8" s="263">
        <v>2.5998548593191801E-2</v>
      </c>
      <c r="KM8" s="262">
        <v>13863.616</v>
      </c>
      <c r="KN8" s="262">
        <v>18937.708999999999</v>
      </c>
      <c r="KO8" s="263">
        <v>-0.26793594726796099</v>
      </c>
      <c r="KP8" s="262">
        <v>36320.781000000003</v>
      </c>
      <c r="KQ8" s="262">
        <v>37123.517</v>
      </c>
      <c r="KR8" s="263">
        <v>-2.1623382288914202E-2</v>
      </c>
      <c r="KS8" s="262">
        <v>261021.18</v>
      </c>
      <c r="KT8" s="262">
        <v>260608.073</v>
      </c>
      <c r="KU8" s="263">
        <v>1.5851657826424601E-3</v>
      </c>
      <c r="KV8" s="262">
        <v>146769.96599999999</v>
      </c>
      <c r="KW8" s="262">
        <v>147293.12100000001</v>
      </c>
      <c r="KX8" s="263">
        <v>-3.5517951989079599E-3</v>
      </c>
      <c r="KY8" s="262">
        <v>632737.17500000005</v>
      </c>
      <c r="KZ8" s="262">
        <v>626796.48400000005</v>
      </c>
      <c r="LA8" s="263">
        <v>9.4778626741628402E-3</v>
      </c>
      <c r="LB8" s="262">
        <v>1883887.683</v>
      </c>
      <c r="LC8" s="262">
        <v>1945051.669</v>
      </c>
      <c r="LD8" s="264">
        <v>-3.14459440717305E-2</v>
      </c>
      <c r="LE8" s="262">
        <v>0</v>
      </c>
      <c r="LF8" s="262">
        <v>0</v>
      </c>
      <c r="LG8" s="263">
        <v>0</v>
      </c>
      <c r="LH8" s="262">
        <v>0</v>
      </c>
      <c r="LI8" s="262">
        <v>0</v>
      </c>
      <c r="LJ8" s="263">
        <v>0</v>
      </c>
      <c r="LK8" s="262">
        <v>0</v>
      </c>
      <c r="LL8" s="262">
        <v>0</v>
      </c>
      <c r="LM8" s="263">
        <v>0</v>
      </c>
      <c r="LN8" s="262">
        <v>15764.476000000001</v>
      </c>
      <c r="LO8" s="262">
        <v>14820.53</v>
      </c>
      <c r="LP8" s="263">
        <v>6.36917843019109E-2</v>
      </c>
      <c r="LQ8" s="262">
        <v>80294.959000000003</v>
      </c>
      <c r="LR8" s="262">
        <v>75025.778999999995</v>
      </c>
      <c r="LS8" s="263">
        <v>7.0231593330074005E-2</v>
      </c>
      <c r="LT8" s="262">
        <v>191144.16</v>
      </c>
      <c r="LU8" s="262">
        <v>185352.47200000001</v>
      </c>
      <c r="LV8" s="263">
        <v>3.1246888360895401E-2</v>
      </c>
      <c r="LW8" s="262">
        <v>15925.385</v>
      </c>
      <c r="LX8" s="262">
        <v>14299.281999999999</v>
      </c>
      <c r="LY8" s="263">
        <v>0.113719206320989</v>
      </c>
      <c r="LZ8" s="262">
        <v>79446.527000000002</v>
      </c>
      <c r="MA8" s="262">
        <v>72189.293999999994</v>
      </c>
      <c r="MB8" s="263">
        <v>0.100530599454262</v>
      </c>
      <c r="MC8" s="262">
        <v>198572.50700000001</v>
      </c>
      <c r="MD8" s="262">
        <v>191674.2</v>
      </c>
      <c r="ME8" s="263">
        <v>3.5989752402775001E-2</v>
      </c>
      <c r="MF8" s="262">
        <v>17616.911</v>
      </c>
      <c r="MG8" s="262">
        <v>12634.096</v>
      </c>
      <c r="MH8" s="263">
        <v>0.39439426453622001</v>
      </c>
      <c r="MI8" s="262">
        <v>53937.692000000003</v>
      </c>
      <c r="MJ8" s="262">
        <v>49757.612999999998</v>
      </c>
      <c r="MK8" s="263">
        <v>8.40088329799904E-2</v>
      </c>
      <c r="ML8" s="262">
        <v>266003.995</v>
      </c>
      <c r="MM8" s="262">
        <v>259678.326</v>
      </c>
      <c r="MN8" s="263">
        <v>2.43596340805123E-2</v>
      </c>
      <c r="MO8" s="262">
        <v>139118.802</v>
      </c>
      <c r="MP8" s="262">
        <v>146281.92000000001</v>
      </c>
      <c r="MQ8" s="263">
        <v>-4.8967897057955102E-2</v>
      </c>
      <c r="MR8" s="262">
        <v>771855.97699999996</v>
      </c>
      <c r="MS8" s="262">
        <v>773078.40399999998</v>
      </c>
      <c r="MT8" s="263">
        <v>-1.58124582665246E-3</v>
      </c>
      <c r="MU8" s="262">
        <v>1876724.5649999999</v>
      </c>
      <c r="MV8" s="262">
        <v>1935402.5020000001</v>
      </c>
      <c r="MW8" s="264">
        <v>-3.03182087133625E-2</v>
      </c>
      <c r="MX8" s="262">
        <v>0</v>
      </c>
      <c r="MY8" s="262">
        <v>0</v>
      </c>
      <c r="MZ8" s="263">
        <v>0</v>
      </c>
      <c r="NA8" s="262">
        <v>0</v>
      </c>
      <c r="NB8" s="262">
        <v>0</v>
      </c>
      <c r="NC8" s="263">
        <v>0</v>
      </c>
      <c r="ND8" s="262">
        <v>0</v>
      </c>
      <c r="NE8" s="262">
        <v>0</v>
      </c>
      <c r="NF8" s="263">
        <v>0</v>
      </c>
      <c r="NG8" s="262">
        <v>16852.822</v>
      </c>
      <c r="NH8" s="262">
        <v>14684.55</v>
      </c>
      <c r="NI8" s="263">
        <v>0.14765668678985699</v>
      </c>
      <c r="NJ8" s="262">
        <v>97147.781000000003</v>
      </c>
      <c r="NK8" s="262">
        <v>89710.328999999998</v>
      </c>
      <c r="NL8" s="263">
        <v>8.2905191441221895E-2</v>
      </c>
      <c r="NM8" s="262">
        <v>193312.432</v>
      </c>
      <c r="NN8" s="262">
        <v>185042.07699999999</v>
      </c>
      <c r="NO8" s="263">
        <v>4.4694456169555502E-2</v>
      </c>
      <c r="NP8" s="262">
        <v>19073.330999999998</v>
      </c>
      <c r="NQ8" s="262">
        <v>14744.446</v>
      </c>
      <c r="NR8" s="263">
        <v>0.29359427950022698</v>
      </c>
      <c r="NS8" s="262">
        <v>98519.857999999993</v>
      </c>
      <c r="NT8" s="262">
        <v>86933.74</v>
      </c>
      <c r="NU8" s="263">
        <v>0.13327527378897999</v>
      </c>
      <c r="NV8" s="262">
        <v>202901.39199999999</v>
      </c>
      <c r="NW8" s="262">
        <v>190722.11199999999</v>
      </c>
      <c r="NX8" s="263">
        <v>6.3858772704865993E-2</v>
      </c>
      <c r="NY8" s="262">
        <v>36758.597999999998</v>
      </c>
      <c r="NZ8" s="262">
        <v>18518.857</v>
      </c>
      <c r="OA8" s="263">
        <v>0.984928011485806</v>
      </c>
      <c r="OB8" s="262">
        <v>90696.29</v>
      </c>
      <c r="OC8" s="262">
        <v>68276.47</v>
      </c>
      <c r="OD8" s="263">
        <v>0.32836817720658401</v>
      </c>
      <c r="OE8" s="262">
        <v>284243.73599999998</v>
      </c>
      <c r="OF8" s="262">
        <v>256743.60399999999</v>
      </c>
      <c r="OG8" s="263">
        <v>0.107111264201152</v>
      </c>
      <c r="OH8" s="262">
        <v>133453.17499999999</v>
      </c>
      <c r="OI8" s="262">
        <v>150704.353</v>
      </c>
      <c r="OJ8" s="263">
        <v>-0.114470336500499</v>
      </c>
      <c r="OK8" s="262">
        <v>905309.152</v>
      </c>
      <c r="OL8" s="262">
        <v>923782.75699999998</v>
      </c>
      <c r="OM8" s="263">
        <v>-1.9997780711986098E-2</v>
      </c>
      <c r="ON8" s="262">
        <v>1859473.3870000001</v>
      </c>
      <c r="OO8" s="262">
        <v>1923255.0249999999</v>
      </c>
      <c r="OP8" s="264">
        <v>-3.3163380399850902E-2</v>
      </c>
      <c r="OQ8" s="262">
        <v>0</v>
      </c>
      <c r="OR8" s="262">
        <v>0</v>
      </c>
      <c r="OS8" s="263">
        <v>0</v>
      </c>
      <c r="OT8" s="262">
        <v>0</v>
      </c>
      <c r="OU8" s="262">
        <v>0</v>
      </c>
      <c r="OV8" s="263">
        <v>0</v>
      </c>
      <c r="OW8" s="262">
        <v>0</v>
      </c>
      <c r="OX8" s="262">
        <v>0</v>
      </c>
      <c r="OY8" s="263">
        <v>0</v>
      </c>
      <c r="OZ8" s="262">
        <v>19199.385999999999</v>
      </c>
      <c r="PA8" s="262">
        <v>16878.900000000001</v>
      </c>
      <c r="PB8" s="263">
        <v>0.137478508670589</v>
      </c>
      <c r="PC8" s="262">
        <v>116347.167</v>
      </c>
      <c r="PD8" s="262">
        <v>106589.22900000001</v>
      </c>
      <c r="PE8" s="263">
        <v>9.1547129963760202E-2</v>
      </c>
      <c r="PF8" s="262">
        <v>195632.91800000001</v>
      </c>
      <c r="PG8" s="262">
        <v>184901.30300000001</v>
      </c>
      <c r="PH8" s="263">
        <v>5.8039693749481001E-2</v>
      </c>
      <c r="PI8" s="262">
        <v>22718.895</v>
      </c>
      <c r="PJ8" s="262">
        <v>19277.717000000001</v>
      </c>
      <c r="PK8" s="263">
        <v>0.17850547344376899</v>
      </c>
      <c r="PL8" s="262">
        <v>121238.753</v>
      </c>
      <c r="PM8" s="262">
        <v>106211.45699999999</v>
      </c>
      <c r="PN8" s="263">
        <v>0.141484698774069</v>
      </c>
      <c r="PO8" s="262">
        <v>206342.57</v>
      </c>
      <c r="PP8" s="262">
        <v>188916.56099999999</v>
      </c>
      <c r="PQ8" s="263">
        <v>9.2241828391106603E-2</v>
      </c>
      <c r="PR8" s="262">
        <v>62363.781999999999</v>
      </c>
      <c r="PS8" s="262">
        <v>51657.288</v>
      </c>
      <c r="PT8" s="263">
        <v>0.20726008690196801</v>
      </c>
      <c r="PU8" s="262">
        <v>153060.07199999999</v>
      </c>
      <c r="PV8" s="262">
        <v>119933.758</v>
      </c>
      <c r="PW8" s="263">
        <v>0.27620508647782099</v>
      </c>
      <c r="PX8" s="262">
        <v>294950.23</v>
      </c>
      <c r="PY8" s="262">
        <v>250447.18599999999</v>
      </c>
      <c r="PZ8" s="263">
        <v>0.17769432633992499</v>
      </c>
      <c r="QA8" s="262">
        <v>138952.70499999999</v>
      </c>
      <c r="QB8" s="262">
        <v>160623.88500000001</v>
      </c>
      <c r="QC8" s="263">
        <v>-0.134918788696961</v>
      </c>
      <c r="QD8" s="262">
        <v>1044261.857</v>
      </c>
      <c r="QE8" s="262">
        <v>1084406.642</v>
      </c>
      <c r="QF8" s="263">
        <v>-3.7020047134679997E-2</v>
      </c>
      <c r="QG8" s="262">
        <v>1837802.2069999999</v>
      </c>
      <c r="QH8" s="262">
        <v>1933043.92</v>
      </c>
      <c r="QI8" s="264">
        <v>-4.9270330598592801E-2</v>
      </c>
      <c r="QJ8" s="262">
        <v>0</v>
      </c>
      <c r="QK8" s="262">
        <v>0</v>
      </c>
      <c r="QL8" s="263">
        <v>0</v>
      </c>
      <c r="QM8" s="262">
        <v>0</v>
      </c>
      <c r="QN8" s="262">
        <v>0</v>
      </c>
      <c r="QO8" s="263">
        <v>0</v>
      </c>
      <c r="QP8" s="262">
        <v>0</v>
      </c>
      <c r="QQ8" s="262">
        <v>0</v>
      </c>
      <c r="QR8" s="263">
        <v>0</v>
      </c>
      <c r="QS8" s="262">
        <v>19175.791000000001</v>
      </c>
      <c r="QT8" s="262">
        <v>18052.401999999998</v>
      </c>
      <c r="QU8" s="263">
        <v>6.2229336572496199E-2</v>
      </c>
      <c r="QV8" s="262">
        <v>135522.95800000001</v>
      </c>
      <c r="QW8" s="262">
        <v>124641.63099999999</v>
      </c>
      <c r="QX8" s="263">
        <v>8.7300903499891003E-2</v>
      </c>
      <c r="QY8" s="262">
        <v>196756.307</v>
      </c>
      <c r="QZ8" s="262">
        <v>185896.21900000001</v>
      </c>
      <c r="RA8" s="263">
        <v>5.8420166146574401E-2</v>
      </c>
      <c r="RB8" s="262">
        <v>21784.870999999999</v>
      </c>
      <c r="RC8" s="262">
        <v>21530.129000000001</v>
      </c>
      <c r="RD8" s="263">
        <v>1.18318845186669E-2</v>
      </c>
      <c r="RE8" s="262">
        <v>143023.62400000001</v>
      </c>
      <c r="RF8" s="262">
        <v>127741.586</v>
      </c>
      <c r="RG8" s="263">
        <v>0.119632442954012</v>
      </c>
      <c r="RH8" s="262">
        <v>206597.31200000001</v>
      </c>
      <c r="RI8" s="262">
        <v>189716.264</v>
      </c>
      <c r="RJ8" s="263">
        <v>8.8980499847920294E-2</v>
      </c>
      <c r="RK8" s="262">
        <v>66467.854999999996</v>
      </c>
      <c r="RL8" s="262">
        <v>63154.792000000001</v>
      </c>
      <c r="RM8" s="263">
        <v>5.2459407989183103E-2</v>
      </c>
      <c r="RN8" s="262">
        <v>219527.927</v>
      </c>
      <c r="RO8" s="262">
        <v>183088.55</v>
      </c>
      <c r="RP8" s="263">
        <v>0.199025974043707</v>
      </c>
      <c r="RQ8" s="262">
        <v>298263.29300000001</v>
      </c>
      <c r="RR8" s="262">
        <v>248239.69</v>
      </c>
      <c r="RS8" s="263">
        <v>0.201513315618465</v>
      </c>
      <c r="RT8" s="262">
        <v>156429.682</v>
      </c>
      <c r="RU8" s="262">
        <v>152787.51800000001</v>
      </c>
      <c r="RV8" s="263">
        <v>2.3838099130584701E-2</v>
      </c>
      <c r="RW8" s="262">
        <v>1200691.5390000001</v>
      </c>
      <c r="RX8" s="262">
        <v>1237194.1599999999</v>
      </c>
      <c r="RY8" s="263">
        <v>-2.9504359283428701E-2</v>
      </c>
      <c r="RZ8" s="262">
        <v>1841444.371</v>
      </c>
      <c r="SA8" s="262">
        <v>1924331.1939999999</v>
      </c>
      <c r="SB8" s="264">
        <v>-4.3073054814284702E-2</v>
      </c>
      <c r="SC8" s="262">
        <v>0</v>
      </c>
      <c r="SD8" s="262">
        <v>0</v>
      </c>
      <c r="SE8" s="263">
        <v>0</v>
      </c>
      <c r="SF8" s="262">
        <v>0</v>
      </c>
      <c r="SG8" s="262">
        <v>0</v>
      </c>
      <c r="SH8" s="263">
        <v>0</v>
      </c>
      <c r="SI8" s="262">
        <v>0</v>
      </c>
      <c r="SJ8" s="262">
        <v>0</v>
      </c>
      <c r="SK8" s="263">
        <v>0</v>
      </c>
      <c r="SL8" s="262">
        <v>17843.856</v>
      </c>
      <c r="SM8" s="262">
        <v>16065.1</v>
      </c>
      <c r="SN8" s="263">
        <v>0.110721750876123</v>
      </c>
      <c r="SO8" s="262">
        <v>153366.81400000001</v>
      </c>
      <c r="SP8" s="262">
        <v>140706.731</v>
      </c>
      <c r="SQ8" s="263">
        <v>8.9974963600000096E-2</v>
      </c>
      <c r="SR8" s="262">
        <v>198535.06299999999</v>
      </c>
      <c r="SS8" s="262">
        <v>186438.00099999999</v>
      </c>
      <c r="ST8" s="263">
        <v>6.4885173275377503E-2</v>
      </c>
      <c r="SU8" s="262">
        <v>19388.259999999998</v>
      </c>
      <c r="SV8" s="262">
        <v>17437.605</v>
      </c>
      <c r="SW8" s="263">
        <v>0.111864846118489</v>
      </c>
      <c r="SX8" s="262">
        <v>162411.88399999999</v>
      </c>
      <c r="SY8" s="262">
        <v>145179.19099999999</v>
      </c>
      <c r="SZ8" s="263">
        <v>0.118699469815891</v>
      </c>
      <c r="TA8" s="262">
        <v>208547.967</v>
      </c>
      <c r="TB8" s="262">
        <v>190815.33600000001</v>
      </c>
      <c r="TC8" s="263">
        <v>9.2930848073972394E-2</v>
      </c>
      <c r="TD8" s="262">
        <v>45454.34</v>
      </c>
      <c r="TE8" s="262">
        <v>37101.396999999997</v>
      </c>
      <c r="TF8" s="263">
        <v>0.22513823401312899</v>
      </c>
      <c r="TG8" s="262">
        <v>264982.26699999999</v>
      </c>
      <c r="TH8" s="262">
        <v>220189.94699999999</v>
      </c>
      <c r="TI8" s="263">
        <v>0.20342581761918499</v>
      </c>
      <c r="TJ8" s="262">
        <v>306616.23599999998</v>
      </c>
      <c r="TK8" s="262">
        <v>251887.12299999999</v>
      </c>
      <c r="TL8" s="263">
        <v>0.21727634326110401</v>
      </c>
      <c r="TM8" s="262">
        <v>146533.94200000001</v>
      </c>
      <c r="TN8" s="262">
        <v>158023.614</v>
      </c>
      <c r="TO8" s="263">
        <v>-7.2708576327079805E-2</v>
      </c>
      <c r="TP8" s="262">
        <v>1347225.4809999999</v>
      </c>
      <c r="TQ8" s="262">
        <v>1395217.774</v>
      </c>
      <c r="TR8" s="263">
        <v>-3.4397707579662602E-2</v>
      </c>
      <c r="TS8" s="262">
        <v>1829954.699</v>
      </c>
      <c r="TT8" s="262">
        <v>1924429.1510000001</v>
      </c>
      <c r="TU8" s="264">
        <v>-4.9092195444507603E-2</v>
      </c>
      <c r="TV8" s="262">
        <v>0</v>
      </c>
      <c r="TW8" s="262">
        <v>0</v>
      </c>
      <c r="TX8" s="263">
        <v>0</v>
      </c>
      <c r="TY8" s="262">
        <v>0</v>
      </c>
      <c r="TZ8" s="262">
        <v>0</v>
      </c>
      <c r="UA8" s="263">
        <v>0</v>
      </c>
      <c r="UB8" s="262">
        <v>0</v>
      </c>
      <c r="UC8" s="262">
        <v>0</v>
      </c>
      <c r="UD8" s="263">
        <v>0</v>
      </c>
      <c r="UE8" s="262">
        <v>17789.593000000001</v>
      </c>
      <c r="UF8" s="262">
        <v>15959.118</v>
      </c>
      <c r="UG8" s="263">
        <v>0.114697754600223</v>
      </c>
      <c r="UH8" s="262">
        <v>171156.40700000001</v>
      </c>
      <c r="UI8" s="262">
        <v>156665.84899999999</v>
      </c>
      <c r="UJ8" s="263">
        <v>9.2493406141117701E-2</v>
      </c>
      <c r="UK8" s="262">
        <v>200365.538</v>
      </c>
      <c r="UL8" s="262">
        <v>186726.42499999999</v>
      </c>
      <c r="UM8" s="263">
        <v>7.3043293149322702E-2</v>
      </c>
      <c r="UN8" s="262">
        <v>18206.712</v>
      </c>
      <c r="UO8" s="262">
        <v>15638.532999999999</v>
      </c>
      <c r="UP8" s="263">
        <v>0.16422122202894601</v>
      </c>
      <c r="UQ8" s="262">
        <v>180618.59599999999</v>
      </c>
      <c r="UR8" s="262">
        <v>160817.72399999999</v>
      </c>
      <c r="US8" s="263">
        <v>0.12312617979844</v>
      </c>
      <c r="UT8" s="262">
        <v>211116.14600000001</v>
      </c>
      <c r="UU8" s="262">
        <v>190196.53400000001</v>
      </c>
      <c r="UV8" s="263">
        <v>0.109989449124241</v>
      </c>
      <c r="UW8" s="262">
        <v>21721.605</v>
      </c>
      <c r="UX8" s="262">
        <v>25321.735000000001</v>
      </c>
      <c r="UY8" s="263">
        <v>-0.14217548679030101</v>
      </c>
      <c r="UZ8" s="262">
        <v>286703.87199999997</v>
      </c>
      <c r="VA8" s="262">
        <v>245511.682</v>
      </c>
      <c r="VB8" s="263">
        <v>0.167780977525949</v>
      </c>
      <c r="VC8" s="262">
        <v>303016.10600000003</v>
      </c>
      <c r="VD8" s="262">
        <v>259532.34</v>
      </c>
      <c r="VE8" s="263">
        <v>0.167546618660318</v>
      </c>
      <c r="VF8" s="262">
        <v>158305.16899999999</v>
      </c>
      <c r="VG8" s="262">
        <v>161225.87400000001</v>
      </c>
      <c r="VH8" s="263">
        <v>-1.8115609657045399E-2</v>
      </c>
      <c r="VI8" s="262">
        <v>1505530.65</v>
      </c>
      <c r="VJ8" s="262">
        <v>1556443.648</v>
      </c>
      <c r="VK8" s="263">
        <v>-3.27111091143081E-2</v>
      </c>
      <c r="VL8" s="262">
        <v>1827033.9939999999</v>
      </c>
      <c r="VM8" s="262">
        <v>1902714.93</v>
      </c>
      <c r="VN8" s="264">
        <v>-3.9775236325075902E-2</v>
      </c>
    </row>
    <row r="9" spans="1:586">
      <c r="A9" s="268" t="s">
        <v>134</v>
      </c>
      <c r="B9" s="262">
        <v>0</v>
      </c>
      <c r="C9" s="262">
        <v>0</v>
      </c>
      <c r="D9" s="263">
        <v>0</v>
      </c>
      <c r="E9" s="262">
        <v>0</v>
      </c>
      <c r="F9" s="262">
        <v>0</v>
      </c>
      <c r="G9" s="263">
        <v>0</v>
      </c>
      <c r="H9" s="262">
        <v>0</v>
      </c>
      <c r="I9" s="262">
        <v>0</v>
      </c>
      <c r="J9" s="263">
        <v>0</v>
      </c>
      <c r="K9" s="262">
        <v>21.739000000000001</v>
      </c>
      <c r="L9" s="262">
        <v>1.954</v>
      </c>
      <c r="M9" s="263">
        <v>10.125383828045001</v>
      </c>
      <c r="N9" s="262">
        <v>640.072</v>
      </c>
      <c r="O9" s="262">
        <v>230.84100000000001</v>
      </c>
      <c r="P9" s="263">
        <v>1.7727829978210099</v>
      </c>
      <c r="Q9" s="262">
        <v>662.47</v>
      </c>
      <c r="R9" s="262">
        <v>565.02599999999995</v>
      </c>
      <c r="S9" s="263">
        <v>0.17245932045605</v>
      </c>
      <c r="T9" s="262">
        <v>0</v>
      </c>
      <c r="U9" s="262">
        <v>2.1389999999999998</v>
      </c>
      <c r="V9" s="263">
        <v>-1</v>
      </c>
      <c r="W9" s="262">
        <v>252.227</v>
      </c>
      <c r="X9" s="262">
        <v>41.148000000000003</v>
      </c>
      <c r="Y9" s="263">
        <v>5.1297511422183302</v>
      </c>
      <c r="Z9" s="262">
        <v>255.215</v>
      </c>
      <c r="AA9" s="262">
        <v>43.264000000000003</v>
      </c>
      <c r="AB9" s="263">
        <v>4.8990153476331404</v>
      </c>
      <c r="AC9" s="262">
        <v>40918.339999999997</v>
      </c>
      <c r="AD9" s="262">
        <v>44608.845999999998</v>
      </c>
      <c r="AE9" s="263">
        <v>-8.2730362493573406E-2</v>
      </c>
      <c r="AF9" s="262">
        <v>366275.99300000002</v>
      </c>
      <c r="AG9" s="262">
        <v>454437.64</v>
      </c>
      <c r="AH9" s="263">
        <v>-0.19400163903676601</v>
      </c>
      <c r="AI9" s="262">
        <v>413697.81300000002</v>
      </c>
      <c r="AJ9" s="262">
        <v>504319.11200000002</v>
      </c>
      <c r="AK9" s="263">
        <v>-0.179690392142029</v>
      </c>
      <c r="AL9" s="262">
        <v>16364.427</v>
      </c>
      <c r="AM9" s="262">
        <v>30969.666000000001</v>
      </c>
      <c r="AN9" s="263">
        <v>-0.471598208388815</v>
      </c>
      <c r="AO9" s="262">
        <v>203635.98</v>
      </c>
      <c r="AP9" s="262">
        <v>207795.11900000001</v>
      </c>
      <c r="AQ9" s="263">
        <v>-2.0015576015527101E-2</v>
      </c>
      <c r="AR9" s="262">
        <v>254931.549</v>
      </c>
      <c r="AS9" s="262">
        <v>253843.769</v>
      </c>
      <c r="AT9" s="264">
        <v>4.2852341985199502E-3</v>
      </c>
      <c r="AU9" s="262">
        <v>0</v>
      </c>
      <c r="AV9" s="262">
        <v>0</v>
      </c>
      <c r="AW9" s="263">
        <v>0</v>
      </c>
      <c r="AX9" s="262">
        <v>0</v>
      </c>
      <c r="AY9" s="262">
        <v>0</v>
      </c>
      <c r="AZ9" s="263">
        <v>0</v>
      </c>
      <c r="BA9" s="262">
        <v>0</v>
      </c>
      <c r="BB9" s="262">
        <v>0</v>
      </c>
      <c r="BC9" s="263">
        <v>0</v>
      </c>
      <c r="BD9" s="262">
        <v>0</v>
      </c>
      <c r="BE9" s="262">
        <v>12.151999999999999</v>
      </c>
      <c r="BF9" s="263">
        <v>-1</v>
      </c>
      <c r="BG9" s="262">
        <v>640.072</v>
      </c>
      <c r="BH9" s="262">
        <v>242.99299999999999</v>
      </c>
      <c r="BI9" s="263">
        <v>1.63411703217788</v>
      </c>
      <c r="BJ9" s="262">
        <v>650.31799999999998</v>
      </c>
      <c r="BK9" s="262">
        <v>248.458</v>
      </c>
      <c r="BL9" s="263">
        <v>1.6174162232650999</v>
      </c>
      <c r="BM9" s="262">
        <v>0</v>
      </c>
      <c r="BN9" s="262">
        <v>1.0469999999999999</v>
      </c>
      <c r="BO9" s="263">
        <v>-1</v>
      </c>
      <c r="BP9" s="262">
        <v>252.227</v>
      </c>
      <c r="BQ9" s="262">
        <v>42.195</v>
      </c>
      <c r="BR9" s="263">
        <v>4.9776513804953204</v>
      </c>
      <c r="BS9" s="262">
        <v>254.16800000000001</v>
      </c>
      <c r="BT9" s="262">
        <v>42.604999999999997</v>
      </c>
      <c r="BU9" s="263">
        <v>4.9656847787818297</v>
      </c>
      <c r="BV9" s="262">
        <v>22217.788</v>
      </c>
      <c r="BW9" s="262">
        <v>24499.784</v>
      </c>
      <c r="BX9" s="263">
        <v>-9.3143515061194004E-2</v>
      </c>
      <c r="BY9" s="262">
        <v>388493.78100000002</v>
      </c>
      <c r="BZ9" s="262">
        <v>478937.424</v>
      </c>
      <c r="CA9" s="263">
        <v>-0.188842296441633</v>
      </c>
      <c r="CB9" s="262">
        <v>411415.81699999998</v>
      </c>
      <c r="CC9" s="262">
        <v>505707.32299999997</v>
      </c>
      <c r="CD9" s="263">
        <v>-0.18645469763149899</v>
      </c>
      <c r="CE9" s="262">
        <v>29713.278999999999</v>
      </c>
      <c r="CF9" s="262">
        <v>24588.663</v>
      </c>
      <c r="CG9" s="263">
        <v>0.208413771826471</v>
      </c>
      <c r="CH9" s="262">
        <v>233349.25899999999</v>
      </c>
      <c r="CI9" s="262">
        <v>232383.78200000001</v>
      </c>
      <c r="CJ9" s="263">
        <v>4.1546660084910104E-3</v>
      </c>
      <c r="CK9" s="262">
        <v>260056.16500000001</v>
      </c>
      <c r="CL9" s="262">
        <v>254464.54399999999</v>
      </c>
      <c r="CM9" s="264">
        <v>2.1974067239795898E-2</v>
      </c>
      <c r="CN9" s="262">
        <v>0</v>
      </c>
      <c r="CO9" s="262">
        <v>0</v>
      </c>
      <c r="CP9" s="263">
        <v>0</v>
      </c>
      <c r="CQ9" s="262">
        <v>0</v>
      </c>
      <c r="CR9" s="262">
        <v>0</v>
      </c>
      <c r="CS9" s="263">
        <v>0</v>
      </c>
      <c r="CT9" s="262">
        <v>0</v>
      </c>
      <c r="CU9" s="262">
        <v>0</v>
      </c>
      <c r="CV9" s="263">
        <v>0</v>
      </c>
      <c r="CW9" s="262">
        <v>0</v>
      </c>
      <c r="CX9" s="262">
        <v>10.246</v>
      </c>
      <c r="CY9" s="263">
        <v>-1</v>
      </c>
      <c r="CZ9" s="262">
        <v>640.072</v>
      </c>
      <c r="DA9" s="262">
        <v>253.239</v>
      </c>
      <c r="DB9" s="263">
        <v>1.5275411765170499</v>
      </c>
      <c r="DC9" s="262">
        <v>640.072</v>
      </c>
      <c r="DD9" s="262">
        <v>253.239</v>
      </c>
      <c r="DE9" s="263">
        <v>1.5275411765170499</v>
      </c>
      <c r="DF9" s="262">
        <v>0</v>
      </c>
      <c r="DG9" s="262">
        <v>1.9410000000000001</v>
      </c>
      <c r="DH9" s="263">
        <v>-1</v>
      </c>
      <c r="DI9" s="262">
        <v>252.227</v>
      </c>
      <c r="DJ9" s="262">
        <v>44.136000000000003</v>
      </c>
      <c r="DK9" s="263">
        <v>4.7147679898495598</v>
      </c>
      <c r="DL9" s="262">
        <v>252.227</v>
      </c>
      <c r="DM9" s="262">
        <v>44.136000000000003</v>
      </c>
      <c r="DN9" s="263">
        <v>4.7147679898495598</v>
      </c>
      <c r="DO9" s="262">
        <v>25456.891</v>
      </c>
      <c r="DP9" s="262">
        <v>22922.036</v>
      </c>
      <c r="DQ9" s="263">
        <v>0.11058594445973299</v>
      </c>
      <c r="DR9" s="262">
        <v>413950.67200000002</v>
      </c>
      <c r="DS9" s="262">
        <v>501859.46</v>
      </c>
      <c r="DT9" s="263">
        <v>-0.17516614711218101</v>
      </c>
      <c r="DU9" s="262">
        <v>413950.67200000002</v>
      </c>
      <c r="DV9" s="262">
        <v>501859.46</v>
      </c>
      <c r="DW9" s="263">
        <v>-0.17516614711218101</v>
      </c>
      <c r="DX9" s="262">
        <v>20429.556</v>
      </c>
      <c r="DY9" s="262">
        <v>26706.905999999999</v>
      </c>
      <c r="DZ9" s="263">
        <v>-0.23504594654281599</v>
      </c>
      <c r="EA9" s="262">
        <v>253778.815</v>
      </c>
      <c r="EB9" s="262">
        <v>259090.68799999999</v>
      </c>
      <c r="EC9" s="263">
        <v>-2.0501983459938099E-2</v>
      </c>
      <c r="ED9" s="262">
        <v>253778.815</v>
      </c>
      <c r="EE9" s="262">
        <v>259090.68799999999</v>
      </c>
      <c r="EF9" s="264">
        <v>-2.0501983459938099E-2</v>
      </c>
      <c r="EG9" s="262">
        <v>0</v>
      </c>
      <c r="EH9" s="262">
        <v>0</v>
      </c>
      <c r="EI9" s="263">
        <v>0</v>
      </c>
      <c r="EJ9" s="262">
        <v>0</v>
      </c>
      <c r="EK9" s="262">
        <v>0</v>
      </c>
      <c r="EL9" s="263">
        <v>0</v>
      </c>
      <c r="EM9" s="262">
        <v>0</v>
      </c>
      <c r="EN9" s="262">
        <v>0</v>
      </c>
      <c r="EO9" s="263">
        <v>0</v>
      </c>
      <c r="EP9" s="262">
        <v>3.4870000000000001</v>
      </c>
      <c r="EQ9" s="262">
        <v>3.6589999999999998</v>
      </c>
      <c r="ER9" s="263">
        <v>-4.7007379065318301E-2</v>
      </c>
      <c r="ES9" s="262">
        <v>3.4870000000000001</v>
      </c>
      <c r="ET9" s="262">
        <v>3.6589999999999998</v>
      </c>
      <c r="EU9" s="263">
        <v>-4.7007379065318301E-2</v>
      </c>
      <c r="EV9" s="262">
        <v>639.9</v>
      </c>
      <c r="EW9" s="262">
        <v>253.173</v>
      </c>
      <c r="EX9" s="263">
        <v>1.5275207071844199</v>
      </c>
      <c r="EY9" s="262">
        <v>1.403</v>
      </c>
      <c r="EZ9" s="262">
        <v>2.448</v>
      </c>
      <c r="FA9" s="263">
        <v>-0.42687908496732002</v>
      </c>
      <c r="FB9" s="262">
        <v>1.403</v>
      </c>
      <c r="FC9" s="262">
        <v>2.448</v>
      </c>
      <c r="FD9" s="263">
        <v>-0.42687908496732002</v>
      </c>
      <c r="FE9" s="262">
        <v>251.18199999999999</v>
      </c>
      <c r="FF9" s="262">
        <v>43.101999999999997</v>
      </c>
      <c r="FG9" s="263">
        <v>4.8276182079717902</v>
      </c>
      <c r="FH9" s="262">
        <v>23827.804</v>
      </c>
      <c r="FI9" s="262">
        <v>25499.687000000002</v>
      </c>
      <c r="FJ9" s="263">
        <v>-6.5564843992006697E-2</v>
      </c>
      <c r="FK9" s="262">
        <v>23827.804</v>
      </c>
      <c r="FL9" s="262">
        <v>25499.687000000002</v>
      </c>
      <c r="FM9" s="263">
        <v>-6.5564843992006697E-2</v>
      </c>
      <c r="FN9" s="262">
        <v>412278.78899999999</v>
      </c>
      <c r="FO9" s="262">
        <v>477679.24300000002</v>
      </c>
      <c r="FP9" s="263">
        <v>-0.13691290747586499</v>
      </c>
      <c r="FQ9" s="262">
        <v>37045.735999999997</v>
      </c>
      <c r="FR9" s="262">
        <v>28281.392</v>
      </c>
      <c r="FS9" s="263">
        <v>0.30989790035794601</v>
      </c>
      <c r="FT9" s="262">
        <v>37045.735999999997</v>
      </c>
      <c r="FU9" s="262">
        <v>28281.392</v>
      </c>
      <c r="FV9" s="263">
        <v>0.30989790035794601</v>
      </c>
      <c r="FW9" s="262">
        <v>262543.15899999999</v>
      </c>
      <c r="FX9" s="262">
        <v>272332.44199999998</v>
      </c>
      <c r="FY9" s="264">
        <v>-3.5946077258030097E-2</v>
      </c>
      <c r="FZ9" s="262">
        <v>0</v>
      </c>
      <c r="GA9" s="262">
        <v>0</v>
      </c>
      <c r="GB9" s="263">
        <v>0</v>
      </c>
      <c r="GC9" s="262">
        <v>0</v>
      </c>
      <c r="GD9" s="262">
        <v>0</v>
      </c>
      <c r="GE9" s="263">
        <v>0</v>
      </c>
      <c r="GF9" s="262">
        <v>0</v>
      </c>
      <c r="GG9" s="262">
        <v>0</v>
      </c>
      <c r="GH9" s="263">
        <v>0</v>
      </c>
      <c r="GI9" s="262">
        <v>9.0069999999999997</v>
      </c>
      <c r="GJ9" s="262">
        <v>0</v>
      </c>
      <c r="GK9" s="263">
        <v>0</v>
      </c>
      <c r="GL9" s="262">
        <v>12.494</v>
      </c>
      <c r="GM9" s="262">
        <v>3.6589999999999998</v>
      </c>
      <c r="GN9" s="263">
        <v>2.4145941514074898</v>
      </c>
      <c r="GO9" s="262">
        <v>648.90700000000004</v>
      </c>
      <c r="GP9" s="262">
        <v>242.285</v>
      </c>
      <c r="GQ9" s="263">
        <v>1.6782797119095301</v>
      </c>
      <c r="GR9" s="262">
        <v>6.6280000000000001</v>
      </c>
      <c r="GS9" s="262">
        <v>1.762</v>
      </c>
      <c r="GT9" s="263">
        <v>2.7616345062429102</v>
      </c>
      <c r="GU9" s="262">
        <v>8.0310000000000006</v>
      </c>
      <c r="GV9" s="262">
        <v>4.21</v>
      </c>
      <c r="GW9" s="263">
        <v>0.90760095011876496</v>
      </c>
      <c r="GX9" s="262">
        <v>256.048</v>
      </c>
      <c r="GY9" s="262">
        <v>42.811</v>
      </c>
      <c r="GZ9" s="263">
        <v>4.9808927612062304</v>
      </c>
      <c r="HA9" s="262">
        <v>22326.348000000002</v>
      </c>
      <c r="HB9" s="262">
        <v>24103.73</v>
      </c>
      <c r="HC9" s="263">
        <v>-7.3738877758753596E-2</v>
      </c>
      <c r="HD9" s="262">
        <v>46154.152000000002</v>
      </c>
      <c r="HE9" s="262">
        <v>49603.417000000001</v>
      </c>
      <c r="HF9" s="263">
        <v>-6.9536842592920506E-2</v>
      </c>
      <c r="HG9" s="262">
        <v>410501.40700000001</v>
      </c>
      <c r="HH9" s="262">
        <v>469186.20899999997</v>
      </c>
      <c r="HI9" s="263">
        <v>-0.12507784942161401</v>
      </c>
      <c r="HJ9" s="262">
        <v>22268.399000000001</v>
      </c>
      <c r="HK9" s="262">
        <v>23554.095000000001</v>
      </c>
      <c r="HL9" s="263">
        <v>-5.4584818478485397E-2</v>
      </c>
      <c r="HM9" s="262">
        <v>59314.135000000002</v>
      </c>
      <c r="HN9" s="262">
        <v>51835.487000000001</v>
      </c>
      <c r="HO9" s="263">
        <v>0.14427660340106399</v>
      </c>
      <c r="HP9" s="262">
        <v>261257.46299999999</v>
      </c>
      <c r="HQ9" s="262">
        <v>268664.49300000002</v>
      </c>
      <c r="HR9" s="264">
        <v>-2.7569813626246598E-2</v>
      </c>
      <c r="HS9" s="262">
        <v>0</v>
      </c>
      <c r="HT9" s="262">
        <v>0</v>
      </c>
      <c r="HU9" s="263">
        <v>0</v>
      </c>
      <c r="HV9" s="262">
        <v>0</v>
      </c>
      <c r="HW9" s="262">
        <v>0</v>
      </c>
      <c r="HX9" s="263">
        <v>0</v>
      </c>
      <c r="HY9" s="262">
        <v>0</v>
      </c>
      <c r="HZ9" s="262">
        <v>0</v>
      </c>
      <c r="IA9" s="263">
        <v>0</v>
      </c>
      <c r="IB9" s="262">
        <v>3.1019999999999999</v>
      </c>
      <c r="IC9" s="262">
        <v>86.876000000000005</v>
      </c>
      <c r="ID9" s="263">
        <v>-0.964293936184907</v>
      </c>
      <c r="IE9" s="262">
        <v>15.596</v>
      </c>
      <c r="IF9" s="262">
        <v>90.534999999999997</v>
      </c>
      <c r="IG9" s="263">
        <v>-0.82773513006019805</v>
      </c>
      <c r="IH9" s="262">
        <v>565.13300000000004</v>
      </c>
      <c r="II9" s="262">
        <v>320.81299999999999</v>
      </c>
      <c r="IJ9" s="263">
        <v>0.76156514854447899</v>
      </c>
      <c r="IK9" s="262">
        <v>3.7170000000000001</v>
      </c>
      <c r="IL9" s="262">
        <v>1.7270000000000001</v>
      </c>
      <c r="IM9" s="263">
        <v>1.1522872032426199</v>
      </c>
      <c r="IN9" s="262">
        <v>11.747999999999999</v>
      </c>
      <c r="IO9" s="262">
        <v>5.9370000000000003</v>
      </c>
      <c r="IP9" s="263">
        <v>0.97877716018190997</v>
      </c>
      <c r="IQ9" s="262">
        <v>258.03800000000001</v>
      </c>
      <c r="IR9" s="262">
        <v>42.430999999999997</v>
      </c>
      <c r="IS9" s="263">
        <v>5.0813556126417003</v>
      </c>
      <c r="IT9" s="262">
        <v>24290.578000000001</v>
      </c>
      <c r="IU9" s="262">
        <v>25225.477999999999</v>
      </c>
      <c r="IV9" s="263">
        <v>-3.7061735757792202E-2</v>
      </c>
      <c r="IW9" s="262">
        <v>70444.73</v>
      </c>
      <c r="IX9" s="262">
        <v>74828.895000000004</v>
      </c>
      <c r="IY9" s="263">
        <v>-5.8589198731319098E-2</v>
      </c>
      <c r="IZ9" s="262">
        <v>409566.50699999998</v>
      </c>
      <c r="JA9" s="262">
        <v>459592.81900000002</v>
      </c>
      <c r="JB9" s="263">
        <v>-0.108849202885392</v>
      </c>
      <c r="JC9" s="262">
        <v>28510.366000000002</v>
      </c>
      <c r="JD9" s="262">
        <v>23025.226999999999</v>
      </c>
      <c r="JE9" s="263">
        <v>0.23822301513031799</v>
      </c>
      <c r="JF9" s="262">
        <v>87824.501000000004</v>
      </c>
      <c r="JG9" s="262">
        <v>74860.714000000007</v>
      </c>
      <c r="JH9" s="263">
        <v>0.173172099320346</v>
      </c>
      <c r="JI9" s="262">
        <v>266742.60200000001</v>
      </c>
      <c r="JJ9" s="262">
        <v>274628.56900000002</v>
      </c>
      <c r="JK9" s="264">
        <v>-2.87150278236348E-2</v>
      </c>
      <c r="JL9" s="262">
        <v>0</v>
      </c>
      <c r="JM9" s="262">
        <v>0</v>
      </c>
      <c r="JN9" s="263">
        <v>0</v>
      </c>
      <c r="JO9" s="262">
        <v>0</v>
      </c>
      <c r="JP9" s="262">
        <v>0</v>
      </c>
      <c r="JQ9" s="263">
        <v>0</v>
      </c>
      <c r="JR9" s="262">
        <v>0</v>
      </c>
      <c r="JS9" s="262">
        <v>0</v>
      </c>
      <c r="JT9" s="263">
        <v>0</v>
      </c>
      <c r="JU9" s="262">
        <v>1.296</v>
      </c>
      <c r="JV9" s="262">
        <v>20.204999999999998</v>
      </c>
      <c r="JW9" s="263">
        <v>-0.93585746102449896</v>
      </c>
      <c r="JX9" s="262">
        <v>16.891999999999999</v>
      </c>
      <c r="JY9" s="262">
        <v>110.74</v>
      </c>
      <c r="JZ9" s="263">
        <v>-0.84746252483294204</v>
      </c>
      <c r="KA9" s="262">
        <v>546.22400000000005</v>
      </c>
      <c r="KB9" s="262">
        <v>336.24599999999998</v>
      </c>
      <c r="KC9" s="263">
        <v>0.62447731720228705</v>
      </c>
      <c r="KD9" s="262">
        <v>2.8940000000000001</v>
      </c>
      <c r="KE9" s="262">
        <v>2.9140000000000001</v>
      </c>
      <c r="KF9" s="263">
        <v>-6.8634179821551204E-3</v>
      </c>
      <c r="KG9" s="262">
        <v>14.641999999999999</v>
      </c>
      <c r="KH9" s="262">
        <v>8.8510000000000009</v>
      </c>
      <c r="KI9" s="263">
        <v>0.65427635295446795</v>
      </c>
      <c r="KJ9" s="262">
        <v>258.01799999999997</v>
      </c>
      <c r="KK9" s="262">
        <v>43.679000000000002</v>
      </c>
      <c r="KL9" s="263">
        <v>4.9071407312438504</v>
      </c>
      <c r="KM9" s="262">
        <v>25040.585999999999</v>
      </c>
      <c r="KN9" s="262">
        <v>29829.684000000001</v>
      </c>
      <c r="KO9" s="263">
        <v>-0.160548063465909</v>
      </c>
      <c r="KP9" s="262">
        <v>95485.316000000006</v>
      </c>
      <c r="KQ9" s="262">
        <v>104658.579</v>
      </c>
      <c r="KR9" s="263">
        <v>-8.7649412858930603E-2</v>
      </c>
      <c r="KS9" s="262">
        <v>404777.40899999999</v>
      </c>
      <c r="KT9" s="262">
        <v>459707.36499999999</v>
      </c>
      <c r="KU9" s="263">
        <v>-0.119488962287998</v>
      </c>
      <c r="KV9" s="262">
        <v>15002.691000000001</v>
      </c>
      <c r="KW9" s="262">
        <v>15266.852000000001</v>
      </c>
      <c r="KX9" s="263">
        <v>-1.73029122179215E-2</v>
      </c>
      <c r="KY9" s="262">
        <v>102827.192</v>
      </c>
      <c r="KZ9" s="262">
        <v>90127.566000000006</v>
      </c>
      <c r="LA9" s="263">
        <v>0.14090723364259</v>
      </c>
      <c r="LB9" s="262">
        <v>266478.44099999999</v>
      </c>
      <c r="LC9" s="262">
        <v>268545.29100000003</v>
      </c>
      <c r="LD9" s="264">
        <v>-7.6964671110171697E-3</v>
      </c>
      <c r="LE9" s="262">
        <v>0</v>
      </c>
      <c r="LF9" s="262">
        <v>0</v>
      </c>
      <c r="LG9" s="263">
        <v>0</v>
      </c>
      <c r="LH9" s="262">
        <v>0</v>
      </c>
      <c r="LI9" s="262">
        <v>0</v>
      </c>
      <c r="LJ9" s="263">
        <v>0</v>
      </c>
      <c r="LK9" s="262">
        <v>0</v>
      </c>
      <c r="LL9" s="262">
        <v>0</v>
      </c>
      <c r="LM9" s="263">
        <v>0</v>
      </c>
      <c r="LN9" s="262">
        <v>11.112</v>
      </c>
      <c r="LO9" s="262">
        <v>5.95</v>
      </c>
      <c r="LP9" s="263">
        <v>0.86756302521008399</v>
      </c>
      <c r="LQ9" s="262">
        <v>28.004000000000001</v>
      </c>
      <c r="LR9" s="262">
        <v>116.69</v>
      </c>
      <c r="LS9" s="263">
        <v>-0.76001371154340602</v>
      </c>
      <c r="LT9" s="262">
        <v>551.38599999999997</v>
      </c>
      <c r="LU9" s="262">
        <v>337.36599999999999</v>
      </c>
      <c r="LV9" s="263">
        <v>0.63438520775656104</v>
      </c>
      <c r="LW9" s="262">
        <v>2.637</v>
      </c>
      <c r="LX9" s="262">
        <v>69.369</v>
      </c>
      <c r="LY9" s="263">
        <v>-0.96198590148337204</v>
      </c>
      <c r="LZ9" s="262">
        <v>17.279</v>
      </c>
      <c r="MA9" s="262">
        <v>78.22</v>
      </c>
      <c r="MB9" s="263">
        <v>-0.77909741754027095</v>
      </c>
      <c r="MC9" s="262">
        <v>191.286</v>
      </c>
      <c r="MD9" s="262">
        <v>111.173</v>
      </c>
      <c r="ME9" s="263">
        <v>0.72061561710127497</v>
      </c>
      <c r="MF9" s="262">
        <v>25468.106</v>
      </c>
      <c r="MG9" s="262">
        <v>29728.614000000001</v>
      </c>
      <c r="MH9" s="263">
        <v>-0.143313374784307</v>
      </c>
      <c r="MI9" s="262">
        <v>120953.42200000001</v>
      </c>
      <c r="MJ9" s="262">
        <v>134387.193</v>
      </c>
      <c r="MK9" s="263">
        <v>-9.9963178782966303E-2</v>
      </c>
      <c r="ML9" s="262">
        <v>400516.90100000001</v>
      </c>
      <c r="MM9" s="262">
        <v>453935.43800000002</v>
      </c>
      <c r="MN9" s="263">
        <v>-0.117678710513013</v>
      </c>
      <c r="MO9" s="262">
        <v>15518.790999999999</v>
      </c>
      <c r="MP9" s="262">
        <v>13422.698</v>
      </c>
      <c r="MQ9" s="263">
        <v>0.15616033378684399</v>
      </c>
      <c r="MR9" s="262">
        <v>118345.98299999999</v>
      </c>
      <c r="MS9" s="262">
        <v>103550.264</v>
      </c>
      <c r="MT9" s="263">
        <v>0.14288441601655399</v>
      </c>
      <c r="MU9" s="262">
        <v>268574.53399999999</v>
      </c>
      <c r="MV9" s="262">
        <v>258243.75</v>
      </c>
      <c r="MW9" s="264">
        <v>4.0004003969118303E-2</v>
      </c>
      <c r="MX9" s="262">
        <v>0</v>
      </c>
      <c r="MY9" s="262">
        <v>0</v>
      </c>
      <c r="MZ9" s="263">
        <v>0</v>
      </c>
      <c r="NA9" s="262">
        <v>0</v>
      </c>
      <c r="NB9" s="262">
        <v>0</v>
      </c>
      <c r="NC9" s="263">
        <v>0</v>
      </c>
      <c r="ND9" s="262">
        <v>0</v>
      </c>
      <c r="NE9" s="262">
        <v>0</v>
      </c>
      <c r="NF9" s="263">
        <v>0</v>
      </c>
      <c r="NG9" s="262">
        <v>9.1240000000000006</v>
      </c>
      <c r="NH9" s="262">
        <v>186.66</v>
      </c>
      <c r="NI9" s="263">
        <v>-0.95111968284581605</v>
      </c>
      <c r="NJ9" s="262">
        <v>37.128</v>
      </c>
      <c r="NK9" s="262">
        <v>303.35000000000002</v>
      </c>
      <c r="NL9" s="263">
        <v>-0.87760672490522496</v>
      </c>
      <c r="NM9" s="262">
        <v>373.85</v>
      </c>
      <c r="NN9" s="262">
        <v>519.66600000000005</v>
      </c>
      <c r="NO9" s="263">
        <v>-0.28059561333625799</v>
      </c>
      <c r="NP9" s="262">
        <v>5.3070000000000004</v>
      </c>
      <c r="NQ9" s="262">
        <v>141.054</v>
      </c>
      <c r="NR9" s="263">
        <v>-0.962376111276533</v>
      </c>
      <c r="NS9" s="262">
        <v>22.585999999999999</v>
      </c>
      <c r="NT9" s="262">
        <v>219.274</v>
      </c>
      <c r="NU9" s="263">
        <v>-0.89699645192772504</v>
      </c>
      <c r="NV9" s="262">
        <v>55.539000000000001</v>
      </c>
      <c r="NW9" s="262">
        <v>238.703</v>
      </c>
      <c r="NX9" s="263">
        <v>-0.76733011315316502</v>
      </c>
      <c r="NY9" s="262">
        <v>46078.491000000002</v>
      </c>
      <c r="NZ9" s="262">
        <v>43667.93</v>
      </c>
      <c r="OA9" s="263">
        <v>5.5202089954802101E-2</v>
      </c>
      <c r="OB9" s="262">
        <v>167031.913</v>
      </c>
      <c r="OC9" s="262">
        <v>178055.12299999999</v>
      </c>
      <c r="OD9" s="263">
        <v>-6.1908974110225501E-2</v>
      </c>
      <c r="OE9" s="262">
        <v>402927.462</v>
      </c>
      <c r="OF9" s="262">
        <v>440843.79700000002</v>
      </c>
      <c r="OG9" s="263">
        <v>-8.6008548284053604E-2</v>
      </c>
      <c r="OH9" s="262">
        <v>14439.682000000001</v>
      </c>
      <c r="OI9" s="262">
        <v>26814.177</v>
      </c>
      <c r="OJ9" s="263">
        <v>-0.461490762890094</v>
      </c>
      <c r="OK9" s="262">
        <v>132785.66500000001</v>
      </c>
      <c r="OL9" s="262">
        <v>130364.44100000001</v>
      </c>
      <c r="OM9" s="263">
        <v>1.8572733342215601E-2</v>
      </c>
      <c r="ON9" s="262">
        <v>256200.03899999999</v>
      </c>
      <c r="OO9" s="262">
        <v>263803.571</v>
      </c>
      <c r="OP9" s="264">
        <v>-2.8822703086153499E-2</v>
      </c>
      <c r="OQ9" s="262">
        <v>0</v>
      </c>
      <c r="OR9" s="262">
        <v>0</v>
      </c>
      <c r="OS9" s="263">
        <v>0</v>
      </c>
      <c r="OT9" s="262">
        <v>0</v>
      </c>
      <c r="OU9" s="262">
        <v>0</v>
      </c>
      <c r="OV9" s="263">
        <v>0</v>
      </c>
      <c r="OW9" s="262">
        <v>0</v>
      </c>
      <c r="OX9" s="262">
        <v>0</v>
      </c>
      <c r="OY9" s="263">
        <v>0</v>
      </c>
      <c r="OZ9" s="262">
        <v>105.46899999999999</v>
      </c>
      <c r="PA9" s="262">
        <v>22.216000000000001</v>
      </c>
      <c r="PB9" s="263">
        <v>3.7474342815988502</v>
      </c>
      <c r="PC9" s="262">
        <v>142.59700000000001</v>
      </c>
      <c r="PD9" s="262">
        <v>325.56599999999997</v>
      </c>
      <c r="PE9" s="263">
        <v>-0.56200278898902201</v>
      </c>
      <c r="PF9" s="262">
        <v>457.10300000000001</v>
      </c>
      <c r="PG9" s="262">
        <v>534.84400000000005</v>
      </c>
      <c r="PH9" s="263">
        <v>-0.14535266358040899</v>
      </c>
      <c r="PI9" s="262">
        <v>7.8259999999999996</v>
      </c>
      <c r="PJ9" s="262">
        <v>29.315999999999999</v>
      </c>
      <c r="PK9" s="263">
        <v>-0.73304680038204395</v>
      </c>
      <c r="PL9" s="262">
        <v>30.411999999999999</v>
      </c>
      <c r="PM9" s="262">
        <v>248.59</v>
      </c>
      <c r="PN9" s="263">
        <v>-0.87766201375759301</v>
      </c>
      <c r="PO9" s="262">
        <v>34.048999999999999</v>
      </c>
      <c r="PP9" s="262">
        <v>258.673</v>
      </c>
      <c r="PQ9" s="263">
        <v>-0.868370490928702</v>
      </c>
      <c r="PR9" s="262">
        <v>58218.540999999997</v>
      </c>
      <c r="PS9" s="262">
        <v>52690.387999999999</v>
      </c>
      <c r="PT9" s="263">
        <v>0.10491767492773101</v>
      </c>
      <c r="PU9" s="262">
        <v>225250.454</v>
      </c>
      <c r="PV9" s="262">
        <v>230745.511</v>
      </c>
      <c r="PW9" s="263">
        <v>-2.3814361441683699E-2</v>
      </c>
      <c r="PX9" s="262">
        <v>408455.61499999999</v>
      </c>
      <c r="PY9" s="262">
        <v>426124.136</v>
      </c>
      <c r="PZ9" s="263">
        <v>-4.1463319036216299E-2</v>
      </c>
      <c r="QA9" s="262">
        <v>17277.45</v>
      </c>
      <c r="QB9" s="262">
        <v>16554.684000000001</v>
      </c>
      <c r="QC9" s="263">
        <v>4.3659305124761003E-2</v>
      </c>
      <c r="QD9" s="262">
        <v>150063.11499999999</v>
      </c>
      <c r="QE9" s="262">
        <v>146919.125</v>
      </c>
      <c r="QF9" s="263">
        <v>2.1399460417423501E-2</v>
      </c>
      <c r="QG9" s="262">
        <v>256922.80499999999</v>
      </c>
      <c r="QH9" s="262">
        <v>264711.80699999997</v>
      </c>
      <c r="QI9" s="264">
        <v>-2.9424460088400901E-2</v>
      </c>
      <c r="QJ9" s="262">
        <v>0</v>
      </c>
      <c r="QK9" s="262">
        <v>0</v>
      </c>
      <c r="QL9" s="263">
        <v>0</v>
      </c>
      <c r="QM9" s="262">
        <v>0</v>
      </c>
      <c r="QN9" s="262">
        <v>0</v>
      </c>
      <c r="QO9" s="263">
        <v>0</v>
      </c>
      <c r="QP9" s="262">
        <v>0</v>
      </c>
      <c r="QQ9" s="262">
        <v>0</v>
      </c>
      <c r="QR9" s="263">
        <v>0</v>
      </c>
      <c r="QS9" s="262">
        <v>3.5369999999999999</v>
      </c>
      <c r="QT9" s="262">
        <v>30.864999999999998</v>
      </c>
      <c r="QU9" s="263">
        <v>-0.88540417949133299</v>
      </c>
      <c r="QV9" s="262">
        <v>146.13399999999999</v>
      </c>
      <c r="QW9" s="262">
        <v>356.43099999999998</v>
      </c>
      <c r="QX9" s="263">
        <v>-0.59000760315460798</v>
      </c>
      <c r="QY9" s="262">
        <v>429.77499999999998</v>
      </c>
      <c r="QZ9" s="262">
        <v>562.17499999999995</v>
      </c>
      <c r="RA9" s="263">
        <v>-0.23551385244808101</v>
      </c>
      <c r="RB9" s="262">
        <v>65.427999999999997</v>
      </c>
      <c r="RC9" s="262">
        <v>2.2639999999999998</v>
      </c>
      <c r="RD9" s="263">
        <v>27.899293286219098</v>
      </c>
      <c r="RE9" s="262">
        <v>95.84</v>
      </c>
      <c r="RF9" s="262">
        <v>250.85400000000001</v>
      </c>
      <c r="RG9" s="263">
        <v>-0.61794509953997201</v>
      </c>
      <c r="RH9" s="262">
        <v>97.212999999999994</v>
      </c>
      <c r="RI9" s="262">
        <v>258.07299999999998</v>
      </c>
      <c r="RJ9" s="263">
        <v>-0.62331200861771696</v>
      </c>
      <c r="RK9" s="262">
        <v>51241.262999999999</v>
      </c>
      <c r="RL9" s="262">
        <v>57984.402000000002</v>
      </c>
      <c r="RM9" s="263">
        <v>-0.116292291847728</v>
      </c>
      <c r="RN9" s="262">
        <v>276491.717</v>
      </c>
      <c r="RO9" s="262">
        <v>288729.913</v>
      </c>
      <c r="RP9" s="263">
        <v>-4.2386311389911301E-2</v>
      </c>
      <c r="RQ9" s="262">
        <v>401712.47600000002</v>
      </c>
      <c r="RR9" s="262">
        <v>430356.902</v>
      </c>
      <c r="RS9" s="263">
        <v>-6.6559699326025901E-2</v>
      </c>
      <c r="RT9" s="262">
        <v>21905.668000000001</v>
      </c>
      <c r="RU9" s="262">
        <v>15849.519</v>
      </c>
      <c r="RV9" s="263">
        <v>0.38210301523976897</v>
      </c>
      <c r="RW9" s="262">
        <v>171968.783</v>
      </c>
      <c r="RX9" s="262">
        <v>162768.644</v>
      </c>
      <c r="RY9" s="263">
        <v>5.65227968600635E-2</v>
      </c>
      <c r="RZ9" s="262">
        <v>262978.95400000003</v>
      </c>
      <c r="SA9" s="262">
        <v>263489.842</v>
      </c>
      <c r="SB9" s="264">
        <v>-1.9389286361937901E-3</v>
      </c>
      <c r="SC9" s="262">
        <v>0</v>
      </c>
      <c r="SD9" s="262">
        <v>0</v>
      </c>
      <c r="SE9" s="263">
        <v>0</v>
      </c>
      <c r="SF9" s="262">
        <v>0</v>
      </c>
      <c r="SG9" s="262">
        <v>0</v>
      </c>
      <c r="SH9" s="263">
        <v>0</v>
      </c>
      <c r="SI9" s="262">
        <v>0</v>
      </c>
      <c r="SJ9" s="262">
        <v>0</v>
      </c>
      <c r="SK9" s="263">
        <v>0</v>
      </c>
      <c r="SL9" s="262">
        <v>16.175999999999998</v>
      </c>
      <c r="SM9" s="262">
        <v>261.90199999999999</v>
      </c>
      <c r="SN9" s="263">
        <v>-0.93823643958427205</v>
      </c>
      <c r="SO9" s="262">
        <v>162.31</v>
      </c>
      <c r="SP9" s="262">
        <v>618.33299999999997</v>
      </c>
      <c r="SQ9" s="263">
        <v>-0.73750390161935397</v>
      </c>
      <c r="SR9" s="262">
        <v>184.04900000000001</v>
      </c>
      <c r="SS9" s="262">
        <v>642.68499999999995</v>
      </c>
      <c r="ST9" s="263">
        <v>-0.71362487065980995</v>
      </c>
      <c r="SU9" s="262">
        <v>5.74</v>
      </c>
      <c r="SV9" s="262">
        <v>1.373</v>
      </c>
      <c r="SW9" s="263">
        <v>3.1806263656227198</v>
      </c>
      <c r="SX9" s="262">
        <v>101.58</v>
      </c>
      <c r="SY9" s="262">
        <v>252.227</v>
      </c>
      <c r="SZ9" s="263">
        <v>-0.59726754074702604</v>
      </c>
      <c r="TA9" s="262">
        <v>101.58</v>
      </c>
      <c r="TB9" s="262">
        <v>257.35399999999998</v>
      </c>
      <c r="TC9" s="263">
        <v>-0.60529076680370197</v>
      </c>
      <c r="TD9" s="262">
        <v>39777.389000000003</v>
      </c>
      <c r="TE9" s="262">
        <v>36627.74</v>
      </c>
      <c r="TF9" s="263">
        <v>8.5990809151752098E-2</v>
      </c>
      <c r="TG9" s="262">
        <v>316269.10600000003</v>
      </c>
      <c r="TH9" s="262">
        <v>325357.65299999999</v>
      </c>
      <c r="TI9" s="263">
        <v>-2.7934019428152299E-2</v>
      </c>
      <c r="TJ9" s="262">
        <v>404862.125</v>
      </c>
      <c r="TK9" s="262">
        <v>417388.31900000002</v>
      </c>
      <c r="TL9" s="263">
        <v>-3.0010887774748699E-2</v>
      </c>
      <c r="TM9" s="262">
        <v>21204.672999999999</v>
      </c>
      <c r="TN9" s="262">
        <v>24502.909</v>
      </c>
      <c r="TO9" s="263">
        <v>-0.13460589516126401</v>
      </c>
      <c r="TP9" s="262">
        <v>193173.45600000001</v>
      </c>
      <c r="TQ9" s="262">
        <v>187271.55300000001</v>
      </c>
      <c r="TR9" s="263">
        <v>3.1515213632045798E-2</v>
      </c>
      <c r="TS9" s="262">
        <v>259680.71799999999</v>
      </c>
      <c r="TT9" s="262">
        <v>269536.788</v>
      </c>
      <c r="TU9" s="264">
        <v>-3.6566696787972398E-2</v>
      </c>
      <c r="TV9" s="262">
        <v>0</v>
      </c>
      <c r="TW9" s="262">
        <v>0</v>
      </c>
      <c r="TX9" s="263">
        <v>0</v>
      </c>
      <c r="TY9" s="262">
        <v>0</v>
      </c>
      <c r="TZ9" s="262">
        <v>0</v>
      </c>
      <c r="UA9" s="263">
        <v>0</v>
      </c>
      <c r="UB9" s="262">
        <v>0</v>
      </c>
      <c r="UC9" s="262">
        <v>0</v>
      </c>
      <c r="UD9" s="263">
        <v>0</v>
      </c>
      <c r="UE9" s="262">
        <v>2</v>
      </c>
      <c r="UF9" s="262">
        <v>21.739000000000001</v>
      </c>
      <c r="UG9" s="263">
        <v>-0.90799944799668797</v>
      </c>
      <c r="UH9" s="262">
        <v>164.31</v>
      </c>
      <c r="UI9" s="262">
        <v>640.072</v>
      </c>
      <c r="UJ9" s="263">
        <v>-0.74329450436825895</v>
      </c>
      <c r="UK9" s="262">
        <v>164.31</v>
      </c>
      <c r="UL9" s="262">
        <v>662.47</v>
      </c>
      <c r="UM9" s="263">
        <v>-0.75197367427959005</v>
      </c>
      <c r="UN9" s="262">
        <v>0.30299999999999999</v>
      </c>
      <c r="UO9" s="262">
        <v>0</v>
      </c>
      <c r="UP9" s="263">
        <v>0</v>
      </c>
      <c r="UQ9" s="262">
        <v>101.883</v>
      </c>
      <c r="UR9" s="262">
        <v>252.227</v>
      </c>
      <c r="US9" s="263">
        <v>-0.59606624191700297</v>
      </c>
      <c r="UT9" s="262">
        <v>101.883</v>
      </c>
      <c r="UU9" s="262">
        <v>255.215</v>
      </c>
      <c r="UV9" s="263">
        <v>-0.60079540779342899</v>
      </c>
      <c r="UW9" s="262">
        <v>39706.627</v>
      </c>
      <c r="UX9" s="262">
        <v>40918.339999999997</v>
      </c>
      <c r="UY9" s="263">
        <v>-2.9612955950803599E-2</v>
      </c>
      <c r="UZ9" s="262">
        <v>355975.73300000001</v>
      </c>
      <c r="VA9" s="262">
        <v>366275.99300000002</v>
      </c>
      <c r="VB9" s="263">
        <v>-2.8121580984970598E-2</v>
      </c>
      <c r="VC9" s="262">
        <v>403650.41200000001</v>
      </c>
      <c r="VD9" s="262">
        <v>413697.81300000002</v>
      </c>
      <c r="VE9" s="263">
        <v>-2.42868119779013E-2</v>
      </c>
      <c r="VF9" s="262">
        <v>24290.401000000002</v>
      </c>
      <c r="VG9" s="262">
        <v>16364.427</v>
      </c>
      <c r="VH9" s="263">
        <v>0.48434167600246603</v>
      </c>
      <c r="VI9" s="262">
        <v>217463.85699999999</v>
      </c>
      <c r="VJ9" s="262">
        <v>203635.98</v>
      </c>
      <c r="VK9" s="263">
        <v>6.7904881052945398E-2</v>
      </c>
      <c r="VL9" s="262">
        <v>267606.69199999998</v>
      </c>
      <c r="VM9" s="262">
        <v>254931.549</v>
      </c>
      <c r="VN9" s="264">
        <v>4.9719789683622E-2</v>
      </c>
    </row>
    <row r="10" spans="1:586">
      <c r="A10" s="268" t="s">
        <v>135</v>
      </c>
      <c r="B10" s="262">
        <v>0</v>
      </c>
      <c r="C10" s="262">
        <v>0</v>
      </c>
      <c r="D10" s="263">
        <v>0</v>
      </c>
      <c r="E10" s="262">
        <v>0</v>
      </c>
      <c r="F10" s="262">
        <v>0</v>
      </c>
      <c r="G10" s="263">
        <v>0</v>
      </c>
      <c r="H10" s="262">
        <v>0</v>
      </c>
      <c r="I10" s="262">
        <v>0</v>
      </c>
      <c r="J10" s="263">
        <v>0</v>
      </c>
      <c r="K10" s="262">
        <v>0</v>
      </c>
      <c r="L10" s="262">
        <v>0</v>
      </c>
      <c r="M10" s="263">
        <v>0</v>
      </c>
      <c r="N10" s="262">
        <v>0</v>
      </c>
      <c r="O10" s="262">
        <v>0</v>
      </c>
      <c r="P10" s="263">
        <v>0</v>
      </c>
      <c r="Q10" s="262">
        <v>0</v>
      </c>
      <c r="R10" s="262">
        <v>0</v>
      </c>
      <c r="S10" s="263">
        <v>0</v>
      </c>
      <c r="T10" s="262">
        <v>0</v>
      </c>
      <c r="U10" s="262">
        <v>0</v>
      </c>
      <c r="V10" s="263">
        <v>0</v>
      </c>
      <c r="W10" s="262">
        <v>0</v>
      </c>
      <c r="X10" s="262">
        <v>0</v>
      </c>
      <c r="Y10" s="263">
        <v>0</v>
      </c>
      <c r="Z10" s="262">
        <v>0</v>
      </c>
      <c r="AA10" s="262">
        <v>0</v>
      </c>
      <c r="AB10" s="263">
        <v>0</v>
      </c>
      <c r="AC10" s="262">
        <v>0</v>
      </c>
      <c r="AD10" s="262">
        <v>0</v>
      </c>
      <c r="AE10" s="263">
        <v>0</v>
      </c>
      <c r="AF10" s="262">
        <v>0</v>
      </c>
      <c r="AG10" s="262">
        <v>0</v>
      </c>
      <c r="AH10" s="263">
        <v>0</v>
      </c>
      <c r="AI10" s="262">
        <v>0</v>
      </c>
      <c r="AJ10" s="262">
        <v>0</v>
      </c>
      <c r="AK10" s="263">
        <v>0</v>
      </c>
      <c r="AL10" s="262">
        <v>89300.012000000002</v>
      </c>
      <c r="AM10" s="262">
        <v>122815.673</v>
      </c>
      <c r="AN10" s="263">
        <v>-0.27289400596290297</v>
      </c>
      <c r="AO10" s="262">
        <v>1016312.002</v>
      </c>
      <c r="AP10" s="262">
        <v>1061264.5830000001</v>
      </c>
      <c r="AQ10" s="263">
        <v>-4.2357562590968102E-2</v>
      </c>
      <c r="AR10" s="262">
        <v>1209942.2860000001</v>
      </c>
      <c r="AS10" s="262">
        <v>1277732.4069999999</v>
      </c>
      <c r="AT10" s="264">
        <v>-5.3055022028567898E-2</v>
      </c>
      <c r="AU10" s="262">
        <v>0</v>
      </c>
      <c r="AV10" s="262">
        <v>0</v>
      </c>
      <c r="AW10" s="263">
        <v>0</v>
      </c>
      <c r="AX10" s="262">
        <v>0</v>
      </c>
      <c r="AY10" s="262">
        <v>0</v>
      </c>
      <c r="AZ10" s="263">
        <v>0</v>
      </c>
      <c r="BA10" s="262">
        <v>0</v>
      </c>
      <c r="BB10" s="262">
        <v>0</v>
      </c>
      <c r="BC10" s="263">
        <v>0</v>
      </c>
      <c r="BD10" s="262">
        <v>0</v>
      </c>
      <c r="BE10" s="262">
        <v>0</v>
      </c>
      <c r="BF10" s="263">
        <v>0</v>
      </c>
      <c r="BG10" s="262">
        <v>0</v>
      </c>
      <c r="BH10" s="262">
        <v>0</v>
      </c>
      <c r="BI10" s="263">
        <v>0</v>
      </c>
      <c r="BJ10" s="262">
        <v>0</v>
      </c>
      <c r="BK10" s="262">
        <v>0</v>
      </c>
      <c r="BL10" s="263">
        <v>0</v>
      </c>
      <c r="BM10" s="262">
        <v>0</v>
      </c>
      <c r="BN10" s="262">
        <v>0</v>
      </c>
      <c r="BO10" s="263">
        <v>0</v>
      </c>
      <c r="BP10" s="262">
        <v>0</v>
      </c>
      <c r="BQ10" s="262">
        <v>0</v>
      </c>
      <c r="BR10" s="263">
        <v>0</v>
      </c>
      <c r="BS10" s="262">
        <v>0</v>
      </c>
      <c r="BT10" s="262">
        <v>0</v>
      </c>
      <c r="BU10" s="263">
        <v>0</v>
      </c>
      <c r="BV10" s="262">
        <v>0</v>
      </c>
      <c r="BW10" s="262">
        <v>0</v>
      </c>
      <c r="BX10" s="263">
        <v>0</v>
      </c>
      <c r="BY10" s="262">
        <v>0</v>
      </c>
      <c r="BZ10" s="262">
        <v>0</v>
      </c>
      <c r="CA10" s="263">
        <v>0</v>
      </c>
      <c r="CB10" s="262">
        <v>0</v>
      </c>
      <c r="CC10" s="262">
        <v>0</v>
      </c>
      <c r="CD10" s="263">
        <v>0</v>
      </c>
      <c r="CE10" s="262">
        <v>91813.716</v>
      </c>
      <c r="CF10" s="262">
        <v>94087.745999999999</v>
      </c>
      <c r="CG10" s="263">
        <v>-2.4169247289652401E-2</v>
      </c>
      <c r="CH10" s="262">
        <v>1108125.7180000001</v>
      </c>
      <c r="CI10" s="262">
        <v>1155352.3289999999</v>
      </c>
      <c r="CJ10" s="263">
        <v>-4.0876371488233497E-2</v>
      </c>
      <c r="CK10" s="262">
        <v>1207668.2560000001</v>
      </c>
      <c r="CL10" s="262">
        <v>1278048.9839999999</v>
      </c>
      <c r="CM10" s="264">
        <v>-5.5068881460023998E-2</v>
      </c>
      <c r="CN10" s="262">
        <v>0</v>
      </c>
      <c r="CO10" s="262">
        <v>0</v>
      </c>
      <c r="CP10" s="263">
        <v>0</v>
      </c>
      <c r="CQ10" s="262">
        <v>0</v>
      </c>
      <c r="CR10" s="262">
        <v>0</v>
      </c>
      <c r="CS10" s="263">
        <v>0</v>
      </c>
      <c r="CT10" s="262">
        <v>0</v>
      </c>
      <c r="CU10" s="262">
        <v>0</v>
      </c>
      <c r="CV10" s="263">
        <v>0</v>
      </c>
      <c r="CW10" s="262">
        <v>0</v>
      </c>
      <c r="CX10" s="262">
        <v>0</v>
      </c>
      <c r="CY10" s="263">
        <v>0</v>
      </c>
      <c r="CZ10" s="262">
        <v>0</v>
      </c>
      <c r="DA10" s="262">
        <v>0</v>
      </c>
      <c r="DB10" s="263">
        <v>0</v>
      </c>
      <c r="DC10" s="262">
        <v>0</v>
      </c>
      <c r="DD10" s="262">
        <v>0</v>
      </c>
      <c r="DE10" s="263">
        <v>0</v>
      </c>
      <c r="DF10" s="262">
        <v>0</v>
      </c>
      <c r="DG10" s="262">
        <v>0</v>
      </c>
      <c r="DH10" s="263">
        <v>0</v>
      </c>
      <c r="DI10" s="262">
        <v>0</v>
      </c>
      <c r="DJ10" s="262">
        <v>0</v>
      </c>
      <c r="DK10" s="263">
        <v>0</v>
      </c>
      <c r="DL10" s="262">
        <v>0</v>
      </c>
      <c r="DM10" s="262">
        <v>0</v>
      </c>
      <c r="DN10" s="263">
        <v>0</v>
      </c>
      <c r="DO10" s="262">
        <v>0</v>
      </c>
      <c r="DP10" s="262">
        <v>0</v>
      </c>
      <c r="DQ10" s="263">
        <v>0</v>
      </c>
      <c r="DR10" s="262">
        <v>0</v>
      </c>
      <c r="DS10" s="262">
        <v>0</v>
      </c>
      <c r="DT10" s="263">
        <v>0</v>
      </c>
      <c r="DU10" s="262">
        <v>0</v>
      </c>
      <c r="DV10" s="262">
        <v>0</v>
      </c>
      <c r="DW10" s="263">
        <v>0</v>
      </c>
      <c r="DX10" s="262">
        <v>71233.320000000007</v>
      </c>
      <c r="DY10" s="262">
        <v>99542.538</v>
      </c>
      <c r="DZ10" s="263">
        <v>-0.28439317068648601</v>
      </c>
      <c r="EA10" s="262">
        <v>1179359.0379999999</v>
      </c>
      <c r="EB10" s="262">
        <v>1254894.8670000001</v>
      </c>
      <c r="EC10" s="263">
        <v>-6.0192953996679399E-2</v>
      </c>
      <c r="ED10" s="262">
        <v>1179359.0379999999</v>
      </c>
      <c r="EE10" s="262">
        <v>1254894.8670000001</v>
      </c>
      <c r="EF10" s="264">
        <v>-6.0192953996679399E-2</v>
      </c>
      <c r="EG10" s="262">
        <v>0</v>
      </c>
      <c r="EH10" s="262">
        <v>0</v>
      </c>
      <c r="EI10" s="263">
        <v>0</v>
      </c>
      <c r="EJ10" s="262">
        <v>0</v>
      </c>
      <c r="EK10" s="262">
        <v>0</v>
      </c>
      <c r="EL10" s="263">
        <v>0</v>
      </c>
      <c r="EM10" s="262">
        <v>0</v>
      </c>
      <c r="EN10" s="262">
        <v>0</v>
      </c>
      <c r="EO10" s="263">
        <v>0</v>
      </c>
      <c r="EP10" s="262">
        <v>0</v>
      </c>
      <c r="EQ10" s="262">
        <v>0</v>
      </c>
      <c r="ER10" s="263">
        <v>0</v>
      </c>
      <c r="ES10" s="262">
        <v>0</v>
      </c>
      <c r="ET10" s="262">
        <v>0</v>
      </c>
      <c r="EU10" s="263">
        <v>0</v>
      </c>
      <c r="EV10" s="262">
        <v>0</v>
      </c>
      <c r="EW10" s="262">
        <v>0</v>
      </c>
      <c r="EX10" s="263">
        <v>0</v>
      </c>
      <c r="EY10" s="262">
        <v>0</v>
      </c>
      <c r="EZ10" s="262">
        <v>0</v>
      </c>
      <c r="FA10" s="263">
        <v>0</v>
      </c>
      <c r="FB10" s="262">
        <v>0</v>
      </c>
      <c r="FC10" s="262">
        <v>0</v>
      </c>
      <c r="FD10" s="263">
        <v>0</v>
      </c>
      <c r="FE10" s="262">
        <v>0</v>
      </c>
      <c r="FF10" s="262">
        <v>0</v>
      </c>
      <c r="FG10" s="263">
        <v>0</v>
      </c>
      <c r="FH10" s="262">
        <v>0</v>
      </c>
      <c r="FI10" s="262">
        <v>0</v>
      </c>
      <c r="FJ10" s="263">
        <v>0</v>
      </c>
      <c r="FK10" s="262">
        <v>0</v>
      </c>
      <c r="FL10" s="262">
        <v>0</v>
      </c>
      <c r="FM10" s="263">
        <v>0</v>
      </c>
      <c r="FN10" s="262">
        <v>0</v>
      </c>
      <c r="FO10" s="262">
        <v>0</v>
      </c>
      <c r="FP10" s="263">
        <v>0</v>
      </c>
      <c r="FQ10" s="262">
        <v>82867.551999999996</v>
      </c>
      <c r="FR10" s="262">
        <v>121758.736</v>
      </c>
      <c r="FS10" s="263">
        <v>-0.31941185723215798</v>
      </c>
      <c r="FT10" s="262">
        <v>82867.551999999996</v>
      </c>
      <c r="FU10" s="262">
        <v>121758.736</v>
      </c>
      <c r="FV10" s="263">
        <v>-0.31941185723215798</v>
      </c>
      <c r="FW10" s="262">
        <v>1140467.8540000001</v>
      </c>
      <c r="FX10" s="262">
        <v>1255513.4210000001</v>
      </c>
      <c r="FY10" s="264">
        <v>-9.1632287696588502E-2</v>
      </c>
      <c r="FZ10" s="262">
        <v>0</v>
      </c>
      <c r="GA10" s="262">
        <v>0</v>
      </c>
      <c r="GB10" s="263">
        <v>0</v>
      </c>
      <c r="GC10" s="262">
        <v>0</v>
      </c>
      <c r="GD10" s="262">
        <v>0</v>
      </c>
      <c r="GE10" s="263">
        <v>0</v>
      </c>
      <c r="GF10" s="262">
        <v>0</v>
      </c>
      <c r="GG10" s="262">
        <v>0</v>
      </c>
      <c r="GH10" s="263">
        <v>0</v>
      </c>
      <c r="GI10" s="262">
        <v>0</v>
      </c>
      <c r="GJ10" s="262">
        <v>0</v>
      </c>
      <c r="GK10" s="263">
        <v>0</v>
      </c>
      <c r="GL10" s="262">
        <v>0</v>
      </c>
      <c r="GM10" s="262">
        <v>0</v>
      </c>
      <c r="GN10" s="263">
        <v>0</v>
      </c>
      <c r="GO10" s="262">
        <v>0</v>
      </c>
      <c r="GP10" s="262">
        <v>0</v>
      </c>
      <c r="GQ10" s="263">
        <v>0</v>
      </c>
      <c r="GR10" s="262">
        <v>0</v>
      </c>
      <c r="GS10" s="262">
        <v>0</v>
      </c>
      <c r="GT10" s="263">
        <v>0</v>
      </c>
      <c r="GU10" s="262">
        <v>0</v>
      </c>
      <c r="GV10" s="262">
        <v>0</v>
      </c>
      <c r="GW10" s="263">
        <v>0</v>
      </c>
      <c r="GX10" s="262">
        <v>0</v>
      </c>
      <c r="GY10" s="262">
        <v>0</v>
      </c>
      <c r="GZ10" s="263">
        <v>0</v>
      </c>
      <c r="HA10" s="262">
        <v>0</v>
      </c>
      <c r="HB10" s="262">
        <v>0</v>
      </c>
      <c r="HC10" s="263">
        <v>0</v>
      </c>
      <c r="HD10" s="262">
        <v>0</v>
      </c>
      <c r="HE10" s="262">
        <v>0</v>
      </c>
      <c r="HF10" s="263">
        <v>0</v>
      </c>
      <c r="HG10" s="262">
        <v>0</v>
      </c>
      <c r="HH10" s="262">
        <v>0</v>
      </c>
      <c r="HI10" s="263">
        <v>0</v>
      </c>
      <c r="HJ10" s="262">
        <v>111333.49800000001</v>
      </c>
      <c r="HK10" s="262">
        <v>103045.916</v>
      </c>
      <c r="HL10" s="263">
        <v>8.0426108299139307E-2</v>
      </c>
      <c r="HM10" s="262">
        <v>194201.05</v>
      </c>
      <c r="HN10" s="262">
        <v>224804.652</v>
      </c>
      <c r="HO10" s="263">
        <v>-0.13613420241855101</v>
      </c>
      <c r="HP10" s="262">
        <v>1148755.436</v>
      </c>
      <c r="HQ10" s="262">
        <v>1237618.477</v>
      </c>
      <c r="HR10" s="264">
        <v>-7.1801643762951006E-2</v>
      </c>
      <c r="HS10" s="262">
        <v>0</v>
      </c>
      <c r="HT10" s="262">
        <v>0</v>
      </c>
      <c r="HU10" s="263">
        <v>0</v>
      </c>
      <c r="HV10" s="262">
        <v>0</v>
      </c>
      <c r="HW10" s="262">
        <v>0</v>
      </c>
      <c r="HX10" s="263">
        <v>0</v>
      </c>
      <c r="HY10" s="262">
        <v>0</v>
      </c>
      <c r="HZ10" s="262">
        <v>0</v>
      </c>
      <c r="IA10" s="263">
        <v>0</v>
      </c>
      <c r="IB10" s="262">
        <v>0</v>
      </c>
      <c r="IC10" s="262">
        <v>0</v>
      </c>
      <c r="ID10" s="263">
        <v>0</v>
      </c>
      <c r="IE10" s="262">
        <v>0</v>
      </c>
      <c r="IF10" s="262">
        <v>0</v>
      </c>
      <c r="IG10" s="263">
        <v>0</v>
      </c>
      <c r="IH10" s="262">
        <v>0</v>
      </c>
      <c r="II10" s="262">
        <v>0</v>
      </c>
      <c r="IJ10" s="263">
        <v>0</v>
      </c>
      <c r="IK10" s="262">
        <v>0</v>
      </c>
      <c r="IL10" s="262">
        <v>0</v>
      </c>
      <c r="IM10" s="263">
        <v>0</v>
      </c>
      <c r="IN10" s="262">
        <v>0</v>
      </c>
      <c r="IO10" s="262">
        <v>0</v>
      </c>
      <c r="IP10" s="263">
        <v>0</v>
      </c>
      <c r="IQ10" s="262">
        <v>0</v>
      </c>
      <c r="IR10" s="262">
        <v>0</v>
      </c>
      <c r="IS10" s="263">
        <v>0</v>
      </c>
      <c r="IT10" s="262">
        <v>0</v>
      </c>
      <c r="IU10" s="262">
        <v>0</v>
      </c>
      <c r="IV10" s="263">
        <v>0</v>
      </c>
      <c r="IW10" s="262">
        <v>0</v>
      </c>
      <c r="IX10" s="262">
        <v>0</v>
      </c>
      <c r="IY10" s="263">
        <v>0</v>
      </c>
      <c r="IZ10" s="262">
        <v>0</v>
      </c>
      <c r="JA10" s="262">
        <v>0</v>
      </c>
      <c r="JB10" s="263">
        <v>0</v>
      </c>
      <c r="JC10" s="262">
        <v>126580.50599999999</v>
      </c>
      <c r="JD10" s="262">
        <v>118985.126</v>
      </c>
      <c r="JE10" s="263">
        <v>6.3834701490335793E-2</v>
      </c>
      <c r="JF10" s="262">
        <v>320781.55599999998</v>
      </c>
      <c r="JG10" s="262">
        <v>343789.77799999999</v>
      </c>
      <c r="JH10" s="263">
        <v>-6.6925265008897394E-2</v>
      </c>
      <c r="JI10" s="262">
        <v>1156350.8160000001</v>
      </c>
      <c r="JJ10" s="262">
        <v>1249637.5149999999</v>
      </c>
      <c r="JK10" s="264">
        <v>-7.4651007096245697E-2</v>
      </c>
      <c r="JL10" s="262">
        <v>0</v>
      </c>
      <c r="JM10" s="262">
        <v>0</v>
      </c>
      <c r="JN10" s="263">
        <v>0</v>
      </c>
      <c r="JO10" s="262">
        <v>0</v>
      </c>
      <c r="JP10" s="262">
        <v>0</v>
      </c>
      <c r="JQ10" s="263">
        <v>0</v>
      </c>
      <c r="JR10" s="262">
        <v>0</v>
      </c>
      <c r="JS10" s="262">
        <v>0</v>
      </c>
      <c r="JT10" s="263">
        <v>0</v>
      </c>
      <c r="JU10" s="262">
        <v>0</v>
      </c>
      <c r="JV10" s="262">
        <v>0</v>
      </c>
      <c r="JW10" s="263">
        <v>0</v>
      </c>
      <c r="JX10" s="262">
        <v>0</v>
      </c>
      <c r="JY10" s="262">
        <v>0</v>
      </c>
      <c r="JZ10" s="263">
        <v>0</v>
      </c>
      <c r="KA10" s="262">
        <v>0</v>
      </c>
      <c r="KB10" s="262">
        <v>0</v>
      </c>
      <c r="KC10" s="263">
        <v>0</v>
      </c>
      <c r="KD10" s="262">
        <v>0</v>
      </c>
      <c r="KE10" s="262">
        <v>0</v>
      </c>
      <c r="KF10" s="263">
        <v>0</v>
      </c>
      <c r="KG10" s="262">
        <v>0</v>
      </c>
      <c r="KH10" s="262">
        <v>0</v>
      </c>
      <c r="KI10" s="263">
        <v>0</v>
      </c>
      <c r="KJ10" s="262">
        <v>0</v>
      </c>
      <c r="KK10" s="262">
        <v>0</v>
      </c>
      <c r="KL10" s="263">
        <v>0</v>
      </c>
      <c r="KM10" s="262">
        <v>0</v>
      </c>
      <c r="KN10" s="262">
        <v>0</v>
      </c>
      <c r="KO10" s="263">
        <v>0</v>
      </c>
      <c r="KP10" s="262">
        <v>0</v>
      </c>
      <c r="KQ10" s="262">
        <v>0</v>
      </c>
      <c r="KR10" s="263">
        <v>0</v>
      </c>
      <c r="KS10" s="262">
        <v>0</v>
      </c>
      <c r="KT10" s="262">
        <v>0</v>
      </c>
      <c r="KU10" s="263">
        <v>0</v>
      </c>
      <c r="KV10" s="262">
        <v>98063.034</v>
      </c>
      <c r="KW10" s="262">
        <v>101478.588</v>
      </c>
      <c r="KX10" s="263">
        <v>-3.3657878645296103E-2</v>
      </c>
      <c r="KY10" s="262">
        <v>418844.59</v>
      </c>
      <c r="KZ10" s="262">
        <v>445268.36599999998</v>
      </c>
      <c r="LA10" s="263">
        <v>-5.9343483655427597E-2</v>
      </c>
      <c r="LB10" s="262">
        <v>1152935.2620000001</v>
      </c>
      <c r="LC10" s="262">
        <v>1258816.7790000001</v>
      </c>
      <c r="LD10" s="264">
        <v>-8.4111936515584004E-2</v>
      </c>
      <c r="LE10" s="262">
        <v>0</v>
      </c>
      <c r="LF10" s="262">
        <v>0</v>
      </c>
      <c r="LG10" s="263">
        <v>0</v>
      </c>
      <c r="LH10" s="262">
        <v>0</v>
      </c>
      <c r="LI10" s="262">
        <v>0</v>
      </c>
      <c r="LJ10" s="263">
        <v>0</v>
      </c>
      <c r="LK10" s="262">
        <v>0</v>
      </c>
      <c r="LL10" s="262">
        <v>0</v>
      </c>
      <c r="LM10" s="263">
        <v>0</v>
      </c>
      <c r="LN10" s="262">
        <v>0</v>
      </c>
      <c r="LO10" s="262">
        <v>0</v>
      </c>
      <c r="LP10" s="263">
        <v>0</v>
      </c>
      <c r="LQ10" s="262">
        <v>0</v>
      </c>
      <c r="LR10" s="262">
        <v>0</v>
      </c>
      <c r="LS10" s="263">
        <v>0</v>
      </c>
      <c r="LT10" s="262">
        <v>0</v>
      </c>
      <c r="LU10" s="262">
        <v>0</v>
      </c>
      <c r="LV10" s="263">
        <v>0</v>
      </c>
      <c r="LW10" s="262">
        <v>0</v>
      </c>
      <c r="LX10" s="262">
        <v>0</v>
      </c>
      <c r="LY10" s="263">
        <v>0</v>
      </c>
      <c r="LZ10" s="262">
        <v>0</v>
      </c>
      <c r="MA10" s="262">
        <v>0</v>
      </c>
      <c r="MB10" s="263">
        <v>0</v>
      </c>
      <c r="MC10" s="262">
        <v>0</v>
      </c>
      <c r="MD10" s="262">
        <v>0</v>
      </c>
      <c r="ME10" s="263">
        <v>0</v>
      </c>
      <c r="MF10" s="262">
        <v>0</v>
      </c>
      <c r="MG10" s="262">
        <v>0</v>
      </c>
      <c r="MH10" s="263">
        <v>0</v>
      </c>
      <c r="MI10" s="262">
        <v>0</v>
      </c>
      <c r="MJ10" s="262">
        <v>0</v>
      </c>
      <c r="MK10" s="263">
        <v>0</v>
      </c>
      <c r="ML10" s="262">
        <v>0</v>
      </c>
      <c r="MM10" s="262">
        <v>0</v>
      </c>
      <c r="MN10" s="263">
        <v>0</v>
      </c>
      <c r="MO10" s="262">
        <v>81823.025999999998</v>
      </c>
      <c r="MP10" s="262">
        <v>109309.982</v>
      </c>
      <c r="MQ10" s="263">
        <v>-0.25145879175060198</v>
      </c>
      <c r="MR10" s="262">
        <v>500667.61599999998</v>
      </c>
      <c r="MS10" s="262">
        <v>554578.348</v>
      </c>
      <c r="MT10" s="263">
        <v>-9.7210307965358997E-2</v>
      </c>
      <c r="MU10" s="262">
        <v>1125448.3060000001</v>
      </c>
      <c r="MV10" s="262">
        <v>1279974.5290000001</v>
      </c>
      <c r="MW10" s="264">
        <v>-0.120726014072113</v>
      </c>
      <c r="MX10" s="262">
        <v>0</v>
      </c>
      <c r="MY10" s="262">
        <v>0</v>
      </c>
      <c r="MZ10" s="263">
        <v>0</v>
      </c>
      <c r="NA10" s="262">
        <v>0</v>
      </c>
      <c r="NB10" s="262">
        <v>0</v>
      </c>
      <c r="NC10" s="263">
        <v>0</v>
      </c>
      <c r="ND10" s="262">
        <v>0</v>
      </c>
      <c r="NE10" s="262">
        <v>0</v>
      </c>
      <c r="NF10" s="263">
        <v>0</v>
      </c>
      <c r="NG10" s="262">
        <v>0</v>
      </c>
      <c r="NH10" s="262">
        <v>0</v>
      </c>
      <c r="NI10" s="263">
        <v>0</v>
      </c>
      <c r="NJ10" s="262">
        <v>0</v>
      </c>
      <c r="NK10" s="262">
        <v>0</v>
      </c>
      <c r="NL10" s="263">
        <v>0</v>
      </c>
      <c r="NM10" s="262">
        <v>0</v>
      </c>
      <c r="NN10" s="262">
        <v>0</v>
      </c>
      <c r="NO10" s="263">
        <v>0</v>
      </c>
      <c r="NP10" s="262">
        <v>0</v>
      </c>
      <c r="NQ10" s="262">
        <v>0</v>
      </c>
      <c r="NR10" s="263">
        <v>0</v>
      </c>
      <c r="NS10" s="262">
        <v>0</v>
      </c>
      <c r="NT10" s="262">
        <v>0</v>
      </c>
      <c r="NU10" s="263">
        <v>0</v>
      </c>
      <c r="NV10" s="262">
        <v>0</v>
      </c>
      <c r="NW10" s="262">
        <v>0</v>
      </c>
      <c r="NX10" s="263">
        <v>0</v>
      </c>
      <c r="NY10" s="262">
        <v>0</v>
      </c>
      <c r="NZ10" s="262">
        <v>0</v>
      </c>
      <c r="OA10" s="263">
        <v>0</v>
      </c>
      <c r="OB10" s="262">
        <v>0</v>
      </c>
      <c r="OC10" s="262">
        <v>0</v>
      </c>
      <c r="OD10" s="263">
        <v>0</v>
      </c>
      <c r="OE10" s="262">
        <v>0</v>
      </c>
      <c r="OF10" s="262">
        <v>0</v>
      </c>
      <c r="OG10" s="263">
        <v>0</v>
      </c>
      <c r="OH10" s="262">
        <v>84304.407999999996</v>
      </c>
      <c r="OI10" s="262">
        <v>82237.212</v>
      </c>
      <c r="OJ10" s="263">
        <v>2.5136990295828599E-2</v>
      </c>
      <c r="OK10" s="262">
        <v>584972.02399999998</v>
      </c>
      <c r="OL10" s="262">
        <v>636815.56000000006</v>
      </c>
      <c r="OM10" s="263">
        <v>-8.1410598698310799E-2</v>
      </c>
      <c r="ON10" s="262">
        <v>1127515.5020000001</v>
      </c>
      <c r="OO10" s="262">
        <v>1273735.9010000001</v>
      </c>
      <c r="OP10" s="264">
        <v>-0.114796480875826</v>
      </c>
      <c r="OQ10" s="262">
        <v>108616.974</v>
      </c>
      <c r="OR10" s="262">
        <v>0</v>
      </c>
      <c r="OS10" s="263">
        <v>0</v>
      </c>
      <c r="OT10" s="262">
        <v>108616.974</v>
      </c>
      <c r="OU10" s="262">
        <v>0</v>
      </c>
      <c r="OV10" s="263">
        <v>0</v>
      </c>
      <c r="OW10" s="262">
        <v>108616.974</v>
      </c>
      <c r="OX10" s="262">
        <v>0</v>
      </c>
      <c r="OY10" s="263">
        <v>0</v>
      </c>
      <c r="OZ10" s="262">
        <v>0</v>
      </c>
      <c r="PA10" s="262">
        <v>0</v>
      </c>
      <c r="PB10" s="263">
        <v>0</v>
      </c>
      <c r="PC10" s="262">
        <v>0</v>
      </c>
      <c r="PD10" s="262">
        <v>0</v>
      </c>
      <c r="PE10" s="263">
        <v>0</v>
      </c>
      <c r="PF10" s="262">
        <v>0</v>
      </c>
      <c r="PG10" s="262">
        <v>0</v>
      </c>
      <c r="PH10" s="263">
        <v>0</v>
      </c>
      <c r="PI10" s="262">
        <v>0</v>
      </c>
      <c r="PJ10" s="262">
        <v>0</v>
      </c>
      <c r="PK10" s="263">
        <v>0</v>
      </c>
      <c r="PL10" s="262">
        <v>0</v>
      </c>
      <c r="PM10" s="262">
        <v>0</v>
      </c>
      <c r="PN10" s="263">
        <v>0</v>
      </c>
      <c r="PO10" s="262">
        <v>0</v>
      </c>
      <c r="PP10" s="262">
        <v>0</v>
      </c>
      <c r="PQ10" s="263">
        <v>0</v>
      </c>
      <c r="PR10" s="262">
        <v>0</v>
      </c>
      <c r="PS10" s="262">
        <v>0</v>
      </c>
      <c r="PT10" s="263">
        <v>0</v>
      </c>
      <c r="PU10" s="262">
        <v>0</v>
      </c>
      <c r="PV10" s="262">
        <v>0</v>
      </c>
      <c r="PW10" s="263">
        <v>0</v>
      </c>
      <c r="PX10" s="262">
        <v>0</v>
      </c>
      <c r="PY10" s="262">
        <v>0</v>
      </c>
      <c r="PZ10" s="263">
        <v>0</v>
      </c>
      <c r="QA10" s="262">
        <v>97386.710999999996</v>
      </c>
      <c r="QB10" s="262">
        <v>108818.31600000001</v>
      </c>
      <c r="QC10" s="263">
        <v>-0.10505221382032801</v>
      </c>
      <c r="QD10" s="262">
        <v>682358.73499999999</v>
      </c>
      <c r="QE10" s="262">
        <v>745633.87600000005</v>
      </c>
      <c r="QF10" s="263">
        <v>-8.4860872120568795E-2</v>
      </c>
      <c r="QG10" s="262">
        <v>1116083.8970000001</v>
      </c>
      <c r="QH10" s="262">
        <v>1278657.0430000001</v>
      </c>
      <c r="QI10" s="264">
        <v>-0.12714366756121601</v>
      </c>
      <c r="QJ10" s="262">
        <v>164265.69699999999</v>
      </c>
      <c r="QK10" s="262">
        <v>0</v>
      </c>
      <c r="QL10" s="263">
        <v>0</v>
      </c>
      <c r="QM10" s="262">
        <v>272882.67099999997</v>
      </c>
      <c r="QN10" s="262">
        <v>0</v>
      </c>
      <c r="QO10" s="263">
        <v>0</v>
      </c>
      <c r="QP10" s="262">
        <v>272882.67099999997</v>
      </c>
      <c r="QQ10" s="262">
        <v>0</v>
      </c>
      <c r="QR10" s="263">
        <v>0</v>
      </c>
      <c r="QS10" s="262">
        <v>0</v>
      </c>
      <c r="QT10" s="262">
        <v>0</v>
      </c>
      <c r="QU10" s="263">
        <v>0</v>
      </c>
      <c r="QV10" s="262">
        <v>0</v>
      </c>
      <c r="QW10" s="262">
        <v>0</v>
      </c>
      <c r="QX10" s="263">
        <v>0</v>
      </c>
      <c r="QY10" s="262">
        <v>0</v>
      </c>
      <c r="QZ10" s="262">
        <v>0</v>
      </c>
      <c r="RA10" s="263">
        <v>0</v>
      </c>
      <c r="RB10" s="262">
        <v>0</v>
      </c>
      <c r="RC10" s="262">
        <v>0</v>
      </c>
      <c r="RD10" s="263">
        <v>0</v>
      </c>
      <c r="RE10" s="262">
        <v>0</v>
      </c>
      <c r="RF10" s="262">
        <v>0</v>
      </c>
      <c r="RG10" s="263">
        <v>0</v>
      </c>
      <c r="RH10" s="262">
        <v>0</v>
      </c>
      <c r="RI10" s="262">
        <v>0</v>
      </c>
      <c r="RJ10" s="263">
        <v>0</v>
      </c>
      <c r="RK10" s="262">
        <v>0</v>
      </c>
      <c r="RL10" s="262">
        <v>0</v>
      </c>
      <c r="RM10" s="263">
        <v>0</v>
      </c>
      <c r="RN10" s="262">
        <v>0</v>
      </c>
      <c r="RO10" s="262">
        <v>0</v>
      </c>
      <c r="RP10" s="263">
        <v>0</v>
      </c>
      <c r="RQ10" s="262">
        <v>0</v>
      </c>
      <c r="RR10" s="262">
        <v>0</v>
      </c>
      <c r="RS10" s="263">
        <v>0</v>
      </c>
      <c r="RT10" s="262">
        <v>100206.50599999999</v>
      </c>
      <c r="RU10" s="262">
        <v>104478.976</v>
      </c>
      <c r="RV10" s="263">
        <v>-4.0893107528159597E-2</v>
      </c>
      <c r="RW10" s="262">
        <v>782565.24100000004</v>
      </c>
      <c r="RX10" s="262">
        <v>850112.85199999996</v>
      </c>
      <c r="RY10" s="263">
        <v>-7.9457228344549297E-2</v>
      </c>
      <c r="RZ10" s="262">
        <v>1111811.4269999999</v>
      </c>
      <c r="SA10" s="262">
        <v>1274881.963</v>
      </c>
      <c r="SB10" s="264">
        <v>-0.12791030129273201</v>
      </c>
      <c r="SC10" s="262">
        <v>185059.53700000001</v>
      </c>
      <c r="SD10" s="262">
        <v>0</v>
      </c>
      <c r="SE10" s="263">
        <v>0</v>
      </c>
      <c r="SF10" s="262">
        <v>457942.20799999998</v>
      </c>
      <c r="SG10" s="262">
        <v>0</v>
      </c>
      <c r="SH10" s="263">
        <v>0</v>
      </c>
      <c r="SI10" s="262">
        <v>457942.20799999998</v>
      </c>
      <c r="SJ10" s="262">
        <v>0</v>
      </c>
      <c r="SK10" s="263">
        <v>0</v>
      </c>
      <c r="SL10" s="262">
        <v>0</v>
      </c>
      <c r="SM10" s="262">
        <v>0</v>
      </c>
      <c r="SN10" s="263">
        <v>0</v>
      </c>
      <c r="SO10" s="262">
        <v>0</v>
      </c>
      <c r="SP10" s="262">
        <v>0</v>
      </c>
      <c r="SQ10" s="263">
        <v>0</v>
      </c>
      <c r="SR10" s="262">
        <v>0</v>
      </c>
      <c r="SS10" s="262">
        <v>0</v>
      </c>
      <c r="ST10" s="263">
        <v>0</v>
      </c>
      <c r="SU10" s="262">
        <v>0</v>
      </c>
      <c r="SV10" s="262">
        <v>0</v>
      </c>
      <c r="SW10" s="263">
        <v>0</v>
      </c>
      <c r="SX10" s="262">
        <v>0</v>
      </c>
      <c r="SY10" s="262">
        <v>0</v>
      </c>
      <c r="SZ10" s="263">
        <v>0</v>
      </c>
      <c r="TA10" s="262">
        <v>0</v>
      </c>
      <c r="TB10" s="262">
        <v>0</v>
      </c>
      <c r="TC10" s="263">
        <v>0</v>
      </c>
      <c r="TD10" s="262">
        <v>0</v>
      </c>
      <c r="TE10" s="262">
        <v>0</v>
      </c>
      <c r="TF10" s="263">
        <v>0</v>
      </c>
      <c r="TG10" s="262">
        <v>0</v>
      </c>
      <c r="TH10" s="262">
        <v>0</v>
      </c>
      <c r="TI10" s="263">
        <v>0</v>
      </c>
      <c r="TJ10" s="262">
        <v>0</v>
      </c>
      <c r="TK10" s="262">
        <v>0</v>
      </c>
      <c r="TL10" s="263">
        <v>0</v>
      </c>
      <c r="TM10" s="262">
        <v>99346.721000000005</v>
      </c>
      <c r="TN10" s="262">
        <v>76899.138000000006</v>
      </c>
      <c r="TO10" s="263">
        <v>0.291909422963883</v>
      </c>
      <c r="TP10" s="262">
        <v>881911.96200000006</v>
      </c>
      <c r="TQ10" s="262">
        <v>927011.99</v>
      </c>
      <c r="TR10" s="263">
        <v>-4.8650965129372302E-2</v>
      </c>
      <c r="TS10" s="262">
        <v>1134259.01</v>
      </c>
      <c r="TT10" s="262">
        <v>1243457.9469999999</v>
      </c>
      <c r="TU10" s="264">
        <v>-8.78187615941948E-2</v>
      </c>
      <c r="TV10" s="262">
        <v>208338.96799999999</v>
      </c>
      <c r="TW10" s="262">
        <v>0</v>
      </c>
      <c r="TX10" s="263">
        <v>0</v>
      </c>
      <c r="TY10" s="262">
        <v>666281.17599999998</v>
      </c>
      <c r="TZ10" s="262">
        <v>0</v>
      </c>
      <c r="UA10" s="263">
        <v>0</v>
      </c>
      <c r="UB10" s="262">
        <v>666281.17599999998</v>
      </c>
      <c r="UC10" s="262">
        <v>0</v>
      </c>
      <c r="UD10" s="263">
        <v>0</v>
      </c>
      <c r="UE10" s="262">
        <v>0</v>
      </c>
      <c r="UF10" s="262">
        <v>0</v>
      </c>
      <c r="UG10" s="263">
        <v>0</v>
      </c>
      <c r="UH10" s="262">
        <v>0</v>
      </c>
      <c r="UI10" s="262">
        <v>0</v>
      </c>
      <c r="UJ10" s="263">
        <v>0</v>
      </c>
      <c r="UK10" s="262">
        <v>0</v>
      </c>
      <c r="UL10" s="262">
        <v>0</v>
      </c>
      <c r="UM10" s="263">
        <v>0</v>
      </c>
      <c r="UN10" s="262">
        <v>0</v>
      </c>
      <c r="UO10" s="262">
        <v>0</v>
      </c>
      <c r="UP10" s="263">
        <v>0</v>
      </c>
      <c r="UQ10" s="262">
        <v>0</v>
      </c>
      <c r="UR10" s="262">
        <v>0</v>
      </c>
      <c r="US10" s="263">
        <v>0</v>
      </c>
      <c r="UT10" s="262">
        <v>0</v>
      </c>
      <c r="UU10" s="262">
        <v>0</v>
      </c>
      <c r="UV10" s="263">
        <v>0</v>
      </c>
      <c r="UW10" s="262">
        <v>0</v>
      </c>
      <c r="UX10" s="262">
        <v>0</v>
      </c>
      <c r="UY10" s="263">
        <v>0</v>
      </c>
      <c r="UZ10" s="262">
        <v>0</v>
      </c>
      <c r="VA10" s="262">
        <v>0</v>
      </c>
      <c r="VB10" s="263">
        <v>0</v>
      </c>
      <c r="VC10" s="262">
        <v>0</v>
      </c>
      <c r="VD10" s="262">
        <v>0</v>
      </c>
      <c r="VE10" s="263">
        <v>0</v>
      </c>
      <c r="VF10" s="262">
        <v>116006.56299999999</v>
      </c>
      <c r="VG10" s="262">
        <v>89300.012000000002</v>
      </c>
      <c r="VH10" s="263">
        <v>0.29906548052871501</v>
      </c>
      <c r="VI10" s="262">
        <v>997918.52500000002</v>
      </c>
      <c r="VJ10" s="262">
        <v>1016312.002</v>
      </c>
      <c r="VK10" s="263">
        <v>-1.8098258176429498E-2</v>
      </c>
      <c r="VL10" s="262">
        <v>1160965.561</v>
      </c>
      <c r="VM10" s="262">
        <v>1209942.2860000001</v>
      </c>
      <c r="VN10" s="264">
        <v>-4.0478562958498103E-2</v>
      </c>
    </row>
    <row r="11" spans="1:586">
      <c r="A11" s="268" t="s">
        <v>230</v>
      </c>
      <c r="B11" s="262"/>
      <c r="C11" s="262"/>
      <c r="D11" s="263"/>
      <c r="E11" s="262"/>
      <c r="F11" s="262"/>
      <c r="G11" s="263"/>
      <c r="H11" s="262"/>
      <c r="I11" s="262"/>
      <c r="J11" s="263"/>
      <c r="K11" s="262"/>
      <c r="L11" s="262"/>
      <c r="M11" s="263"/>
      <c r="N11" s="262"/>
      <c r="O11" s="262"/>
      <c r="P11" s="263"/>
      <c r="Q11" s="262"/>
      <c r="R11" s="262"/>
      <c r="S11" s="263"/>
      <c r="T11" s="262"/>
      <c r="U11" s="262"/>
      <c r="V11" s="263"/>
      <c r="W11" s="262"/>
      <c r="X11" s="262"/>
      <c r="Y11" s="263"/>
      <c r="Z11" s="262"/>
      <c r="AA11" s="262"/>
      <c r="AB11" s="263"/>
      <c r="AC11" s="262"/>
      <c r="AD11" s="262"/>
      <c r="AE11" s="263"/>
      <c r="AF11" s="262"/>
      <c r="AG11" s="262"/>
      <c r="AH11" s="263"/>
      <c r="AI11" s="262"/>
      <c r="AJ11" s="262"/>
      <c r="AK11" s="263"/>
      <c r="AL11" s="262"/>
      <c r="AM11" s="262"/>
      <c r="AN11" s="263"/>
      <c r="AO11" s="262"/>
      <c r="AP11" s="262"/>
      <c r="AQ11" s="263"/>
      <c r="AR11" s="262"/>
      <c r="AS11" s="262"/>
      <c r="AT11" s="264"/>
      <c r="AU11" s="262"/>
      <c r="AV11" s="262"/>
      <c r="AW11" s="263"/>
      <c r="AX11" s="262"/>
      <c r="AY11" s="262"/>
      <c r="AZ11" s="263"/>
      <c r="BA11" s="262"/>
      <c r="BB11" s="262"/>
      <c r="BC11" s="263"/>
      <c r="BD11" s="262"/>
      <c r="BE11" s="262"/>
      <c r="BF11" s="263"/>
      <c r="BG11" s="262"/>
      <c r="BH11" s="262"/>
      <c r="BI11" s="263"/>
      <c r="BJ11" s="262"/>
      <c r="BK11" s="262"/>
      <c r="BL11" s="263"/>
      <c r="BM11" s="262"/>
      <c r="BN11" s="262"/>
      <c r="BO11" s="263"/>
      <c r="BP11" s="262"/>
      <c r="BQ11" s="262"/>
      <c r="BR11" s="263"/>
      <c r="BS11" s="262"/>
      <c r="BT11" s="262"/>
      <c r="BU11" s="263"/>
      <c r="BV11" s="262"/>
      <c r="BW11" s="262"/>
      <c r="BX11" s="263"/>
      <c r="BY11" s="262"/>
      <c r="BZ11" s="262"/>
      <c r="CA11" s="263"/>
      <c r="CB11" s="262"/>
      <c r="CC11" s="262"/>
      <c r="CD11" s="263"/>
      <c r="CE11" s="262"/>
      <c r="CF11" s="262"/>
      <c r="CG11" s="263"/>
      <c r="CH11" s="262"/>
      <c r="CI11" s="262"/>
      <c r="CJ11" s="263"/>
      <c r="CK11" s="262"/>
      <c r="CL11" s="262"/>
      <c r="CM11" s="264"/>
      <c r="CN11" s="262"/>
      <c r="CO11" s="262"/>
      <c r="CP11" s="263"/>
      <c r="CQ11" s="262"/>
      <c r="CR11" s="262"/>
      <c r="CS11" s="263"/>
      <c r="CT11" s="262"/>
      <c r="CU11" s="262"/>
      <c r="CV11" s="263"/>
      <c r="CW11" s="262"/>
      <c r="CX11" s="262"/>
      <c r="CY11" s="263"/>
      <c r="CZ11" s="262"/>
      <c r="DA11" s="262"/>
      <c r="DB11" s="263"/>
      <c r="DC11" s="262"/>
      <c r="DD11" s="262"/>
      <c r="DE11" s="263"/>
      <c r="DF11" s="262"/>
      <c r="DG11" s="262"/>
      <c r="DH11" s="263"/>
      <c r="DI11" s="262"/>
      <c r="DJ11" s="262"/>
      <c r="DK11" s="263"/>
      <c r="DL11" s="262"/>
      <c r="DM11" s="262"/>
      <c r="DN11" s="263"/>
      <c r="DO11" s="262"/>
      <c r="DP11" s="262"/>
      <c r="DQ11" s="263"/>
      <c r="DR11" s="262"/>
      <c r="DS11" s="262"/>
      <c r="DT11" s="263"/>
      <c r="DU11" s="262"/>
      <c r="DV11" s="262"/>
      <c r="DW11" s="263"/>
      <c r="DX11" s="262"/>
      <c r="DY11" s="262"/>
      <c r="DZ11" s="263"/>
      <c r="EA11" s="262"/>
      <c r="EB11" s="262"/>
      <c r="EC11" s="263"/>
      <c r="ED11" s="262"/>
      <c r="EE11" s="262"/>
      <c r="EF11" s="264"/>
      <c r="EG11" s="262"/>
      <c r="EH11" s="262"/>
      <c r="EI11" s="263"/>
      <c r="EJ11" s="262"/>
      <c r="EK11" s="262"/>
      <c r="EL11" s="263"/>
      <c r="EM11" s="262"/>
      <c r="EN11" s="262"/>
      <c r="EO11" s="263"/>
      <c r="EP11" s="262"/>
      <c r="EQ11" s="262"/>
      <c r="ER11" s="263"/>
      <c r="ES11" s="262"/>
      <c r="ET11" s="262"/>
      <c r="EU11" s="263"/>
      <c r="EV11" s="262"/>
      <c r="EW11" s="262"/>
      <c r="EX11" s="263"/>
      <c r="EY11" s="262"/>
      <c r="EZ11" s="262"/>
      <c r="FA11" s="263"/>
      <c r="FB11" s="262"/>
      <c r="FC11" s="262"/>
      <c r="FD11" s="263"/>
      <c r="FE11" s="262"/>
      <c r="FF11" s="262"/>
      <c r="FG11" s="263"/>
      <c r="FH11" s="262"/>
      <c r="FI11" s="262"/>
      <c r="FJ11" s="263"/>
      <c r="FK11" s="262"/>
      <c r="FL11" s="262"/>
      <c r="FM11" s="263"/>
      <c r="FN11" s="262"/>
      <c r="FO11" s="262"/>
      <c r="FP11" s="263"/>
      <c r="FQ11" s="262"/>
      <c r="FR11" s="262"/>
      <c r="FS11" s="263"/>
      <c r="FT11" s="262"/>
      <c r="FU11" s="262"/>
      <c r="FV11" s="263"/>
      <c r="FW11" s="262"/>
      <c r="FX11" s="262"/>
      <c r="FY11" s="264"/>
      <c r="FZ11" s="262"/>
      <c r="GA11" s="262"/>
      <c r="GB11" s="263"/>
      <c r="GC11" s="262"/>
      <c r="GD11" s="262"/>
      <c r="GE11" s="263"/>
      <c r="GF11" s="262"/>
      <c r="GG11" s="262"/>
      <c r="GH11" s="263"/>
      <c r="GI11" s="262"/>
      <c r="GJ11" s="262"/>
      <c r="GK11" s="263"/>
      <c r="GL11" s="262"/>
      <c r="GM11" s="262"/>
      <c r="GN11" s="263"/>
      <c r="GO11" s="262"/>
      <c r="GP11" s="262"/>
      <c r="GQ11" s="263"/>
      <c r="GR11" s="262"/>
      <c r="GS11" s="262"/>
      <c r="GT11" s="263"/>
      <c r="GU11" s="262"/>
      <c r="GV11" s="262"/>
      <c r="GW11" s="263"/>
      <c r="GX11" s="262"/>
      <c r="GY11" s="262"/>
      <c r="GZ11" s="263"/>
      <c r="HA11" s="262"/>
      <c r="HB11" s="262"/>
      <c r="HC11" s="263"/>
      <c r="HD11" s="262"/>
      <c r="HE11" s="262"/>
      <c r="HF11" s="263"/>
      <c r="HG11" s="262"/>
      <c r="HH11" s="262"/>
      <c r="HI11" s="263"/>
      <c r="HJ11" s="262"/>
      <c r="HK11" s="262"/>
      <c r="HL11" s="263"/>
      <c r="HM11" s="262"/>
      <c r="HN11" s="262"/>
      <c r="HO11" s="263"/>
      <c r="HP11" s="262"/>
      <c r="HQ11" s="262"/>
      <c r="HR11" s="264"/>
      <c r="HS11" s="262"/>
      <c r="HT11" s="262"/>
      <c r="HU11" s="263"/>
      <c r="HV11" s="262"/>
      <c r="HW11" s="262"/>
      <c r="HX11" s="263"/>
      <c r="HY11" s="262"/>
      <c r="HZ11" s="262"/>
      <c r="IA11" s="263"/>
      <c r="IB11" s="262"/>
      <c r="IC11" s="262"/>
      <c r="ID11" s="263"/>
      <c r="IE11" s="262"/>
      <c r="IF11" s="262"/>
      <c r="IG11" s="263"/>
      <c r="IH11" s="262"/>
      <c r="II11" s="262"/>
      <c r="IJ11" s="263"/>
      <c r="IK11" s="262"/>
      <c r="IL11" s="262"/>
      <c r="IM11" s="263"/>
      <c r="IN11" s="262"/>
      <c r="IO11" s="262"/>
      <c r="IP11" s="263"/>
      <c r="IQ11" s="262"/>
      <c r="IR11" s="262"/>
      <c r="IS11" s="263"/>
      <c r="IT11" s="262"/>
      <c r="IU11" s="262"/>
      <c r="IV11" s="263"/>
      <c r="IW11" s="262"/>
      <c r="IX11" s="262"/>
      <c r="IY11" s="263"/>
      <c r="IZ11" s="262"/>
      <c r="JA11" s="262"/>
      <c r="JB11" s="263"/>
      <c r="JC11" s="262"/>
      <c r="JD11" s="262"/>
      <c r="JE11" s="263"/>
      <c r="JF11" s="262"/>
      <c r="JG11" s="262"/>
      <c r="JH11" s="263"/>
      <c r="JI11" s="262"/>
      <c r="JJ11" s="262"/>
      <c r="JK11" s="264"/>
      <c r="JL11" s="262"/>
      <c r="JM11" s="262"/>
      <c r="JN11" s="263"/>
      <c r="JO11" s="262"/>
      <c r="JP11" s="262"/>
      <c r="JQ11" s="263"/>
      <c r="JR11" s="262"/>
      <c r="JS11" s="262"/>
      <c r="JT11" s="263"/>
      <c r="JU11" s="262"/>
      <c r="JV11" s="262"/>
      <c r="JW11" s="263"/>
      <c r="JX11" s="262"/>
      <c r="JY11" s="262"/>
      <c r="JZ11" s="263"/>
      <c r="KA11" s="262"/>
      <c r="KB11" s="262"/>
      <c r="KC11" s="263"/>
      <c r="KD11" s="262"/>
      <c r="KE11" s="262"/>
      <c r="KF11" s="263"/>
      <c r="KG11" s="262"/>
      <c r="KH11" s="262"/>
      <c r="KI11" s="263"/>
      <c r="KJ11" s="262"/>
      <c r="KK11" s="262"/>
      <c r="KL11" s="263"/>
      <c r="KM11" s="262"/>
      <c r="KN11" s="262"/>
      <c r="KO11" s="263"/>
      <c r="KP11" s="262"/>
      <c r="KQ11" s="262"/>
      <c r="KR11" s="263"/>
      <c r="KS11" s="262"/>
      <c r="KT11" s="262"/>
      <c r="KU11" s="263"/>
      <c r="KV11" s="262"/>
      <c r="KW11" s="262"/>
      <c r="KX11" s="263"/>
      <c r="KY11" s="262"/>
      <c r="KZ11" s="262"/>
      <c r="LA11" s="263"/>
      <c r="LB11" s="262"/>
      <c r="LC11" s="262"/>
      <c r="LD11" s="264"/>
      <c r="LE11" s="262">
        <v>0</v>
      </c>
      <c r="LF11" s="262">
        <v>0</v>
      </c>
      <c r="LG11" s="263">
        <v>0</v>
      </c>
      <c r="LH11" s="262">
        <v>0</v>
      </c>
      <c r="LI11" s="262">
        <v>0</v>
      </c>
      <c r="LJ11" s="263">
        <v>0</v>
      </c>
      <c r="LK11" s="262">
        <v>0</v>
      </c>
      <c r="LL11" s="262">
        <v>0</v>
      </c>
      <c r="LM11" s="263">
        <v>0</v>
      </c>
      <c r="LN11" s="262">
        <v>0</v>
      </c>
      <c r="LO11" s="262">
        <v>0</v>
      </c>
      <c r="LP11" s="263">
        <v>0</v>
      </c>
      <c r="LQ11" s="262">
        <v>0</v>
      </c>
      <c r="LR11" s="262">
        <v>0</v>
      </c>
      <c r="LS11" s="263">
        <v>0</v>
      </c>
      <c r="LT11" s="262">
        <v>0</v>
      </c>
      <c r="LU11" s="262">
        <v>0</v>
      </c>
      <c r="LV11" s="263">
        <v>0</v>
      </c>
      <c r="LW11" s="262">
        <v>0</v>
      </c>
      <c r="LX11" s="262">
        <v>0</v>
      </c>
      <c r="LY11" s="263">
        <v>0</v>
      </c>
      <c r="LZ11" s="262">
        <v>0</v>
      </c>
      <c r="MA11" s="262">
        <v>0</v>
      </c>
      <c r="MB11" s="263">
        <v>0</v>
      </c>
      <c r="MC11" s="262">
        <v>0</v>
      </c>
      <c r="MD11" s="262">
        <v>0</v>
      </c>
      <c r="ME11" s="263">
        <v>0</v>
      </c>
      <c r="MF11" s="262">
        <v>0</v>
      </c>
      <c r="MG11" s="262">
        <v>0</v>
      </c>
      <c r="MH11" s="263">
        <v>0</v>
      </c>
      <c r="MI11" s="262">
        <v>0</v>
      </c>
      <c r="MJ11" s="262">
        <v>0</v>
      </c>
      <c r="MK11" s="263">
        <v>0</v>
      </c>
      <c r="ML11" s="262">
        <v>0</v>
      </c>
      <c r="MM11" s="262">
        <v>0</v>
      </c>
      <c r="MN11" s="263">
        <v>0</v>
      </c>
      <c r="MO11" s="262">
        <v>0</v>
      </c>
      <c r="MP11" s="262">
        <v>0</v>
      </c>
      <c r="MQ11" s="263">
        <v>0</v>
      </c>
      <c r="MR11" s="262">
        <v>0</v>
      </c>
      <c r="MS11" s="262">
        <v>0</v>
      </c>
      <c r="MT11" s="263">
        <v>0</v>
      </c>
      <c r="MU11" s="262">
        <v>0</v>
      </c>
      <c r="MV11" s="262">
        <v>0</v>
      </c>
      <c r="MW11" s="264">
        <v>0</v>
      </c>
      <c r="MX11" s="262">
        <v>0</v>
      </c>
      <c r="MY11" s="262">
        <v>0</v>
      </c>
      <c r="MZ11" s="263">
        <v>0</v>
      </c>
      <c r="NA11" s="262">
        <v>0</v>
      </c>
      <c r="NB11" s="262">
        <v>0</v>
      </c>
      <c r="NC11" s="263">
        <v>0</v>
      </c>
      <c r="ND11" s="262">
        <v>0</v>
      </c>
      <c r="NE11" s="262">
        <v>0</v>
      </c>
      <c r="NF11" s="263">
        <v>0</v>
      </c>
      <c r="NG11" s="262">
        <v>0</v>
      </c>
      <c r="NH11" s="262">
        <v>0</v>
      </c>
      <c r="NI11" s="263">
        <v>0</v>
      </c>
      <c r="NJ11" s="262">
        <v>0</v>
      </c>
      <c r="NK11" s="262">
        <v>0</v>
      </c>
      <c r="NL11" s="263">
        <v>0</v>
      </c>
      <c r="NM11" s="262">
        <v>0</v>
      </c>
      <c r="NN11" s="262">
        <v>0</v>
      </c>
      <c r="NO11" s="263">
        <v>0</v>
      </c>
      <c r="NP11" s="262">
        <v>0</v>
      </c>
      <c r="NQ11" s="262">
        <v>0</v>
      </c>
      <c r="NR11" s="263">
        <v>0</v>
      </c>
      <c r="NS11" s="262">
        <v>0</v>
      </c>
      <c r="NT11" s="262">
        <v>0</v>
      </c>
      <c r="NU11" s="263">
        <v>0</v>
      </c>
      <c r="NV11" s="262">
        <v>0</v>
      </c>
      <c r="NW11" s="262">
        <v>0</v>
      </c>
      <c r="NX11" s="263">
        <v>0</v>
      </c>
      <c r="NY11" s="262">
        <v>0</v>
      </c>
      <c r="NZ11" s="262">
        <v>0</v>
      </c>
      <c r="OA11" s="263">
        <v>0</v>
      </c>
      <c r="OB11" s="262">
        <v>0</v>
      </c>
      <c r="OC11" s="262">
        <v>0</v>
      </c>
      <c r="OD11" s="263">
        <v>0</v>
      </c>
      <c r="OE11" s="262">
        <v>0</v>
      </c>
      <c r="OF11" s="262">
        <v>0</v>
      </c>
      <c r="OG11" s="263">
        <v>0</v>
      </c>
      <c r="OH11" s="262">
        <v>0</v>
      </c>
      <c r="OI11" s="262">
        <v>0</v>
      </c>
      <c r="OJ11" s="263">
        <v>0</v>
      </c>
      <c r="OK11" s="262">
        <v>0</v>
      </c>
      <c r="OL11" s="262">
        <v>0</v>
      </c>
      <c r="OM11" s="263">
        <v>0</v>
      </c>
      <c r="ON11" s="262">
        <v>0</v>
      </c>
      <c r="OO11" s="262">
        <v>0</v>
      </c>
      <c r="OP11" s="264">
        <v>0</v>
      </c>
      <c r="OQ11" s="262">
        <v>0</v>
      </c>
      <c r="OR11" s="262">
        <v>0</v>
      </c>
      <c r="OS11" s="263">
        <v>0</v>
      </c>
      <c r="OT11" s="262">
        <v>0</v>
      </c>
      <c r="OU11" s="262">
        <v>0</v>
      </c>
      <c r="OV11" s="263">
        <v>0</v>
      </c>
      <c r="OW11" s="262">
        <v>0</v>
      </c>
      <c r="OX11" s="262">
        <v>0</v>
      </c>
      <c r="OY11" s="263">
        <v>0</v>
      </c>
      <c r="OZ11" s="262">
        <v>0</v>
      </c>
      <c r="PA11" s="262">
        <v>0</v>
      </c>
      <c r="PB11" s="263">
        <v>0</v>
      </c>
      <c r="PC11" s="262">
        <v>0</v>
      </c>
      <c r="PD11" s="262">
        <v>0</v>
      </c>
      <c r="PE11" s="263">
        <v>0</v>
      </c>
      <c r="PF11" s="262">
        <v>0</v>
      </c>
      <c r="PG11" s="262">
        <v>0</v>
      </c>
      <c r="PH11" s="263">
        <v>0</v>
      </c>
      <c r="PI11" s="262">
        <v>0</v>
      </c>
      <c r="PJ11" s="262">
        <v>0</v>
      </c>
      <c r="PK11" s="263">
        <v>0</v>
      </c>
      <c r="PL11" s="262">
        <v>0</v>
      </c>
      <c r="PM11" s="262">
        <v>0</v>
      </c>
      <c r="PN11" s="263">
        <v>0</v>
      </c>
      <c r="PO11" s="262">
        <v>0</v>
      </c>
      <c r="PP11" s="262">
        <v>0</v>
      </c>
      <c r="PQ11" s="263">
        <v>0</v>
      </c>
      <c r="PR11" s="262">
        <v>0</v>
      </c>
      <c r="PS11" s="262">
        <v>0</v>
      </c>
      <c r="PT11" s="263">
        <v>0</v>
      </c>
      <c r="PU11" s="262">
        <v>0</v>
      </c>
      <c r="PV11" s="262">
        <v>0</v>
      </c>
      <c r="PW11" s="263">
        <v>0</v>
      </c>
      <c r="PX11" s="262">
        <v>0</v>
      </c>
      <c r="PY11" s="262">
        <v>0</v>
      </c>
      <c r="PZ11" s="263">
        <v>0</v>
      </c>
      <c r="QA11" s="262">
        <v>0</v>
      </c>
      <c r="QB11" s="262">
        <v>0</v>
      </c>
      <c r="QC11" s="263">
        <v>0</v>
      </c>
      <c r="QD11" s="262">
        <v>0</v>
      </c>
      <c r="QE11" s="262">
        <v>0</v>
      </c>
      <c r="QF11" s="263">
        <v>0</v>
      </c>
      <c r="QG11" s="262">
        <v>0</v>
      </c>
      <c r="QH11" s="262">
        <v>0</v>
      </c>
      <c r="QI11" s="264">
        <v>0</v>
      </c>
      <c r="QJ11" s="262">
        <v>0</v>
      </c>
      <c r="QK11" s="262">
        <v>0</v>
      </c>
      <c r="QL11" s="263">
        <v>0</v>
      </c>
      <c r="QM11" s="262">
        <v>0</v>
      </c>
      <c r="QN11" s="262">
        <v>0</v>
      </c>
      <c r="QO11" s="263">
        <v>0</v>
      </c>
      <c r="QP11" s="262">
        <v>0</v>
      </c>
      <c r="QQ11" s="262">
        <v>0</v>
      </c>
      <c r="QR11" s="263">
        <v>0</v>
      </c>
      <c r="QS11" s="262">
        <v>0</v>
      </c>
      <c r="QT11" s="262">
        <v>0</v>
      </c>
      <c r="QU11" s="263">
        <v>0</v>
      </c>
      <c r="QV11" s="262">
        <v>0</v>
      </c>
      <c r="QW11" s="262">
        <v>0</v>
      </c>
      <c r="QX11" s="263">
        <v>0</v>
      </c>
      <c r="QY11" s="262">
        <v>0</v>
      </c>
      <c r="QZ11" s="262">
        <v>0</v>
      </c>
      <c r="RA11" s="263">
        <v>0</v>
      </c>
      <c r="RB11" s="262">
        <v>0</v>
      </c>
      <c r="RC11" s="262">
        <v>0</v>
      </c>
      <c r="RD11" s="263">
        <v>0</v>
      </c>
      <c r="RE11" s="262">
        <v>0</v>
      </c>
      <c r="RF11" s="262">
        <v>0</v>
      </c>
      <c r="RG11" s="263">
        <v>0</v>
      </c>
      <c r="RH11" s="262">
        <v>0</v>
      </c>
      <c r="RI11" s="262">
        <v>0</v>
      </c>
      <c r="RJ11" s="263">
        <v>0</v>
      </c>
      <c r="RK11" s="262">
        <v>0</v>
      </c>
      <c r="RL11" s="262">
        <v>0</v>
      </c>
      <c r="RM11" s="263">
        <v>0</v>
      </c>
      <c r="RN11" s="262">
        <v>0</v>
      </c>
      <c r="RO11" s="262">
        <v>0</v>
      </c>
      <c r="RP11" s="263">
        <v>0</v>
      </c>
      <c r="RQ11" s="262">
        <v>0</v>
      </c>
      <c r="RR11" s="262">
        <v>0</v>
      </c>
      <c r="RS11" s="263">
        <v>0</v>
      </c>
      <c r="RT11" s="262">
        <v>0</v>
      </c>
      <c r="RU11" s="262">
        <v>0</v>
      </c>
      <c r="RV11" s="263">
        <v>0</v>
      </c>
      <c r="RW11" s="262">
        <v>0</v>
      </c>
      <c r="RX11" s="262">
        <v>0</v>
      </c>
      <c r="RY11" s="263">
        <v>0</v>
      </c>
      <c r="RZ11" s="262">
        <v>0</v>
      </c>
      <c r="SA11" s="262">
        <v>0</v>
      </c>
      <c r="SB11" s="264">
        <v>0</v>
      </c>
      <c r="SC11" s="262">
        <v>1E-3</v>
      </c>
      <c r="SD11" s="262">
        <v>0</v>
      </c>
      <c r="SE11" s="263">
        <v>0</v>
      </c>
      <c r="SF11" s="262">
        <v>1E-3</v>
      </c>
      <c r="SG11" s="262">
        <v>0</v>
      </c>
      <c r="SH11" s="263">
        <v>0</v>
      </c>
      <c r="SI11" s="262">
        <v>1E-3</v>
      </c>
      <c r="SJ11" s="262">
        <v>0</v>
      </c>
      <c r="SK11" s="263">
        <v>0</v>
      </c>
      <c r="SL11" s="262">
        <v>0</v>
      </c>
      <c r="SM11" s="262">
        <v>0</v>
      </c>
      <c r="SN11" s="263">
        <v>0</v>
      </c>
      <c r="SO11" s="262">
        <v>0</v>
      </c>
      <c r="SP11" s="262">
        <v>0</v>
      </c>
      <c r="SQ11" s="263">
        <v>0</v>
      </c>
      <c r="SR11" s="262">
        <v>0</v>
      </c>
      <c r="SS11" s="262">
        <v>0</v>
      </c>
      <c r="ST11" s="263">
        <v>0</v>
      </c>
      <c r="SU11" s="262">
        <v>0</v>
      </c>
      <c r="SV11" s="262">
        <v>0</v>
      </c>
      <c r="SW11" s="263">
        <v>0</v>
      </c>
      <c r="SX11" s="262">
        <v>0</v>
      </c>
      <c r="SY11" s="262">
        <v>0</v>
      </c>
      <c r="SZ11" s="263">
        <v>0</v>
      </c>
      <c r="TA11" s="262">
        <v>0</v>
      </c>
      <c r="TB11" s="262">
        <v>0</v>
      </c>
      <c r="TC11" s="263">
        <v>0</v>
      </c>
      <c r="TD11" s="262">
        <v>0</v>
      </c>
      <c r="TE11" s="262">
        <v>0</v>
      </c>
      <c r="TF11" s="263">
        <v>0</v>
      </c>
      <c r="TG11" s="262">
        <v>0</v>
      </c>
      <c r="TH11" s="262">
        <v>0</v>
      </c>
      <c r="TI11" s="263">
        <v>0</v>
      </c>
      <c r="TJ11" s="262">
        <v>0</v>
      </c>
      <c r="TK11" s="262">
        <v>0</v>
      </c>
      <c r="TL11" s="263">
        <v>0</v>
      </c>
      <c r="TM11" s="262">
        <v>0</v>
      </c>
      <c r="TN11" s="262">
        <v>0</v>
      </c>
      <c r="TO11" s="263">
        <v>0</v>
      </c>
      <c r="TP11" s="262">
        <v>0</v>
      </c>
      <c r="TQ11" s="262">
        <v>0</v>
      </c>
      <c r="TR11" s="263">
        <v>0</v>
      </c>
      <c r="TS11" s="262">
        <v>0</v>
      </c>
      <c r="TT11" s="262">
        <v>0</v>
      </c>
      <c r="TU11" s="264">
        <v>0</v>
      </c>
      <c r="TV11" s="262">
        <v>4.2</v>
      </c>
      <c r="TW11" s="262">
        <v>0</v>
      </c>
      <c r="TX11" s="263">
        <v>0</v>
      </c>
      <c r="TY11" s="262">
        <v>4.2009999999999996</v>
      </c>
      <c r="TZ11" s="262">
        <v>0</v>
      </c>
      <c r="UA11" s="263">
        <v>0</v>
      </c>
      <c r="UB11" s="262">
        <v>4.2009999999999996</v>
      </c>
      <c r="UC11" s="262">
        <v>0</v>
      </c>
      <c r="UD11" s="263">
        <v>0</v>
      </c>
      <c r="UE11" s="262">
        <v>0</v>
      </c>
      <c r="UF11" s="262">
        <v>0</v>
      </c>
      <c r="UG11" s="263">
        <v>0</v>
      </c>
      <c r="UH11" s="262">
        <v>0</v>
      </c>
      <c r="UI11" s="262">
        <v>0</v>
      </c>
      <c r="UJ11" s="263">
        <v>0</v>
      </c>
      <c r="UK11" s="262">
        <v>0</v>
      </c>
      <c r="UL11" s="262">
        <v>0</v>
      </c>
      <c r="UM11" s="263">
        <v>0</v>
      </c>
      <c r="UN11" s="262">
        <v>0</v>
      </c>
      <c r="UO11" s="262">
        <v>0</v>
      </c>
      <c r="UP11" s="263">
        <v>0</v>
      </c>
      <c r="UQ11" s="262">
        <v>0</v>
      </c>
      <c r="UR11" s="262">
        <v>0</v>
      </c>
      <c r="US11" s="263">
        <v>0</v>
      </c>
      <c r="UT11" s="262">
        <v>0</v>
      </c>
      <c r="UU11" s="262">
        <v>0</v>
      </c>
      <c r="UV11" s="263">
        <v>0</v>
      </c>
      <c r="UW11" s="262">
        <v>0</v>
      </c>
      <c r="UX11" s="262">
        <v>0</v>
      </c>
      <c r="UY11" s="263">
        <v>0</v>
      </c>
      <c r="UZ11" s="262">
        <v>0</v>
      </c>
      <c r="VA11" s="262">
        <v>0</v>
      </c>
      <c r="VB11" s="263">
        <v>0</v>
      </c>
      <c r="VC11" s="262">
        <v>0</v>
      </c>
      <c r="VD11" s="262">
        <v>0</v>
      </c>
      <c r="VE11" s="263">
        <v>0</v>
      </c>
      <c r="VF11" s="262">
        <v>0</v>
      </c>
      <c r="VG11" s="262">
        <v>0</v>
      </c>
      <c r="VH11" s="263">
        <v>0</v>
      </c>
      <c r="VI11" s="262">
        <v>0</v>
      </c>
      <c r="VJ11" s="262">
        <v>0</v>
      </c>
      <c r="VK11" s="263">
        <v>0</v>
      </c>
      <c r="VL11" s="262">
        <v>0</v>
      </c>
      <c r="VM11" s="262">
        <v>0</v>
      </c>
      <c r="VN11" s="264">
        <v>0</v>
      </c>
    </row>
    <row r="12" spans="1:586">
      <c r="A12" s="268" t="s">
        <v>11</v>
      </c>
      <c r="B12" s="262">
        <v>2264896.2990000001</v>
      </c>
      <c r="C12" s="262">
        <v>3508120.997</v>
      </c>
      <c r="D12" s="263">
        <v>-0.35438478292600301</v>
      </c>
      <c r="E12" s="262">
        <v>21084871.796</v>
      </c>
      <c r="F12" s="262">
        <v>34825477.545000002</v>
      </c>
      <c r="G12" s="263">
        <v>-0.39455613297032299</v>
      </c>
      <c r="H12" s="262">
        <v>26142289.638</v>
      </c>
      <c r="I12" s="262">
        <v>42723398.759999998</v>
      </c>
      <c r="J12" s="263">
        <v>-0.38810369968795999</v>
      </c>
      <c r="K12" s="262">
        <v>0</v>
      </c>
      <c r="L12" s="262">
        <v>0</v>
      </c>
      <c r="M12" s="263">
        <v>0</v>
      </c>
      <c r="N12" s="262">
        <v>0</v>
      </c>
      <c r="O12" s="262">
        <v>0</v>
      </c>
      <c r="P12" s="263">
        <v>0</v>
      </c>
      <c r="Q12" s="262">
        <v>0</v>
      </c>
      <c r="R12" s="262">
        <v>0</v>
      </c>
      <c r="S12" s="263">
        <v>0</v>
      </c>
      <c r="T12" s="262">
        <v>0</v>
      </c>
      <c r="U12" s="262">
        <v>0</v>
      </c>
      <c r="V12" s="263">
        <v>0</v>
      </c>
      <c r="W12" s="262">
        <v>0</v>
      </c>
      <c r="X12" s="262">
        <v>0</v>
      </c>
      <c r="Y12" s="263">
        <v>0</v>
      </c>
      <c r="Z12" s="262">
        <v>0</v>
      </c>
      <c r="AA12" s="262">
        <v>0</v>
      </c>
      <c r="AB12" s="263">
        <v>0</v>
      </c>
      <c r="AC12" s="262">
        <v>233646.73300000001</v>
      </c>
      <c r="AD12" s="262">
        <v>248195.74299999999</v>
      </c>
      <c r="AE12" s="263">
        <v>-5.8619095654674401E-2</v>
      </c>
      <c r="AF12" s="262">
        <v>2396748.4840000002</v>
      </c>
      <c r="AG12" s="262">
        <v>2625348.8489999999</v>
      </c>
      <c r="AH12" s="263">
        <v>-8.7074281609117996E-2</v>
      </c>
      <c r="AI12" s="262">
        <v>2858421.003</v>
      </c>
      <c r="AJ12" s="262">
        <v>3111013.665</v>
      </c>
      <c r="AK12" s="263">
        <v>-8.1193041625550105E-2</v>
      </c>
      <c r="AL12" s="262">
        <v>354842.10700000002</v>
      </c>
      <c r="AM12" s="262">
        <v>386364.48200000002</v>
      </c>
      <c r="AN12" s="263">
        <v>-8.1587144959147706E-2</v>
      </c>
      <c r="AO12" s="262">
        <v>2966062.8739999998</v>
      </c>
      <c r="AP12" s="262">
        <v>3045868.9759999998</v>
      </c>
      <c r="AQ12" s="263">
        <v>-2.6201423182951801E-2</v>
      </c>
      <c r="AR12" s="262">
        <v>3632510.662</v>
      </c>
      <c r="AS12" s="262">
        <v>3703274.2769999998</v>
      </c>
      <c r="AT12" s="264">
        <v>-1.9108391576473999E-2</v>
      </c>
      <c r="AU12" s="262">
        <v>3505494.4279999998</v>
      </c>
      <c r="AV12" s="262">
        <v>2386624.2459999998</v>
      </c>
      <c r="AW12" s="263">
        <v>0.468808688202693</v>
      </c>
      <c r="AX12" s="262">
        <v>24590366.223999999</v>
      </c>
      <c r="AY12" s="262">
        <v>37212101.791000001</v>
      </c>
      <c r="AZ12" s="263">
        <v>-0.33918362466837798</v>
      </c>
      <c r="BA12" s="262">
        <v>27261159.82</v>
      </c>
      <c r="BB12" s="262">
        <v>40981843.222000003</v>
      </c>
      <c r="BC12" s="263">
        <v>-0.33479907986750601</v>
      </c>
      <c r="BD12" s="262">
        <v>0</v>
      </c>
      <c r="BE12" s="262">
        <v>0</v>
      </c>
      <c r="BF12" s="263">
        <v>0</v>
      </c>
      <c r="BG12" s="262">
        <v>0</v>
      </c>
      <c r="BH12" s="262">
        <v>0</v>
      </c>
      <c r="BI12" s="263">
        <v>0</v>
      </c>
      <c r="BJ12" s="262">
        <v>0</v>
      </c>
      <c r="BK12" s="262">
        <v>0</v>
      </c>
      <c r="BL12" s="263">
        <v>0</v>
      </c>
      <c r="BM12" s="262">
        <v>0</v>
      </c>
      <c r="BN12" s="262">
        <v>0</v>
      </c>
      <c r="BO12" s="263">
        <v>0</v>
      </c>
      <c r="BP12" s="262">
        <v>0</v>
      </c>
      <c r="BQ12" s="262">
        <v>0</v>
      </c>
      <c r="BR12" s="263">
        <v>0</v>
      </c>
      <c r="BS12" s="262">
        <v>0</v>
      </c>
      <c r="BT12" s="262">
        <v>0</v>
      </c>
      <c r="BU12" s="263">
        <v>0</v>
      </c>
      <c r="BV12" s="262">
        <v>228355.13399999999</v>
      </c>
      <c r="BW12" s="262">
        <v>226208.38800000001</v>
      </c>
      <c r="BX12" s="263">
        <v>9.4901255385807497E-3</v>
      </c>
      <c r="BY12" s="262">
        <v>2625103.6179999998</v>
      </c>
      <c r="BZ12" s="262">
        <v>2851557.2370000002</v>
      </c>
      <c r="CA12" s="263">
        <v>-7.9414018439357206E-2</v>
      </c>
      <c r="CB12" s="262">
        <v>2860567.7489999998</v>
      </c>
      <c r="CC12" s="262">
        <v>3102742.1979999999</v>
      </c>
      <c r="CD12" s="263">
        <v>-7.8051746985651399E-2</v>
      </c>
      <c r="CE12" s="262">
        <v>391606.554</v>
      </c>
      <c r="CF12" s="262">
        <v>321554.93699999998</v>
      </c>
      <c r="CG12" s="263">
        <v>0.217852717963401</v>
      </c>
      <c r="CH12" s="262">
        <v>3357669.4279999998</v>
      </c>
      <c r="CI12" s="262">
        <v>3367423.9130000002</v>
      </c>
      <c r="CJ12" s="263">
        <v>-2.8967202383825101E-3</v>
      </c>
      <c r="CK12" s="262">
        <v>3702562.2790000001</v>
      </c>
      <c r="CL12" s="262">
        <v>3715085.7960000001</v>
      </c>
      <c r="CM12" s="264">
        <v>-3.3709899818421302E-3</v>
      </c>
      <c r="CN12" s="262">
        <v>4516264.6979999999</v>
      </c>
      <c r="CO12" s="262">
        <v>2670793.5959999999</v>
      </c>
      <c r="CP12" s="263">
        <v>0.69098230007887096</v>
      </c>
      <c r="CQ12" s="262">
        <v>29106630.921999998</v>
      </c>
      <c r="CR12" s="262">
        <v>39882895.387000002</v>
      </c>
      <c r="CS12" s="263">
        <v>-0.27019764639536598</v>
      </c>
      <c r="CT12" s="262">
        <v>29106630.921999998</v>
      </c>
      <c r="CU12" s="262">
        <v>39882895.387000002</v>
      </c>
      <c r="CV12" s="263">
        <v>-0.27019764639536598</v>
      </c>
      <c r="CW12" s="262">
        <v>0</v>
      </c>
      <c r="CX12" s="262">
        <v>0</v>
      </c>
      <c r="CY12" s="263">
        <v>0</v>
      </c>
      <c r="CZ12" s="262">
        <v>0</v>
      </c>
      <c r="DA12" s="262">
        <v>0</v>
      </c>
      <c r="DB12" s="263">
        <v>0</v>
      </c>
      <c r="DC12" s="262">
        <v>0</v>
      </c>
      <c r="DD12" s="262">
        <v>0</v>
      </c>
      <c r="DE12" s="263">
        <v>0</v>
      </c>
      <c r="DF12" s="262">
        <v>0</v>
      </c>
      <c r="DG12" s="262">
        <v>0</v>
      </c>
      <c r="DH12" s="263">
        <v>0</v>
      </c>
      <c r="DI12" s="262">
        <v>0</v>
      </c>
      <c r="DJ12" s="262">
        <v>0</v>
      </c>
      <c r="DK12" s="263">
        <v>0</v>
      </c>
      <c r="DL12" s="262">
        <v>0</v>
      </c>
      <c r="DM12" s="262">
        <v>0</v>
      </c>
      <c r="DN12" s="263">
        <v>0</v>
      </c>
      <c r="DO12" s="262">
        <v>287612.24</v>
      </c>
      <c r="DP12" s="262">
        <v>235464.13099999999</v>
      </c>
      <c r="DQ12" s="263">
        <v>0.22146943901192301</v>
      </c>
      <c r="DR12" s="262">
        <v>2912715.858</v>
      </c>
      <c r="DS12" s="262">
        <v>3087021.3679999998</v>
      </c>
      <c r="DT12" s="263">
        <v>-5.6463979098702398E-2</v>
      </c>
      <c r="DU12" s="262">
        <v>2912715.858</v>
      </c>
      <c r="DV12" s="262">
        <v>3087021.3679999998</v>
      </c>
      <c r="DW12" s="263">
        <v>-5.6463979098702398E-2</v>
      </c>
      <c r="DX12" s="262">
        <v>377873.21399999998</v>
      </c>
      <c r="DY12" s="262">
        <v>344892.85100000002</v>
      </c>
      <c r="DZ12" s="263">
        <v>9.5624953965775195E-2</v>
      </c>
      <c r="EA12" s="262">
        <v>3735542.642</v>
      </c>
      <c r="EB12" s="262">
        <v>3712316.764</v>
      </c>
      <c r="EC12" s="263">
        <v>6.2564375500581701E-3</v>
      </c>
      <c r="ED12" s="262">
        <v>3735542.642</v>
      </c>
      <c r="EE12" s="262">
        <v>3712316.764</v>
      </c>
      <c r="EF12" s="264">
        <v>6.2564375500581701E-3</v>
      </c>
      <c r="EG12" s="262">
        <v>2796387.1949999998</v>
      </c>
      <c r="EH12" s="262">
        <v>2812182.8709999998</v>
      </c>
      <c r="EI12" s="263">
        <v>-5.61687369725821E-3</v>
      </c>
      <c r="EJ12" s="262">
        <v>2796387.1949999998</v>
      </c>
      <c r="EK12" s="262">
        <v>2812182.8709999998</v>
      </c>
      <c r="EL12" s="263">
        <v>-5.61687369725821E-3</v>
      </c>
      <c r="EM12" s="262">
        <v>29090835.245999999</v>
      </c>
      <c r="EN12" s="262">
        <v>40453493.530000001</v>
      </c>
      <c r="EO12" s="263">
        <v>-0.28088200282562797</v>
      </c>
      <c r="EP12" s="262">
        <v>0</v>
      </c>
      <c r="EQ12" s="262">
        <v>0</v>
      </c>
      <c r="ER12" s="263">
        <v>0</v>
      </c>
      <c r="ES12" s="262">
        <v>0</v>
      </c>
      <c r="ET12" s="262">
        <v>0</v>
      </c>
      <c r="EU12" s="263">
        <v>0</v>
      </c>
      <c r="EV12" s="262">
        <v>0</v>
      </c>
      <c r="EW12" s="262">
        <v>0</v>
      </c>
      <c r="EX12" s="263">
        <v>0</v>
      </c>
      <c r="EY12" s="262">
        <v>0</v>
      </c>
      <c r="EZ12" s="262">
        <v>0</v>
      </c>
      <c r="FA12" s="263">
        <v>0</v>
      </c>
      <c r="FB12" s="262">
        <v>0</v>
      </c>
      <c r="FC12" s="262">
        <v>0</v>
      </c>
      <c r="FD12" s="263">
        <v>0</v>
      </c>
      <c r="FE12" s="262">
        <v>0</v>
      </c>
      <c r="FF12" s="262">
        <v>0</v>
      </c>
      <c r="FG12" s="263">
        <v>0</v>
      </c>
      <c r="FH12" s="262">
        <v>284762.47399999999</v>
      </c>
      <c r="FI12" s="262">
        <v>245660.033</v>
      </c>
      <c r="FJ12" s="263">
        <v>0.159172986026587</v>
      </c>
      <c r="FK12" s="262">
        <v>284762.47399999999</v>
      </c>
      <c r="FL12" s="262">
        <v>245660.033</v>
      </c>
      <c r="FM12" s="263">
        <v>0.159172986026587</v>
      </c>
      <c r="FN12" s="262">
        <v>2951818.2990000001</v>
      </c>
      <c r="FO12" s="262">
        <v>3094715.176</v>
      </c>
      <c r="FP12" s="263">
        <v>-4.6174484200739198E-2</v>
      </c>
      <c r="FQ12" s="262">
        <v>342565.68199999997</v>
      </c>
      <c r="FR12" s="262">
        <v>349626.75199999998</v>
      </c>
      <c r="FS12" s="263">
        <v>-2.0196023215065698E-2</v>
      </c>
      <c r="FT12" s="262">
        <v>342565.68199999997</v>
      </c>
      <c r="FU12" s="262">
        <v>349626.75199999998</v>
      </c>
      <c r="FV12" s="263">
        <v>-2.0196023215065698E-2</v>
      </c>
      <c r="FW12" s="262">
        <v>3728481.5720000002</v>
      </c>
      <c r="FX12" s="262">
        <v>3781072.3110000002</v>
      </c>
      <c r="FY12" s="264">
        <v>-1.39089482227043E-2</v>
      </c>
      <c r="FZ12" s="262">
        <v>2601031.3259999999</v>
      </c>
      <c r="GA12" s="262">
        <v>1629724.757</v>
      </c>
      <c r="GB12" s="263">
        <v>0.59599424063974005</v>
      </c>
      <c r="GC12" s="262">
        <v>5397418.5209999997</v>
      </c>
      <c r="GD12" s="262">
        <v>4441907.6279999996</v>
      </c>
      <c r="GE12" s="263">
        <v>0.215112733767097</v>
      </c>
      <c r="GF12" s="262">
        <v>30062141.815000001</v>
      </c>
      <c r="GG12" s="262">
        <v>38209282.630000003</v>
      </c>
      <c r="GH12" s="263">
        <v>-0.213224123935875</v>
      </c>
      <c r="GI12" s="262">
        <v>0</v>
      </c>
      <c r="GJ12" s="262">
        <v>0</v>
      </c>
      <c r="GK12" s="263">
        <v>0</v>
      </c>
      <c r="GL12" s="262">
        <v>0</v>
      </c>
      <c r="GM12" s="262">
        <v>0</v>
      </c>
      <c r="GN12" s="263">
        <v>0</v>
      </c>
      <c r="GO12" s="262">
        <v>0</v>
      </c>
      <c r="GP12" s="262">
        <v>0</v>
      </c>
      <c r="GQ12" s="263">
        <v>0</v>
      </c>
      <c r="GR12" s="262">
        <v>0</v>
      </c>
      <c r="GS12" s="262">
        <v>0</v>
      </c>
      <c r="GT12" s="263">
        <v>0</v>
      </c>
      <c r="GU12" s="262">
        <v>0</v>
      </c>
      <c r="GV12" s="262">
        <v>0</v>
      </c>
      <c r="GW12" s="263">
        <v>0</v>
      </c>
      <c r="GX12" s="262">
        <v>0</v>
      </c>
      <c r="GY12" s="262">
        <v>0</v>
      </c>
      <c r="GZ12" s="263">
        <v>0</v>
      </c>
      <c r="HA12" s="262">
        <v>188665.80600000001</v>
      </c>
      <c r="HB12" s="262">
        <v>219767.08199999999</v>
      </c>
      <c r="HC12" s="263">
        <v>-0.14151926538297499</v>
      </c>
      <c r="HD12" s="262">
        <v>473428.28</v>
      </c>
      <c r="HE12" s="262">
        <v>465427.11499999999</v>
      </c>
      <c r="HF12" s="263">
        <v>1.7191016041254999E-2</v>
      </c>
      <c r="HG12" s="262">
        <v>2920717.023</v>
      </c>
      <c r="HH12" s="262">
        <v>3063223.7549999999</v>
      </c>
      <c r="HI12" s="263">
        <v>-4.6521816033644602E-2</v>
      </c>
      <c r="HJ12" s="262">
        <v>249835.34599999999</v>
      </c>
      <c r="HK12" s="262">
        <v>283485.34399999998</v>
      </c>
      <c r="HL12" s="263">
        <v>-0.118701014751577</v>
      </c>
      <c r="HM12" s="262">
        <v>592401.02800000005</v>
      </c>
      <c r="HN12" s="262">
        <v>633112.09600000002</v>
      </c>
      <c r="HO12" s="263">
        <v>-6.4303096177142E-2</v>
      </c>
      <c r="HP12" s="262">
        <v>3694831.574</v>
      </c>
      <c r="HQ12" s="262">
        <v>3774226.193</v>
      </c>
      <c r="HR12" s="264">
        <v>-2.1035999153217699E-2</v>
      </c>
      <c r="HS12" s="262">
        <v>1974693.2220000001</v>
      </c>
      <c r="HT12" s="262">
        <v>1701929.7220000001</v>
      </c>
      <c r="HU12" s="263">
        <v>0.16026719345347901</v>
      </c>
      <c r="HV12" s="262">
        <v>7372111.7429999998</v>
      </c>
      <c r="HW12" s="262">
        <v>6143837.3499999996</v>
      </c>
      <c r="HX12" s="263">
        <v>0.19991974445742799</v>
      </c>
      <c r="HY12" s="262">
        <v>30334905.315000001</v>
      </c>
      <c r="HZ12" s="262">
        <v>37270211.259000003</v>
      </c>
      <c r="IA12" s="263">
        <v>-0.186081744903586</v>
      </c>
      <c r="IB12" s="262">
        <v>0</v>
      </c>
      <c r="IC12" s="262">
        <v>0</v>
      </c>
      <c r="ID12" s="263">
        <v>0</v>
      </c>
      <c r="IE12" s="262">
        <v>0</v>
      </c>
      <c r="IF12" s="262">
        <v>0</v>
      </c>
      <c r="IG12" s="263">
        <v>0</v>
      </c>
      <c r="IH12" s="262">
        <v>0</v>
      </c>
      <c r="II12" s="262">
        <v>0</v>
      </c>
      <c r="IJ12" s="263">
        <v>0</v>
      </c>
      <c r="IK12" s="262">
        <v>0</v>
      </c>
      <c r="IL12" s="262">
        <v>0</v>
      </c>
      <c r="IM12" s="263">
        <v>0</v>
      </c>
      <c r="IN12" s="262">
        <v>0</v>
      </c>
      <c r="IO12" s="262">
        <v>0</v>
      </c>
      <c r="IP12" s="263">
        <v>0</v>
      </c>
      <c r="IQ12" s="262">
        <v>0</v>
      </c>
      <c r="IR12" s="262">
        <v>0</v>
      </c>
      <c r="IS12" s="263">
        <v>0</v>
      </c>
      <c r="IT12" s="262">
        <v>223336.81299999999</v>
      </c>
      <c r="IU12" s="262">
        <v>214683.962</v>
      </c>
      <c r="IV12" s="263">
        <v>4.0305064800322601E-2</v>
      </c>
      <c r="IW12" s="262">
        <v>696765.09299999999</v>
      </c>
      <c r="IX12" s="262">
        <v>680111.07700000005</v>
      </c>
      <c r="IY12" s="263">
        <v>2.4487200051881999E-2</v>
      </c>
      <c r="IZ12" s="262">
        <v>2929369.8739999998</v>
      </c>
      <c r="JA12" s="262">
        <v>3043584.6170000001</v>
      </c>
      <c r="JB12" s="263">
        <v>-3.7526389889754201E-2</v>
      </c>
      <c r="JC12" s="262">
        <v>290372.00900000002</v>
      </c>
      <c r="JD12" s="262">
        <v>307378.34299999999</v>
      </c>
      <c r="JE12" s="263">
        <v>-5.5327040395946103E-2</v>
      </c>
      <c r="JF12" s="262">
        <v>882773.03700000001</v>
      </c>
      <c r="JG12" s="262">
        <v>940490.43900000001</v>
      </c>
      <c r="JH12" s="263">
        <v>-6.1369472358878498E-2</v>
      </c>
      <c r="JI12" s="262">
        <v>3677825.24</v>
      </c>
      <c r="JJ12" s="262">
        <v>3795435.8289999999</v>
      </c>
      <c r="JK12" s="264">
        <v>-3.0987373861353602E-2</v>
      </c>
      <c r="JL12" s="262">
        <v>2023723.3230000001</v>
      </c>
      <c r="JM12" s="262">
        <v>1535346.9550000001</v>
      </c>
      <c r="JN12" s="263">
        <v>0.31808860297638702</v>
      </c>
      <c r="JO12" s="262">
        <v>9395835.0659999996</v>
      </c>
      <c r="JP12" s="262">
        <v>7679184.3049999997</v>
      </c>
      <c r="JQ12" s="263">
        <v>0.22354597738750301</v>
      </c>
      <c r="JR12" s="262">
        <v>30823281.682999998</v>
      </c>
      <c r="JS12" s="262">
        <v>36368546.144000001</v>
      </c>
      <c r="JT12" s="263">
        <v>-0.15247418577151001</v>
      </c>
      <c r="JU12" s="262">
        <v>0</v>
      </c>
      <c r="JV12" s="262">
        <v>0</v>
      </c>
      <c r="JW12" s="263">
        <v>0</v>
      </c>
      <c r="JX12" s="262">
        <v>0</v>
      </c>
      <c r="JY12" s="262">
        <v>0</v>
      </c>
      <c r="JZ12" s="263">
        <v>0</v>
      </c>
      <c r="KA12" s="262">
        <v>0</v>
      </c>
      <c r="KB12" s="262">
        <v>0</v>
      </c>
      <c r="KC12" s="263">
        <v>0</v>
      </c>
      <c r="KD12" s="262">
        <v>0</v>
      </c>
      <c r="KE12" s="262">
        <v>0</v>
      </c>
      <c r="KF12" s="263">
        <v>0</v>
      </c>
      <c r="KG12" s="262">
        <v>0</v>
      </c>
      <c r="KH12" s="262">
        <v>0</v>
      </c>
      <c r="KI12" s="263">
        <v>0</v>
      </c>
      <c r="KJ12" s="262">
        <v>0</v>
      </c>
      <c r="KK12" s="262">
        <v>0</v>
      </c>
      <c r="KL12" s="263">
        <v>0</v>
      </c>
      <c r="KM12" s="262">
        <v>226567.81400000001</v>
      </c>
      <c r="KN12" s="262">
        <v>206604.698</v>
      </c>
      <c r="KO12" s="263">
        <v>9.6624695339696504E-2</v>
      </c>
      <c r="KP12" s="262">
        <v>923332.90700000001</v>
      </c>
      <c r="KQ12" s="262">
        <v>886715.77500000002</v>
      </c>
      <c r="KR12" s="263">
        <v>4.1295230142939503E-2</v>
      </c>
      <c r="KS12" s="262">
        <v>2949332.99</v>
      </c>
      <c r="KT12" s="262">
        <v>3041619.9789999998</v>
      </c>
      <c r="KU12" s="263">
        <v>-3.03413936116835E-2</v>
      </c>
      <c r="KV12" s="262">
        <v>290702.50900000002</v>
      </c>
      <c r="KW12" s="262">
        <v>316110.86599999998</v>
      </c>
      <c r="KX12" s="263">
        <v>-8.0377993080440205E-2</v>
      </c>
      <c r="KY12" s="262">
        <v>1173475.5460000001</v>
      </c>
      <c r="KZ12" s="262">
        <v>1256601.3049999999</v>
      </c>
      <c r="LA12" s="263">
        <v>-6.6151259487988404E-2</v>
      </c>
      <c r="LB12" s="262">
        <v>3652416.8829999999</v>
      </c>
      <c r="LC12" s="262">
        <v>3830951.76</v>
      </c>
      <c r="LD12" s="264">
        <v>-4.6603269418354597E-2</v>
      </c>
      <c r="LE12" s="262">
        <v>2692351.0759999999</v>
      </c>
      <c r="LF12" s="262">
        <v>1529797.919</v>
      </c>
      <c r="LG12" s="263">
        <v>0.75993903675848795</v>
      </c>
      <c r="LH12" s="262">
        <v>12088186.142000001</v>
      </c>
      <c r="LI12" s="262">
        <v>9208982.2239999995</v>
      </c>
      <c r="LJ12" s="263">
        <v>0.31265169678538002</v>
      </c>
      <c r="LK12" s="262">
        <v>31985834.84</v>
      </c>
      <c r="LL12" s="262">
        <v>35030938.384000003</v>
      </c>
      <c r="LM12" s="263">
        <v>-8.6926119723667497E-2</v>
      </c>
      <c r="LN12" s="262">
        <v>0</v>
      </c>
      <c r="LO12" s="262">
        <v>0</v>
      </c>
      <c r="LP12" s="263">
        <v>0</v>
      </c>
      <c r="LQ12" s="262">
        <v>0</v>
      </c>
      <c r="LR12" s="262">
        <v>0</v>
      </c>
      <c r="LS12" s="263">
        <v>0</v>
      </c>
      <c r="LT12" s="262">
        <v>0</v>
      </c>
      <c r="LU12" s="262">
        <v>0</v>
      </c>
      <c r="LV12" s="263">
        <v>0</v>
      </c>
      <c r="LW12" s="262">
        <v>0</v>
      </c>
      <c r="LX12" s="262">
        <v>0</v>
      </c>
      <c r="LY12" s="263">
        <v>0</v>
      </c>
      <c r="LZ12" s="262">
        <v>0</v>
      </c>
      <c r="MA12" s="262">
        <v>0</v>
      </c>
      <c r="MB12" s="263">
        <v>0</v>
      </c>
      <c r="MC12" s="262">
        <v>0</v>
      </c>
      <c r="MD12" s="262">
        <v>0</v>
      </c>
      <c r="ME12" s="263">
        <v>0</v>
      </c>
      <c r="MF12" s="262">
        <v>243856.69099999999</v>
      </c>
      <c r="MG12" s="262">
        <v>207906.06</v>
      </c>
      <c r="MH12" s="263">
        <v>0.17291766771973799</v>
      </c>
      <c r="MI12" s="262">
        <v>1167189.598</v>
      </c>
      <c r="MJ12" s="262">
        <v>1094621.835</v>
      </c>
      <c r="MK12" s="263">
        <v>6.6294825006848204E-2</v>
      </c>
      <c r="ML12" s="262">
        <v>2985283.6209999998</v>
      </c>
      <c r="MM12" s="262">
        <v>3015772.4840000002</v>
      </c>
      <c r="MN12" s="263">
        <v>-1.0109802102697499E-2</v>
      </c>
      <c r="MO12" s="262">
        <v>328785.50599999999</v>
      </c>
      <c r="MP12" s="262">
        <v>261328.8</v>
      </c>
      <c r="MQ12" s="263">
        <v>0.25812962826906199</v>
      </c>
      <c r="MR12" s="262">
        <v>1502261.0519999999</v>
      </c>
      <c r="MS12" s="262">
        <v>1517930.105</v>
      </c>
      <c r="MT12" s="263">
        <v>-1.03226445989752E-2</v>
      </c>
      <c r="MU12" s="262">
        <v>3719873.5890000002</v>
      </c>
      <c r="MV12" s="262">
        <v>3815082.8730000001</v>
      </c>
      <c r="MW12" s="264">
        <v>-2.4956019874119301E-2</v>
      </c>
      <c r="MX12" s="262">
        <v>3980712.1860000002</v>
      </c>
      <c r="MY12" s="262">
        <v>1635045.0959999999</v>
      </c>
      <c r="MZ12" s="263">
        <v>1.4346192014755299</v>
      </c>
      <c r="NA12" s="262">
        <v>16068898.328</v>
      </c>
      <c r="NB12" s="262">
        <v>10844027.32</v>
      </c>
      <c r="NC12" s="263">
        <v>0.48182016273267703</v>
      </c>
      <c r="ND12" s="262">
        <v>34331501.93</v>
      </c>
      <c r="NE12" s="262">
        <v>32566906.666000001</v>
      </c>
      <c r="NF12" s="263">
        <v>5.4183692731316201E-2</v>
      </c>
      <c r="NG12" s="262">
        <v>0</v>
      </c>
      <c r="NH12" s="262">
        <v>0</v>
      </c>
      <c r="NI12" s="263">
        <v>0</v>
      </c>
      <c r="NJ12" s="262">
        <v>0</v>
      </c>
      <c r="NK12" s="262">
        <v>0</v>
      </c>
      <c r="NL12" s="263">
        <v>0</v>
      </c>
      <c r="NM12" s="262">
        <v>0</v>
      </c>
      <c r="NN12" s="262">
        <v>0</v>
      </c>
      <c r="NO12" s="263">
        <v>0</v>
      </c>
      <c r="NP12" s="262">
        <v>0</v>
      </c>
      <c r="NQ12" s="262">
        <v>0</v>
      </c>
      <c r="NR12" s="263">
        <v>0</v>
      </c>
      <c r="NS12" s="262">
        <v>0</v>
      </c>
      <c r="NT12" s="262">
        <v>0</v>
      </c>
      <c r="NU12" s="263">
        <v>0</v>
      </c>
      <c r="NV12" s="262">
        <v>0</v>
      </c>
      <c r="NW12" s="262">
        <v>0</v>
      </c>
      <c r="NX12" s="263">
        <v>0</v>
      </c>
      <c r="NY12" s="262">
        <v>273815.152</v>
      </c>
      <c r="NZ12" s="262">
        <v>213691.13200000001</v>
      </c>
      <c r="OA12" s="263">
        <v>0.28135945295100001</v>
      </c>
      <c r="OB12" s="262">
        <v>1441004.75</v>
      </c>
      <c r="OC12" s="262">
        <v>1308312.9669999999</v>
      </c>
      <c r="OD12" s="263">
        <v>0.101422049881739</v>
      </c>
      <c r="OE12" s="262">
        <v>3045407.6409999998</v>
      </c>
      <c r="OF12" s="262">
        <v>2957902.318</v>
      </c>
      <c r="OG12" s="263">
        <v>2.9583574301117199E-2</v>
      </c>
      <c r="OH12" s="262">
        <v>284159.03499999997</v>
      </c>
      <c r="OI12" s="262">
        <v>271169.05599999998</v>
      </c>
      <c r="OJ12" s="263">
        <v>4.7903618471865701E-2</v>
      </c>
      <c r="OK12" s="262">
        <v>1786420.0870000001</v>
      </c>
      <c r="OL12" s="262">
        <v>1789099.1610000001</v>
      </c>
      <c r="OM12" s="263">
        <v>-1.4974429916464701E-3</v>
      </c>
      <c r="ON12" s="262">
        <v>3732863.568</v>
      </c>
      <c r="OO12" s="262">
        <v>3733548.0019999999</v>
      </c>
      <c r="OP12" s="264">
        <v>-1.83319994716353E-4</v>
      </c>
      <c r="OQ12" s="262">
        <v>3578606.4449999998</v>
      </c>
      <c r="OR12" s="262">
        <v>2713266.307</v>
      </c>
      <c r="OS12" s="263">
        <v>0.31892930515795498</v>
      </c>
      <c r="OT12" s="262">
        <v>19647504.772999998</v>
      </c>
      <c r="OU12" s="262">
        <v>13557293.627</v>
      </c>
      <c r="OV12" s="263">
        <v>0.44922027312818902</v>
      </c>
      <c r="OW12" s="262">
        <v>35196842.068000004</v>
      </c>
      <c r="OX12" s="262">
        <v>30845206.681000002</v>
      </c>
      <c r="OY12" s="263">
        <v>0.141079793434502</v>
      </c>
      <c r="OZ12" s="262">
        <v>0</v>
      </c>
      <c r="PA12" s="262">
        <v>0</v>
      </c>
      <c r="PB12" s="263">
        <v>0</v>
      </c>
      <c r="PC12" s="262">
        <v>0</v>
      </c>
      <c r="PD12" s="262">
        <v>0</v>
      </c>
      <c r="PE12" s="263">
        <v>0</v>
      </c>
      <c r="PF12" s="262">
        <v>0</v>
      </c>
      <c r="PG12" s="262">
        <v>0</v>
      </c>
      <c r="PH12" s="263">
        <v>0</v>
      </c>
      <c r="PI12" s="262">
        <v>0</v>
      </c>
      <c r="PJ12" s="262">
        <v>0</v>
      </c>
      <c r="PK12" s="263">
        <v>0</v>
      </c>
      <c r="PL12" s="262">
        <v>0</v>
      </c>
      <c r="PM12" s="262">
        <v>0</v>
      </c>
      <c r="PN12" s="263">
        <v>0</v>
      </c>
      <c r="PO12" s="262">
        <v>0</v>
      </c>
      <c r="PP12" s="262">
        <v>0</v>
      </c>
      <c r="PQ12" s="263">
        <v>0</v>
      </c>
      <c r="PR12" s="262">
        <v>334267.56199999998</v>
      </c>
      <c r="PS12" s="262">
        <v>274345.56800000003</v>
      </c>
      <c r="PT12" s="263">
        <v>0.218417940690042</v>
      </c>
      <c r="PU12" s="262">
        <v>1775272.3119999999</v>
      </c>
      <c r="PV12" s="262">
        <v>1582658.5349999999</v>
      </c>
      <c r="PW12" s="263">
        <v>0.121702674797125</v>
      </c>
      <c r="PX12" s="262">
        <v>3105329.6349999998</v>
      </c>
      <c r="PY12" s="262">
        <v>2914964.2820000001</v>
      </c>
      <c r="PZ12" s="263">
        <v>6.5306238630610997E-2</v>
      </c>
      <c r="QA12" s="262">
        <v>316618.82299999997</v>
      </c>
      <c r="QB12" s="262">
        <v>265515.2</v>
      </c>
      <c r="QC12" s="263">
        <v>0.192469670286296</v>
      </c>
      <c r="QD12" s="262">
        <v>2103038.91</v>
      </c>
      <c r="QE12" s="262">
        <v>2054614.361</v>
      </c>
      <c r="QF12" s="263">
        <v>2.3568680293089901E-2</v>
      </c>
      <c r="QG12" s="262">
        <v>3783967.1910000001</v>
      </c>
      <c r="QH12" s="262">
        <v>3746752.1179999998</v>
      </c>
      <c r="QI12" s="264">
        <v>9.9326221292337803E-3</v>
      </c>
      <c r="QJ12" s="262">
        <v>3538346.3089999999</v>
      </c>
      <c r="QK12" s="262">
        <v>2914428.9709999999</v>
      </c>
      <c r="QL12" s="263">
        <v>0.21407875923835601</v>
      </c>
      <c r="QM12" s="262">
        <v>23185851.081999999</v>
      </c>
      <c r="QN12" s="262">
        <v>16471722.597999999</v>
      </c>
      <c r="QO12" s="263">
        <v>0.40761544180055798</v>
      </c>
      <c r="QP12" s="262">
        <v>35820759.406000003</v>
      </c>
      <c r="QQ12" s="262">
        <v>29334432.874000002</v>
      </c>
      <c r="QR12" s="263">
        <v>0.22111647973085699</v>
      </c>
      <c r="QS12" s="262">
        <v>0</v>
      </c>
      <c r="QT12" s="262">
        <v>0</v>
      </c>
      <c r="QU12" s="263">
        <v>0</v>
      </c>
      <c r="QV12" s="262">
        <v>0</v>
      </c>
      <c r="QW12" s="262">
        <v>0</v>
      </c>
      <c r="QX12" s="263">
        <v>0</v>
      </c>
      <c r="QY12" s="262">
        <v>0</v>
      </c>
      <c r="QZ12" s="262">
        <v>0</v>
      </c>
      <c r="RA12" s="263">
        <v>0</v>
      </c>
      <c r="RB12" s="262">
        <v>0</v>
      </c>
      <c r="RC12" s="262">
        <v>0</v>
      </c>
      <c r="RD12" s="263">
        <v>0</v>
      </c>
      <c r="RE12" s="262">
        <v>0</v>
      </c>
      <c r="RF12" s="262">
        <v>0</v>
      </c>
      <c r="RG12" s="263">
        <v>0</v>
      </c>
      <c r="RH12" s="262">
        <v>0</v>
      </c>
      <c r="RI12" s="262">
        <v>0</v>
      </c>
      <c r="RJ12" s="263">
        <v>0</v>
      </c>
      <c r="RK12" s="262">
        <v>319074.13400000002</v>
      </c>
      <c r="RL12" s="262">
        <v>334325.76699999999</v>
      </c>
      <c r="RM12" s="263">
        <v>-4.5619077275608197E-2</v>
      </c>
      <c r="RN12" s="262">
        <v>2094346.446</v>
      </c>
      <c r="RO12" s="262">
        <v>1916984.3019999999</v>
      </c>
      <c r="RP12" s="263">
        <v>9.2521437872473605E-2</v>
      </c>
      <c r="RQ12" s="262">
        <v>3090078.0019999999</v>
      </c>
      <c r="RR12" s="262">
        <v>2924162.01</v>
      </c>
      <c r="RS12" s="263">
        <v>5.67396715478155E-2</v>
      </c>
      <c r="RT12" s="262">
        <v>340029.93599999999</v>
      </c>
      <c r="RU12" s="262">
        <v>260370.47399999999</v>
      </c>
      <c r="RV12" s="263">
        <v>0.30594660283946001</v>
      </c>
      <c r="RW12" s="262">
        <v>2443068.8459999999</v>
      </c>
      <c r="RX12" s="262">
        <v>2314984.835</v>
      </c>
      <c r="RY12" s="263">
        <v>5.5328228964402697E-2</v>
      </c>
      <c r="RZ12" s="262">
        <v>3863626.6529999999</v>
      </c>
      <c r="SA12" s="262">
        <v>3698503.2080000001</v>
      </c>
      <c r="SB12" s="264">
        <v>4.4646019136290502E-2</v>
      </c>
      <c r="SC12" s="262">
        <v>3151579.966</v>
      </c>
      <c r="SD12" s="262">
        <v>2348252.8990000002</v>
      </c>
      <c r="SE12" s="263">
        <v>0.34209563516012098</v>
      </c>
      <c r="SF12" s="262">
        <v>26337431.048</v>
      </c>
      <c r="SG12" s="262">
        <v>18819975.497000001</v>
      </c>
      <c r="SH12" s="263">
        <v>0.39944024115219101</v>
      </c>
      <c r="SI12" s="262">
        <v>36624086.472999997</v>
      </c>
      <c r="SJ12" s="262">
        <v>27385514.335999999</v>
      </c>
      <c r="SK12" s="263">
        <v>0.337352515043156</v>
      </c>
      <c r="SL12" s="262">
        <v>0</v>
      </c>
      <c r="SM12" s="262">
        <v>0</v>
      </c>
      <c r="SN12" s="263">
        <v>0</v>
      </c>
      <c r="SO12" s="262">
        <v>0</v>
      </c>
      <c r="SP12" s="262">
        <v>0</v>
      </c>
      <c r="SQ12" s="263">
        <v>0</v>
      </c>
      <c r="SR12" s="262">
        <v>0</v>
      </c>
      <c r="SS12" s="262">
        <v>0</v>
      </c>
      <c r="ST12" s="263">
        <v>0</v>
      </c>
      <c r="SU12" s="262">
        <v>0</v>
      </c>
      <c r="SV12" s="262">
        <v>0</v>
      </c>
      <c r="SW12" s="263">
        <v>0</v>
      </c>
      <c r="SX12" s="262">
        <v>0</v>
      </c>
      <c r="SY12" s="262">
        <v>0</v>
      </c>
      <c r="SZ12" s="263">
        <v>0</v>
      </c>
      <c r="TA12" s="262">
        <v>0</v>
      </c>
      <c r="TB12" s="262">
        <v>0</v>
      </c>
      <c r="TC12" s="263">
        <v>0</v>
      </c>
      <c r="TD12" s="262">
        <v>274787.88699999999</v>
      </c>
      <c r="TE12" s="262">
        <v>246117.44899999999</v>
      </c>
      <c r="TF12" s="263">
        <v>0.116490879116824</v>
      </c>
      <c r="TG12" s="262">
        <v>2369134.3330000001</v>
      </c>
      <c r="TH12" s="262">
        <v>2163101.7510000002</v>
      </c>
      <c r="TI12" s="263">
        <v>9.5248677924998804E-2</v>
      </c>
      <c r="TJ12" s="262">
        <v>3118748.44</v>
      </c>
      <c r="TK12" s="262">
        <v>2872970.0129999998</v>
      </c>
      <c r="TL12" s="263">
        <v>8.5548552852229204E-2</v>
      </c>
      <c r="TM12" s="262">
        <v>307601.88</v>
      </c>
      <c r="TN12" s="262">
        <v>296235.93199999997</v>
      </c>
      <c r="TO12" s="263">
        <v>3.8367891171284502E-2</v>
      </c>
      <c r="TP12" s="262">
        <v>2750670.7259999998</v>
      </c>
      <c r="TQ12" s="262">
        <v>2611220.767</v>
      </c>
      <c r="TR12" s="263">
        <v>5.3404124523799702E-2</v>
      </c>
      <c r="TS12" s="262">
        <v>3874992.6009999998</v>
      </c>
      <c r="TT12" s="262">
        <v>3664033.037</v>
      </c>
      <c r="TU12" s="264">
        <v>5.7575781077762102E-2</v>
      </c>
      <c r="TV12" s="262">
        <v>4520037.3679999998</v>
      </c>
      <c r="TW12" s="262">
        <v>2264896.2990000001</v>
      </c>
      <c r="TX12" s="263">
        <v>0.99569285798899199</v>
      </c>
      <c r="TY12" s="262">
        <v>30857468.416000001</v>
      </c>
      <c r="TZ12" s="262">
        <v>21084871.796</v>
      </c>
      <c r="UA12" s="263">
        <v>0.46348854830855302</v>
      </c>
      <c r="UB12" s="262">
        <v>38879227.542000003</v>
      </c>
      <c r="UC12" s="262">
        <v>26142289.638</v>
      </c>
      <c r="UD12" s="263">
        <v>0.48721585141822499</v>
      </c>
      <c r="UE12" s="262">
        <v>0</v>
      </c>
      <c r="UF12" s="262">
        <v>0</v>
      </c>
      <c r="UG12" s="263">
        <v>0</v>
      </c>
      <c r="UH12" s="262">
        <v>0</v>
      </c>
      <c r="UI12" s="262">
        <v>0</v>
      </c>
      <c r="UJ12" s="263">
        <v>0</v>
      </c>
      <c r="UK12" s="262">
        <v>0</v>
      </c>
      <c r="UL12" s="262">
        <v>0</v>
      </c>
      <c r="UM12" s="263">
        <v>0</v>
      </c>
      <c r="UN12" s="262">
        <v>0</v>
      </c>
      <c r="UO12" s="262">
        <v>0</v>
      </c>
      <c r="UP12" s="263">
        <v>0</v>
      </c>
      <c r="UQ12" s="262">
        <v>0</v>
      </c>
      <c r="UR12" s="262">
        <v>0</v>
      </c>
      <c r="US12" s="263">
        <v>0</v>
      </c>
      <c r="UT12" s="262">
        <v>0</v>
      </c>
      <c r="UU12" s="262">
        <v>0</v>
      </c>
      <c r="UV12" s="263">
        <v>0</v>
      </c>
      <c r="UW12" s="262">
        <v>261469.261</v>
      </c>
      <c r="UX12" s="262">
        <v>233646.73300000001</v>
      </c>
      <c r="UY12" s="263">
        <v>0.119079465151349</v>
      </c>
      <c r="UZ12" s="262">
        <v>2630603.594</v>
      </c>
      <c r="VA12" s="262">
        <v>2396748.4840000002</v>
      </c>
      <c r="VB12" s="263">
        <v>9.7571819304841101E-2</v>
      </c>
      <c r="VC12" s="262">
        <v>3146570.9679999999</v>
      </c>
      <c r="VD12" s="262">
        <v>2858421.003</v>
      </c>
      <c r="VE12" s="263">
        <v>0.10080739145758399</v>
      </c>
      <c r="VF12" s="262">
        <v>370206.761</v>
      </c>
      <c r="VG12" s="262">
        <v>354842.10700000002</v>
      </c>
      <c r="VH12" s="263">
        <v>4.3299973979694498E-2</v>
      </c>
      <c r="VI12" s="262">
        <v>3120877.4870000002</v>
      </c>
      <c r="VJ12" s="262">
        <v>2966062.8739999998</v>
      </c>
      <c r="VK12" s="263">
        <v>5.2195324096828401E-2</v>
      </c>
      <c r="VL12" s="262">
        <v>3890357.2549999999</v>
      </c>
      <c r="VM12" s="262">
        <v>3632510.662</v>
      </c>
      <c r="VN12" s="264">
        <v>7.0983024412661702E-2</v>
      </c>
    </row>
    <row r="13" spans="1:586">
      <c r="A13" s="268" t="s">
        <v>136</v>
      </c>
      <c r="B13" s="262">
        <v>0</v>
      </c>
      <c r="C13" s="262">
        <v>0</v>
      </c>
      <c r="D13" s="263">
        <v>0</v>
      </c>
      <c r="E13" s="262">
        <v>0</v>
      </c>
      <c r="F13" s="262">
        <v>0</v>
      </c>
      <c r="G13" s="263">
        <v>0</v>
      </c>
      <c r="H13" s="262">
        <v>0</v>
      </c>
      <c r="I13" s="262">
        <v>0</v>
      </c>
      <c r="J13" s="263">
        <v>0</v>
      </c>
      <c r="K13" s="262">
        <v>0</v>
      </c>
      <c r="L13" s="262">
        <v>0</v>
      </c>
      <c r="M13" s="263">
        <v>0</v>
      </c>
      <c r="N13" s="262">
        <v>0</v>
      </c>
      <c r="O13" s="262">
        <v>0</v>
      </c>
      <c r="P13" s="263">
        <v>0</v>
      </c>
      <c r="Q13" s="262">
        <v>0</v>
      </c>
      <c r="R13" s="262">
        <v>0</v>
      </c>
      <c r="S13" s="263">
        <v>0</v>
      </c>
      <c r="T13" s="262">
        <v>0</v>
      </c>
      <c r="U13" s="262">
        <v>0</v>
      </c>
      <c r="V13" s="263">
        <v>0</v>
      </c>
      <c r="W13" s="262">
        <v>0</v>
      </c>
      <c r="X13" s="262">
        <v>0</v>
      </c>
      <c r="Y13" s="263">
        <v>0</v>
      </c>
      <c r="Z13" s="262">
        <v>0</v>
      </c>
      <c r="AA13" s="262">
        <v>0</v>
      </c>
      <c r="AB13" s="263">
        <v>0</v>
      </c>
      <c r="AC13" s="262">
        <v>0</v>
      </c>
      <c r="AD13" s="262">
        <v>0</v>
      </c>
      <c r="AE13" s="263">
        <v>0</v>
      </c>
      <c r="AF13" s="262">
        <v>0</v>
      </c>
      <c r="AG13" s="262">
        <v>0</v>
      </c>
      <c r="AH13" s="263">
        <v>0</v>
      </c>
      <c r="AI13" s="262">
        <v>0</v>
      </c>
      <c r="AJ13" s="262">
        <v>0</v>
      </c>
      <c r="AK13" s="263">
        <v>0</v>
      </c>
      <c r="AL13" s="262">
        <v>0</v>
      </c>
      <c r="AM13" s="262">
        <v>0</v>
      </c>
      <c r="AN13" s="263">
        <v>0</v>
      </c>
      <c r="AO13" s="262">
        <v>0</v>
      </c>
      <c r="AP13" s="262">
        <v>-65.988</v>
      </c>
      <c r="AQ13" s="263">
        <v>-1</v>
      </c>
      <c r="AR13" s="262">
        <v>0</v>
      </c>
      <c r="AS13" s="262">
        <v>-92.25</v>
      </c>
      <c r="AT13" s="264">
        <v>-1</v>
      </c>
      <c r="AU13" s="262">
        <v>0</v>
      </c>
      <c r="AV13" s="262">
        <v>0</v>
      </c>
      <c r="AW13" s="263">
        <v>0</v>
      </c>
      <c r="AX13" s="262">
        <v>0</v>
      </c>
      <c r="AY13" s="262">
        <v>0</v>
      </c>
      <c r="AZ13" s="263">
        <v>0</v>
      </c>
      <c r="BA13" s="262">
        <v>0</v>
      </c>
      <c r="BB13" s="262">
        <v>0</v>
      </c>
      <c r="BC13" s="263">
        <v>0</v>
      </c>
      <c r="BD13" s="262">
        <v>0</v>
      </c>
      <c r="BE13" s="262">
        <v>0</v>
      </c>
      <c r="BF13" s="263">
        <v>0</v>
      </c>
      <c r="BG13" s="262">
        <v>0</v>
      </c>
      <c r="BH13" s="262">
        <v>0</v>
      </c>
      <c r="BI13" s="263">
        <v>0</v>
      </c>
      <c r="BJ13" s="262">
        <v>0</v>
      </c>
      <c r="BK13" s="262">
        <v>0</v>
      </c>
      <c r="BL13" s="263">
        <v>0</v>
      </c>
      <c r="BM13" s="262">
        <v>0</v>
      </c>
      <c r="BN13" s="262">
        <v>0</v>
      </c>
      <c r="BO13" s="263">
        <v>0</v>
      </c>
      <c r="BP13" s="262">
        <v>0</v>
      </c>
      <c r="BQ13" s="262">
        <v>0</v>
      </c>
      <c r="BR13" s="263">
        <v>0</v>
      </c>
      <c r="BS13" s="262">
        <v>0</v>
      </c>
      <c r="BT13" s="262">
        <v>0</v>
      </c>
      <c r="BU13" s="263">
        <v>0</v>
      </c>
      <c r="BV13" s="262">
        <v>0</v>
      </c>
      <c r="BW13" s="262">
        <v>0</v>
      </c>
      <c r="BX13" s="263">
        <v>0</v>
      </c>
      <c r="BY13" s="262">
        <v>0</v>
      </c>
      <c r="BZ13" s="262">
        <v>0</v>
      </c>
      <c r="CA13" s="263">
        <v>0</v>
      </c>
      <c r="CB13" s="262">
        <v>0</v>
      </c>
      <c r="CC13" s="262">
        <v>0</v>
      </c>
      <c r="CD13" s="263">
        <v>0</v>
      </c>
      <c r="CE13" s="262">
        <v>0</v>
      </c>
      <c r="CF13" s="262">
        <v>0</v>
      </c>
      <c r="CG13" s="263">
        <v>0</v>
      </c>
      <c r="CH13" s="262">
        <v>0</v>
      </c>
      <c r="CI13" s="262">
        <v>-65.988</v>
      </c>
      <c r="CJ13" s="263">
        <v>-1</v>
      </c>
      <c r="CK13" s="262">
        <v>0</v>
      </c>
      <c r="CL13" s="262">
        <v>-79.613</v>
      </c>
      <c r="CM13" s="264">
        <v>-1</v>
      </c>
      <c r="CN13" s="262">
        <v>0</v>
      </c>
      <c r="CO13" s="262">
        <v>0</v>
      </c>
      <c r="CP13" s="263">
        <v>0</v>
      </c>
      <c r="CQ13" s="262">
        <v>0</v>
      </c>
      <c r="CR13" s="262">
        <v>0</v>
      </c>
      <c r="CS13" s="263">
        <v>0</v>
      </c>
      <c r="CT13" s="262">
        <v>0</v>
      </c>
      <c r="CU13" s="262">
        <v>0</v>
      </c>
      <c r="CV13" s="263">
        <v>0</v>
      </c>
      <c r="CW13" s="262">
        <v>0</v>
      </c>
      <c r="CX13" s="262">
        <v>0</v>
      </c>
      <c r="CY13" s="263">
        <v>0</v>
      </c>
      <c r="CZ13" s="262">
        <v>0</v>
      </c>
      <c r="DA13" s="262">
        <v>0</v>
      </c>
      <c r="DB13" s="263">
        <v>0</v>
      </c>
      <c r="DC13" s="262">
        <v>0</v>
      </c>
      <c r="DD13" s="262">
        <v>0</v>
      </c>
      <c r="DE13" s="263">
        <v>0</v>
      </c>
      <c r="DF13" s="262">
        <v>0</v>
      </c>
      <c r="DG13" s="262">
        <v>0</v>
      </c>
      <c r="DH13" s="263">
        <v>0</v>
      </c>
      <c r="DI13" s="262">
        <v>0</v>
      </c>
      <c r="DJ13" s="262">
        <v>0</v>
      </c>
      <c r="DK13" s="263">
        <v>0</v>
      </c>
      <c r="DL13" s="262">
        <v>0</v>
      </c>
      <c r="DM13" s="262">
        <v>0</v>
      </c>
      <c r="DN13" s="263">
        <v>0</v>
      </c>
      <c r="DO13" s="262">
        <v>0</v>
      </c>
      <c r="DP13" s="262">
        <v>0</v>
      </c>
      <c r="DQ13" s="263">
        <v>0</v>
      </c>
      <c r="DR13" s="262">
        <v>0</v>
      </c>
      <c r="DS13" s="262">
        <v>0</v>
      </c>
      <c r="DT13" s="263">
        <v>0</v>
      </c>
      <c r="DU13" s="262">
        <v>0</v>
      </c>
      <c r="DV13" s="262">
        <v>0</v>
      </c>
      <c r="DW13" s="263">
        <v>0</v>
      </c>
      <c r="DX13" s="262">
        <v>0</v>
      </c>
      <c r="DY13" s="262">
        <v>0</v>
      </c>
      <c r="DZ13" s="263">
        <v>0</v>
      </c>
      <c r="EA13" s="262">
        <v>0</v>
      </c>
      <c r="EB13" s="262">
        <v>-65.988</v>
      </c>
      <c r="EC13" s="263">
        <v>-1</v>
      </c>
      <c r="ED13" s="262">
        <v>0</v>
      </c>
      <c r="EE13" s="262">
        <v>-65.988</v>
      </c>
      <c r="EF13" s="264">
        <v>-1</v>
      </c>
      <c r="EG13" s="262">
        <v>0</v>
      </c>
      <c r="EH13" s="262">
        <v>0</v>
      </c>
      <c r="EI13" s="263">
        <v>0</v>
      </c>
      <c r="EJ13" s="262">
        <v>0</v>
      </c>
      <c r="EK13" s="262">
        <v>0</v>
      </c>
      <c r="EL13" s="263">
        <v>0</v>
      </c>
      <c r="EM13" s="262">
        <v>0</v>
      </c>
      <c r="EN13" s="262">
        <v>0</v>
      </c>
      <c r="EO13" s="263">
        <v>0</v>
      </c>
      <c r="EP13" s="262">
        <v>0</v>
      </c>
      <c r="EQ13" s="262">
        <v>0</v>
      </c>
      <c r="ER13" s="263">
        <v>0</v>
      </c>
      <c r="ES13" s="262">
        <v>0</v>
      </c>
      <c r="ET13" s="262">
        <v>0</v>
      </c>
      <c r="EU13" s="263">
        <v>0</v>
      </c>
      <c r="EV13" s="262">
        <v>0</v>
      </c>
      <c r="EW13" s="262">
        <v>0</v>
      </c>
      <c r="EX13" s="263">
        <v>0</v>
      </c>
      <c r="EY13" s="262">
        <v>0</v>
      </c>
      <c r="EZ13" s="262">
        <v>0</v>
      </c>
      <c r="FA13" s="263">
        <v>0</v>
      </c>
      <c r="FB13" s="262">
        <v>0</v>
      </c>
      <c r="FC13" s="262">
        <v>0</v>
      </c>
      <c r="FD13" s="263">
        <v>0</v>
      </c>
      <c r="FE13" s="262">
        <v>0</v>
      </c>
      <c r="FF13" s="262">
        <v>0</v>
      </c>
      <c r="FG13" s="263">
        <v>0</v>
      </c>
      <c r="FH13" s="262">
        <v>0</v>
      </c>
      <c r="FI13" s="262">
        <v>0</v>
      </c>
      <c r="FJ13" s="263">
        <v>0</v>
      </c>
      <c r="FK13" s="262">
        <v>0</v>
      </c>
      <c r="FL13" s="262">
        <v>0</v>
      </c>
      <c r="FM13" s="263">
        <v>0</v>
      </c>
      <c r="FN13" s="262">
        <v>0</v>
      </c>
      <c r="FO13" s="262">
        <v>0</v>
      </c>
      <c r="FP13" s="263">
        <v>0</v>
      </c>
      <c r="FQ13" s="262">
        <v>0</v>
      </c>
      <c r="FR13" s="262">
        <v>0</v>
      </c>
      <c r="FS13" s="263">
        <v>0</v>
      </c>
      <c r="FT13" s="262">
        <v>0</v>
      </c>
      <c r="FU13" s="262">
        <v>0</v>
      </c>
      <c r="FV13" s="263">
        <v>0</v>
      </c>
      <c r="FW13" s="262">
        <v>0</v>
      </c>
      <c r="FX13" s="262">
        <v>-52.14</v>
      </c>
      <c r="FY13" s="264">
        <v>-1</v>
      </c>
      <c r="FZ13" s="262">
        <v>0</v>
      </c>
      <c r="GA13" s="262">
        <v>0</v>
      </c>
      <c r="GB13" s="263">
        <v>0</v>
      </c>
      <c r="GC13" s="262">
        <v>0</v>
      </c>
      <c r="GD13" s="262">
        <v>0</v>
      </c>
      <c r="GE13" s="263">
        <v>0</v>
      </c>
      <c r="GF13" s="262">
        <v>0</v>
      </c>
      <c r="GG13" s="262">
        <v>0</v>
      </c>
      <c r="GH13" s="263">
        <v>0</v>
      </c>
      <c r="GI13" s="262">
        <v>0</v>
      </c>
      <c r="GJ13" s="262">
        <v>0</v>
      </c>
      <c r="GK13" s="263">
        <v>0</v>
      </c>
      <c r="GL13" s="262">
        <v>0</v>
      </c>
      <c r="GM13" s="262">
        <v>0</v>
      </c>
      <c r="GN13" s="263">
        <v>0</v>
      </c>
      <c r="GO13" s="262">
        <v>0</v>
      </c>
      <c r="GP13" s="262">
        <v>0</v>
      </c>
      <c r="GQ13" s="263">
        <v>0</v>
      </c>
      <c r="GR13" s="262">
        <v>0</v>
      </c>
      <c r="GS13" s="262">
        <v>0</v>
      </c>
      <c r="GT13" s="263">
        <v>0</v>
      </c>
      <c r="GU13" s="262">
        <v>0</v>
      </c>
      <c r="GV13" s="262">
        <v>0</v>
      </c>
      <c r="GW13" s="263">
        <v>0</v>
      </c>
      <c r="GX13" s="262">
        <v>0</v>
      </c>
      <c r="GY13" s="262">
        <v>0</v>
      </c>
      <c r="GZ13" s="263">
        <v>0</v>
      </c>
      <c r="HA13" s="262">
        <v>0</v>
      </c>
      <c r="HB13" s="262">
        <v>0</v>
      </c>
      <c r="HC13" s="263">
        <v>0</v>
      </c>
      <c r="HD13" s="262">
        <v>0</v>
      </c>
      <c r="HE13" s="262">
        <v>0</v>
      </c>
      <c r="HF13" s="263">
        <v>0</v>
      </c>
      <c r="HG13" s="262">
        <v>0</v>
      </c>
      <c r="HH13" s="262">
        <v>0</v>
      </c>
      <c r="HI13" s="263">
        <v>0</v>
      </c>
      <c r="HJ13" s="262">
        <v>0</v>
      </c>
      <c r="HK13" s="262">
        <v>0</v>
      </c>
      <c r="HL13" s="263">
        <v>0</v>
      </c>
      <c r="HM13" s="262">
        <v>0</v>
      </c>
      <c r="HN13" s="262">
        <v>0</v>
      </c>
      <c r="HO13" s="263">
        <v>0</v>
      </c>
      <c r="HP13" s="262">
        <v>0</v>
      </c>
      <c r="HQ13" s="262">
        <v>-42.170999999999999</v>
      </c>
      <c r="HR13" s="264">
        <v>-1</v>
      </c>
      <c r="HS13" s="262">
        <v>0</v>
      </c>
      <c r="HT13" s="262">
        <v>0</v>
      </c>
      <c r="HU13" s="263">
        <v>0</v>
      </c>
      <c r="HV13" s="262">
        <v>0</v>
      </c>
      <c r="HW13" s="262">
        <v>0</v>
      </c>
      <c r="HX13" s="263">
        <v>0</v>
      </c>
      <c r="HY13" s="262">
        <v>0</v>
      </c>
      <c r="HZ13" s="262">
        <v>0</v>
      </c>
      <c r="IA13" s="263">
        <v>0</v>
      </c>
      <c r="IB13" s="262">
        <v>0</v>
      </c>
      <c r="IC13" s="262">
        <v>0</v>
      </c>
      <c r="ID13" s="263">
        <v>0</v>
      </c>
      <c r="IE13" s="262">
        <v>0</v>
      </c>
      <c r="IF13" s="262">
        <v>0</v>
      </c>
      <c r="IG13" s="263">
        <v>0</v>
      </c>
      <c r="IH13" s="262">
        <v>0</v>
      </c>
      <c r="II13" s="262">
        <v>0</v>
      </c>
      <c r="IJ13" s="263">
        <v>0</v>
      </c>
      <c r="IK13" s="262">
        <v>0</v>
      </c>
      <c r="IL13" s="262">
        <v>0</v>
      </c>
      <c r="IM13" s="263">
        <v>0</v>
      </c>
      <c r="IN13" s="262">
        <v>0</v>
      </c>
      <c r="IO13" s="262">
        <v>0</v>
      </c>
      <c r="IP13" s="263">
        <v>0</v>
      </c>
      <c r="IQ13" s="262">
        <v>0</v>
      </c>
      <c r="IR13" s="262">
        <v>0</v>
      </c>
      <c r="IS13" s="263">
        <v>0</v>
      </c>
      <c r="IT13" s="262">
        <v>0</v>
      </c>
      <c r="IU13" s="262">
        <v>0</v>
      </c>
      <c r="IV13" s="263">
        <v>0</v>
      </c>
      <c r="IW13" s="262">
        <v>0</v>
      </c>
      <c r="IX13" s="262">
        <v>0</v>
      </c>
      <c r="IY13" s="263">
        <v>0</v>
      </c>
      <c r="IZ13" s="262">
        <v>0</v>
      </c>
      <c r="JA13" s="262">
        <v>0</v>
      </c>
      <c r="JB13" s="263">
        <v>0</v>
      </c>
      <c r="JC13" s="262">
        <v>0</v>
      </c>
      <c r="JD13" s="262">
        <v>0</v>
      </c>
      <c r="JE13" s="263">
        <v>0</v>
      </c>
      <c r="JF13" s="262">
        <v>0</v>
      </c>
      <c r="JG13" s="262">
        <v>0</v>
      </c>
      <c r="JH13" s="263">
        <v>0</v>
      </c>
      <c r="JI13" s="262">
        <v>0</v>
      </c>
      <c r="JJ13" s="262">
        <v>-28.417999999999999</v>
      </c>
      <c r="JK13" s="264">
        <v>-1</v>
      </c>
      <c r="JL13" s="262">
        <v>0</v>
      </c>
      <c r="JM13" s="262">
        <v>0</v>
      </c>
      <c r="JN13" s="263">
        <v>0</v>
      </c>
      <c r="JO13" s="262">
        <v>0</v>
      </c>
      <c r="JP13" s="262">
        <v>0</v>
      </c>
      <c r="JQ13" s="263">
        <v>0</v>
      </c>
      <c r="JR13" s="262">
        <v>0</v>
      </c>
      <c r="JS13" s="262">
        <v>0</v>
      </c>
      <c r="JT13" s="263">
        <v>0</v>
      </c>
      <c r="JU13" s="262">
        <v>0</v>
      </c>
      <c r="JV13" s="262">
        <v>0</v>
      </c>
      <c r="JW13" s="263">
        <v>0</v>
      </c>
      <c r="JX13" s="262">
        <v>0</v>
      </c>
      <c r="JY13" s="262">
        <v>0</v>
      </c>
      <c r="JZ13" s="263">
        <v>0</v>
      </c>
      <c r="KA13" s="262">
        <v>0</v>
      </c>
      <c r="KB13" s="262">
        <v>0</v>
      </c>
      <c r="KC13" s="263">
        <v>0</v>
      </c>
      <c r="KD13" s="262">
        <v>0</v>
      </c>
      <c r="KE13" s="262">
        <v>0</v>
      </c>
      <c r="KF13" s="263">
        <v>0</v>
      </c>
      <c r="KG13" s="262">
        <v>0</v>
      </c>
      <c r="KH13" s="262">
        <v>0</v>
      </c>
      <c r="KI13" s="263">
        <v>0</v>
      </c>
      <c r="KJ13" s="262">
        <v>0</v>
      </c>
      <c r="KK13" s="262">
        <v>0</v>
      </c>
      <c r="KL13" s="263">
        <v>0</v>
      </c>
      <c r="KM13" s="262">
        <v>0</v>
      </c>
      <c r="KN13" s="262">
        <v>0</v>
      </c>
      <c r="KO13" s="263">
        <v>0</v>
      </c>
      <c r="KP13" s="262">
        <v>0</v>
      </c>
      <c r="KQ13" s="262">
        <v>0</v>
      </c>
      <c r="KR13" s="263">
        <v>0</v>
      </c>
      <c r="KS13" s="262">
        <v>0</v>
      </c>
      <c r="KT13" s="262">
        <v>0</v>
      </c>
      <c r="KU13" s="263">
        <v>0</v>
      </c>
      <c r="KV13" s="262">
        <v>0</v>
      </c>
      <c r="KW13" s="262">
        <v>0</v>
      </c>
      <c r="KX13" s="263">
        <v>0</v>
      </c>
      <c r="KY13" s="262">
        <v>0</v>
      </c>
      <c r="KZ13" s="262">
        <v>0</v>
      </c>
      <c r="LA13" s="263">
        <v>0</v>
      </c>
      <c r="LB13" s="262">
        <v>0</v>
      </c>
      <c r="LC13" s="262">
        <v>-15.491</v>
      </c>
      <c r="LD13" s="264">
        <v>-1</v>
      </c>
      <c r="LE13" s="262">
        <v>0</v>
      </c>
      <c r="LF13" s="262">
        <v>0</v>
      </c>
      <c r="LG13" s="263">
        <v>0</v>
      </c>
      <c r="LH13" s="262">
        <v>0</v>
      </c>
      <c r="LI13" s="262">
        <v>0</v>
      </c>
      <c r="LJ13" s="263">
        <v>0</v>
      </c>
      <c r="LK13" s="262">
        <v>0</v>
      </c>
      <c r="LL13" s="262">
        <v>0</v>
      </c>
      <c r="LM13" s="263">
        <v>0</v>
      </c>
      <c r="LN13" s="262">
        <v>0</v>
      </c>
      <c r="LO13" s="262">
        <v>0</v>
      </c>
      <c r="LP13" s="263">
        <v>0</v>
      </c>
      <c r="LQ13" s="262">
        <v>0</v>
      </c>
      <c r="LR13" s="262">
        <v>0</v>
      </c>
      <c r="LS13" s="263">
        <v>0</v>
      </c>
      <c r="LT13" s="262">
        <v>0</v>
      </c>
      <c r="LU13" s="262">
        <v>0</v>
      </c>
      <c r="LV13" s="263">
        <v>0</v>
      </c>
      <c r="LW13" s="262">
        <v>0</v>
      </c>
      <c r="LX13" s="262">
        <v>0</v>
      </c>
      <c r="LY13" s="263">
        <v>0</v>
      </c>
      <c r="LZ13" s="262">
        <v>0</v>
      </c>
      <c r="MA13" s="262">
        <v>0</v>
      </c>
      <c r="MB13" s="263">
        <v>0</v>
      </c>
      <c r="MC13" s="262">
        <v>0</v>
      </c>
      <c r="MD13" s="262">
        <v>0</v>
      </c>
      <c r="ME13" s="263">
        <v>0</v>
      </c>
      <c r="MF13" s="262">
        <v>0</v>
      </c>
      <c r="MG13" s="262">
        <v>0</v>
      </c>
      <c r="MH13" s="263">
        <v>0</v>
      </c>
      <c r="MI13" s="262">
        <v>0</v>
      </c>
      <c r="MJ13" s="262">
        <v>0</v>
      </c>
      <c r="MK13" s="263">
        <v>0</v>
      </c>
      <c r="ML13" s="262">
        <v>0</v>
      </c>
      <c r="MM13" s="262">
        <v>0</v>
      </c>
      <c r="MN13" s="263">
        <v>0</v>
      </c>
      <c r="MO13" s="262">
        <v>0</v>
      </c>
      <c r="MP13" s="262">
        <v>0</v>
      </c>
      <c r="MQ13" s="263">
        <v>0</v>
      </c>
      <c r="MR13" s="262">
        <v>0</v>
      </c>
      <c r="MS13" s="262">
        <v>0</v>
      </c>
      <c r="MT13" s="263">
        <v>0</v>
      </c>
      <c r="MU13" s="262">
        <v>0</v>
      </c>
      <c r="MV13" s="262">
        <v>-2.0099999999999998</v>
      </c>
      <c r="MW13" s="264">
        <v>-1</v>
      </c>
      <c r="MX13" s="262">
        <v>0</v>
      </c>
      <c r="MY13" s="262">
        <v>0</v>
      </c>
      <c r="MZ13" s="263">
        <v>0</v>
      </c>
      <c r="NA13" s="262">
        <v>0</v>
      </c>
      <c r="NB13" s="262">
        <v>0</v>
      </c>
      <c r="NC13" s="263">
        <v>0</v>
      </c>
      <c r="ND13" s="262">
        <v>0</v>
      </c>
      <c r="NE13" s="262">
        <v>0</v>
      </c>
      <c r="NF13" s="263">
        <v>0</v>
      </c>
      <c r="NG13" s="262">
        <v>0</v>
      </c>
      <c r="NH13" s="262">
        <v>0</v>
      </c>
      <c r="NI13" s="263">
        <v>0</v>
      </c>
      <c r="NJ13" s="262">
        <v>0</v>
      </c>
      <c r="NK13" s="262">
        <v>0</v>
      </c>
      <c r="NL13" s="263">
        <v>0</v>
      </c>
      <c r="NM13" s="262">
        <v>0</v>
      </c>
      <c r="NN13" s="262">
        <v>0</v>
      </c>
      <c r="NO13" s="263">
        <v>0</v>
      </c>
      <c r="NP13" s="262">
        <v>0</v>
      </c>
      <c r="NQ13" s="262">
        <v>0</v>
      </c>
      <c r="NR13" s="263">
        <v>0</v>
      </c>
      <c r="NS13" s="262">
        <v>0</v>
      </c>
      <c r="NT13" s="262">
        <v>0</v>
      </c>
      <c r="NU13" s="263">
        <v>0</v>
      </c>
      <c r="NV13" s="262">
        <v>0</v>
      </c>
      <c r="NW13" s="262">
        <v>0</v>
      </c>
      <c r="NX13" s="263">
        <v>0</v>
      </c>
      <c r="NY13" s="262">
        <v>0</v>
      </c>
      <c r="NZ13" s="262">
        <v>0</v>
      </c>
      <c r="OA13" s="263">
        <v>0</v>
      </c>
      <c r="OB13" s="262">
        <v>0</v>
      </c>
      <c r="OC13" s="262">
        <v>0</v>
      </c>
      <c r="OD13" s="263">
        <v>0</v>
      </c>
      <c r="OE13" s="262">
        <v>0</v>
      </c>
      <c r="OF13" s="262">
        <v>0</v>
      </c>
      <c r="OG13" s="263">
        <v>0</v>
      </c>
      <c r="OH13" s="262">
        <v>0</v>
      </c>
      <c r="OI13" s="262">
        <v>0</v>
      </c>
      <c r="OJ13" s="263">
        <v>0</v>
      </c>
      <c r="OK13" s="262">
        <v>0</v>
      </c>
      <c r="OL13" s="262">
        <v>0</v>
      </c>
      <c r="OM13" s="263">
        <v>0</v>
      </c>
      <c r="ON13" s="262">
        <v>0</v>
      </c>
      <c r="OO13" s="262">
        <v>0</v>
      </c>
      <c r="OP13" s="264">
        <v>0</v>
      </c>
      <c r="OQ13" s="262">
        <v>0</v>
      </c>
      <c r="OR13" s="262">
        <v>0</v>
      </c>
      <c r="OS13" s="263">
        <v>0</v>
      </c>
      <c r="OT13" s="262">
        <v>0</v>
      </c>
      <c r="OU13" s="262">
        <v>0</v>
      </c>
      <c r="OV13" s="263">
        <v>0</v>
      </c>
      <c r="OW13" s="262">
        <v>0</v>
      </c>
      <c r="OX13" s="262">
        <v>0</v>
      </c>
      <c r="OY13" s="263">
        <v>0</v>
      </c>
      <c r="OZ13" s="262">
        <v>0</v>
      </c>
      <c r="PA13" s="262">
        <v>0</v>
      </c>
      <c r="PB13" s="263">
        <v>0</v>
      </c>
      <c r="PC13" s="262">
        <v>0</v>
      </c>
      <c r="PD13" s="262">
        <v>0</v>
      </c>
      <c r="PE13" s="263">
        <v>0</v>
      </c>
      <c r="PF13" s="262">
        <v>0</v>
      </c>
      <c r="PG13" s="262">
        <v>0</v>
      </c>
      <c r="PH13" s="263">
        <v>0</v>
      </c>
      <c r="PI13" s="262">
        <v>0</v>
      </c>
      <c r="PJ13" s="262">
        <v>0</v>
      </c>
      <c r="PK13" s="263">
        <v>0</v>
      </c>
      <c r="PL13" s="262">
        <v>0</v>
      </c>
      <c r="PM13" s="262">
        <v>0</v>
      </c>
      <c r="PN13" s="263">
        <v>0</v>
      </c>
      <c r="PO13" s="262">
        <v>0</v>
      </c>
      <c r="PP13" s="262">
        <v>0</v>
      </c>
      <c r="PQ13" s="263">
        <v>0</v>
      </c>
      <c r="PR13" s="262">
        <v>0</v>
      </c>
      <c r="PS13" s="262">
        <v>0</v>
      </c>
      <c r="PT13" s="263">
        <v>0</v>
      </c>
      <c r="PU13" s="262">
        <v>0</v>
      </c>
      <c r="PV13" s="262">
        <v>0</v>
      </c>
      <c r="PW13" s="263">
        <v>0</v>
      </c>
      <c r="PX13" s="262">
        <v>0</v>
      </c>
      <c r="PY13" s="262">
        <v>0</v>
      </c>
      <c r="PZ13" s="263">
        <v>0</v>
      </c>
      <c r="QA13" s="262">
        <v>0</v>
      </c>
      <c r="QB13" s="262">
        <v>0</v>
      </c>
      <c r="QC13" s="263">
        <v>0</v>
      </c>
      <c r="QD13" s="262">
        <v>0</v>
      </c>
      <c r="QE13" s="262">
        <v>0</v>
      </c>
      <c r="QF13" s="263">
        <v>0</v>
      </c>
      <c r="QG13" s="262">
        <v>0</v>
      </c>
      <c r="QH13" s="262">
        <v>0</v>
      </c>
      <c r="QI13" s="264">
        <v>0</v>
      </c>
      <c r="QJ13" s="262">
        <v>0</v>
      </c>
      <c r="QK13" s="262">
        <v>0</v>
      </c>
      <c r="QL13" s="263">
        <v>0</v>
      </c>
      <c r="QM13" s="262">
        <v>0</v>
      </c>
      <c r="QN13" s="262">
        <v>0</v>
      </c>
      <c r="QO13" s="263">
        <v>0</v>
      </c>
      <c r="QP13" s="262">
        <v>0</v>
      </c>
      <c r="QQ13" s="262">
        <v>0</v>
      </c>
      <c r="QR13" s="263">
        <v>0</v>
      </c>
      <c r="QS13" s="262">
        <v>0</v>
      </c>
      <c r="QT13" s="262">
        <v>0</v>
      </c>
      <c r="QU13" s="263">
        <v>0</v>
      </c>
      <c r="QV13" s="262">
        <v>0</v>
      </c>
      <c r="QW13" s="262">
        <v>0</v>
      </c>
      <c r="QX13" s="263">
        <v>0</v>
      </c>
      <c r="QY13" s="262">
        <v>0</v>
      </c>
      <c r="QZ13" s="262">
        <v>0</v>
      </c>
      <c r="RA13" s="263">
        <v>0</v>
      </c>
      <c r="RB13" s="262">
        <v>0</v>
      </c>
      <c r="RC13" s="262">
        <v>0</v>
      </c>
      <c r="RD13" s="263">
        <v>0</v>
      </c>
      <c r="RE13" s="262">
        <v>0</v>
      </c>
      <c r="RF13" s="262">
        <v>0</v>
      </c>
      <c r="RG13" s="263">
        <v>0</v>
      </c>
      <c r="RH13" s="262">
        <v>0</v>
      </c>
      <c r="RI13" s="262">
        <v>0</v>
      </c>
      <c r="RJ13" s="263">
        <v>0</v>
      </c>
      <c r="RK13" s="262">
        <v>0</v>
      </c>
      <c r="RL13" s="262">
        <v>0</v>
      </c>
      <c r="RM13" s="263">
        <v>0</v>
      </c>
      <c r="RN13" s="262">
        <v>0</v>
      </c>
      <c r="RO13" s="262">
        <v>0</v>
      </c>
      <c r="RP13" s="263">
        <v>0</v>
      </c>
      <c r="RQ13" s="262">
        <v>0</v>
      </c>
      <c r="RR13" s="262">
        <v>0</v>
      </c>
      <c r="RS13" s="263">
        <v>0</v>
      </c>
      <c r="RT13" s="262">
        <v>0</v>
      </c>
      <c r="RU13" s="262">
        <v>0</v>
      </c>
      <c r="RV13" s="263">
        <v>0</v>
      </c>
      <c r="RW13" s="262">
        <v>0</v>
      </c>
      <c r="RX13" s="262">
        <v>0</v>
      </c>
      <c r="RY13" s="263">
        <v>0</v>
      </c>
      <c r="RZ13" s="262">
        <v>0</v>
      </c>
      <c r="SA13" s="262">
        <v>0</v>
      </c>
      <c r="SB13" s="264">
        <v>0</v>
      </c>
      <c r="SC13" s="262">
        <v>0</v>
      </c>
      <c r="SD13" s="262">
        <v>0</v>
      </c>
      <c r="SE13" s="263">
        <v>0</v>
      </c>
      <c r="SF13" s="262">
        <v>0</v>
      </c>
      <c r="SG13" s="262">
        <v>0</v>
      </c>
      <c r="SH13" s="263">
        <v>0</v>
      </c>
      <c r="SI13" s="262">
        <v>0</v>
      </c>
      <c r="SJ13" s="262">
        <v>0</v>
      </c>
      <c r="SK13" s="263">
        <v>0</v>
      </c>
      <c r="SL13" s="262">
        <v>0</v>
      </c>
      <c r="SM13" s="262">
        <v>0</v>
      </c>
      <c r="SN13" s="263">
        <v>0</v>
      </c>
      <c r="SO13" s="262">
        <v>0</v>
      </c>
      <c r="SP13" s="262">
        <v>0</v>
      </c>
      <c r="SQ13" s="263">
        <v>0</v>
      </c>
      <c r="SR13" s="262">
        <v>0</v>
      </c>
      <c r="SS13" s="262">
        <v>0</v>
      </c>
      <c r="ST13" s="263">
        <v>0</v>
      </c>
      <c r="SU13" s="262">
        <v>0</v>
      </c>
      <c r="SV13" s="262">
        <v>0</v>
      </c>
      <c r="SW13" s="263">
        <v>0</v>
      </c>
      <c r="SX13" s="262">
        <v>0</v>
      </c>
      <c r="SY13" s="262">
        <v>0</v>
      </c>
      <c r="SZ13" s="263">
        <v>0</v>
      </c>
      <c r="TA13" s="262">
        <v>0</v>
      </c>
      <c r="TB13" s="262">
        <v>0</v>
      </c>
      <c r="TC13" s="263">
        <v>0</v>
      </c>
      <c r="TD13" s="262">
        <v>0</v>
      </c>
      <c r="TE13" s="262">
        <v>0</v>
      </c>
      <c r="TF13" s="263">
        <v>0</v>
      </c>
      <c r="TG13" s="262">
        <v>0</v>
      </c>
      <c r="TH13" s="262">
        <v>0</v>
      </c>
      <c r="TI13" s="263">
        <v>0</v>
      </c>
      <c r="TJ13" s="262">
        <v>0</v>
      </c>
      <c r="TK13" s="262">
        <v>0</v>
      </c>
      <c r="TL13" s="263">
        <v>0</v>
      </c>
      <c r="TM13" s="262">
        <v>0</v>
      </c>
      <c r="TN13" s="262">
        <v>0</v>
      </c>
      <c r="TO13" s="263">
        <v>0</v>
      </c>
      <c r="TP13" s="262">
        <v>0</v>
      </c>
      <c r="TQ13" s="262">
        <v>0</v>
      </c>
      <c r="TR13" s="263">
        <v>0</v>
      </c>
      <c r="TS13" s="262">
        <v>0</v>
      </c>
      <c r="TT13" s="262">
        <v>0</v>
      </c>
      <c r="TU13" s="264">
        <v>0</v>
      </c>
      <c r="TV13" s="262">
        <v>0</v>
      </c>
      <c r="TW13" s="262">
        <v>0</v>
      </c>
      <c r="TX13" s="263">
        <v>0</v>
      </c>
      <c r="TY13" s="262">
        <v>0</v>
      </c>
      <c r="TZ13" s="262">
        <v>0</v>
      </c>
      <c r="UA13" s="263">
        <v>0</v>
      </c>
      <c r="UB13" s="262">
        <v>0</v>
      </c>
      <c r="UC13" s="262">
        <v>0</v>
      </c>
      <c r="UD13" s="263">
        <v>0</v>
      </c>
      <c r="UE13" s="262">
        <v>0</v>
      </c>
      <c r="UF13" s="262">
        <v>0</v>
      </c>
      <c r="UG13" s="263">
        <v>0</v>
      </c>
      <c r="UH13" s="262">
        <v>0</v>
      </c>
      <c r="UI13" s="262">
        <v>0</v>
      </c>
      <c r="UJ13" s="263">
        <v>0</v>
      </c>
      <c r="UK13" s="262">
        <v>0</v>
      </c>
      <c r="UL13" s="262">
        <v>0</v>
      </c>
      <c r="UM13" s="263">
        <v>0</v>
      </c>
      <c r="UN13" s="262">
        <v>0</v>
      </c>
      <c r="UO13" s="262">
        <v>0</v>
      </c>
      <c r="UP13" s="263">
        <v>0</v>
      </c>
      <c r="UQ13" s="262">
        <v>0</v>
      </c>
      <c r="UR13" s="262">
        <v>0</v>
      </c>
      <c r="US13" s="263">
        <v>0</v>
      </c>
      <c r="UT13" s="262">
        <v>0</v>
      </c>
      <c r="UU13" s="262">
        <v>0</v>
      </c>
      <c r="UV13" s="263">
        <v>0</v>
      </c>
      <c r="UW13" s="262">
        <v>0</v>
      </c>
      <c r="UX13" s="262">
        <v>0</v>
      </c>
      <c r="UY13" s="263">
        <v>0</v>
      </c>
      <c r="UZ13" s="262">
        <v>0</v>
      </c>
      <c r="VA13" s="262">
        <v>0</v>
      </c>
      <c r="VB13" s="263">
        <v>0</v>
      </c>
      <c r="VC13" s="262">
        <v>0</v>
      </c>
      <c r="VD13" s="262">
        <v>0</v>
      </c>
      <c r="VE13" s="263">
        <v>0</v>
      </c>
      <c r="VF13" s="262">
        <v>0</v>
      </c>
      <c r="VG13" s="262">
        <v>0</v>
      </c>
      <c r="VH13" s="263">
        <v>0</v>
      </c>
      <c r="VI13" s="262">
        <v>0</v>
      </c>
      <c r="VJ13" s="262">
        <v>0</v>
      </c>
      <c r="VK13" s="263">
        <v>0</v>
      </c>
      <c r="VL13" s="262">
        <v>0</v>
      </c>
      <c r="VM13" s="262">
        <v>0</v>
      </c>
      <c r="VN13" s="264">
        <v>0</v>
      </c>
    </row>
    <row r="14" spans="1:586">
      <c r="A14" s="268" t="s">
        <v>137</v>
      </c>
      <c r="B14" s="262">
        <v>0</v>
      </c>
      <c r="C14" s="262">
        <v>0</v>
      </c>
      <c r="D14" s="263">
        <v>0</v>
      </c>
      <c r="E14" s="262">
        <v>0</v>
      </c>
      <c r="F14" s="262">
        <v>0</v>
      </c>
      <c r="G14" s="263">
        <v>0</v>
      </c>
      <c r="H14" s="262">
        <v>0</v>
      </c>
      <c r="I14" s="262">
        <v>0</v>
      </c>
      <c r="J14" s="263">
        <v>0</v>
      </c>
      <c r="K14" s="262">
        <v>0</v>
      </c>
      <c r="L14" s="262">
        <v>0</v>
      </c>
      <c r="M14" s="263">
        <v>0</v>
      </c>
      <c r="N14" s="262">
        <v>0</v>
      </c>
      <c r="O14" s="262">
        <v>0</v>
      </c>
      <c r="P14" s="263">
        <v>0</v>
      </c>
      <c r="Q14" s="262">
        <v>0</v>
      </c>
      <c r="R14" s="262">
        <v>0</v>
      </c>
      <c r="S14" s="263">
        <v>0</v>
      </c>
      <c r="T14" s="262">
        <v>0</v>
      </c>
      <c r="U14" s="262">
        <v>0</v>
      </c>
      <c r="V14" s="263">
        <v>0</v>
      </c>
      <c r="W14" s="262">
        <v>0</v>
      </c>
      <c r="X14" s="262">
        <v>0</v>
      </c>
      <c r="Y14" s="263">
        <v>0</v>
      </c>
      <c r="Z14" s="262">
        <v>0</v>
      </c>
      <c r="AA14" s="262">
        <v>0</v>
      </c>
      <c r="AB14" s="263">
        <v>0</v>
      </c>
      <c r="AC14" s="262">
        <v>0</v>
      </c>
      <c r="AD14" s="262">
        <v>0</v>
      </c>
      <c r="AE14" s="263">
        <v>0</v>
      </c>
      <c r="AF14" s="262">
        <v>0</v>
      </c>
      <c r="AG14" s="262">
        <v>0</v>
      </c>
      <c r="AH14" s="263">
        <v>0</v>
      </c>
      <c r="AI14" s="262">
        <v>0</v>
      </c>
      <c r="AJ14" s="262">
        <v>0</v>
      </c>
      <c r="AK14" s="263">
        <v>0</v>
      </c>
      <c r="AL14" s="262">
        <v>1869.634</v>
      </c>
      <c r="AM14" s="262">
        <v>521.1</v>
      </c>
      <c r="AN14" s="263">
        <v>2.58786029552869</v>
      </c>
      <c r="AO14" s="262">
        <v>21664.165000000001</v>
      </c>
      <c r="AP14" s="262">
        <v>16010.187</v>
      </c>
      <c r="AQ14" s="263">
        <v>0.35314877958639701</v>
      </c>
      <c r="AR14" s="262">
        <v>23518.175999999999</v>
      </c>
      <c r="AS14" s="262">
        <v>17546.7</v>
      </c>
      <c r="AT14" s="264">
        <v>0.34031903434833899</v>
      </c>
      <c r="AU14" s="262">
        <v>0</v>
      </c>
      <c r="AV14" s="262">
        <v>0</v>
      </c>
      <c r="AW14" s="263">
        <v>0</v>
      </c>
      <c r="AX14" s="262">
        <v>0</v>
      </c>
      <c r="AY14" s="262">
        <v>0</v>
      </c>
      <c r="AZ14" s="263">
        <v>0</v>
      </c>
      <c r="BA14" s="262">
        <v>0</v>
      </c>
      <c r="BB14" s="262">
        <v>0</v>
      </c>
      <c r="BC14" s="263">
        <v>0</v>
      </c>
      <c r="BD14" s="262">
        <v>0</v>
      </c>
      <c r="BE14" s="262">
        <v>0</v>
      </c>
      <c r="BF14" s="263">
        <v>0</v>
      </c>
      <c r="BG14" s="262">
        <v>0</v>
      </c>
      <c r="BH14" s="262">
        <v>0</v>
      </c>
      <c r="BI14" s="263">
        <v>0</v>
      </c>
      <c r="BJ14" s="262">
        <v>0</v>
      </c>
      <c r="BK14" s="262">
        <v>0</v>
      </c>
      <c r="BL14" s="263">
        <v>0</v>
      </c>
      <c r="BM14" s="262">
        <v>0</v>
      </c>
      <c r="BN14" s="262">
        <v>0</v>
      </c>
      <c r="BO14" s="263">
        <v>0</v>
      </c>
      <c r="BP14" s="262">
        <v>0</v>
      </c>
      <c r="BQ14" s="262">
        <v>0</v>
      </c>
      <c r="BR14" s="263">
        <v>0</v>
      </c>
      <c r="BS14" s="262">
        <v>0</v>
      </c>
      <c r="BT14" s="262">
        <v>0</v>
      </c>
      <c r="BU14" s="263">
        <v>0</v>
      </c>
      <c r="BV14" s="262">
        <v>0</v>
      </c>
      <c r="BW14" s="262">
        <v>0</v>
      </c>
      <c r="BX14" s="263">
        <v>0</v>
      </c>
      <c r="BY14" s="262">
        <v>0</v>
      </c>
      <c r="BZ14" s="262">
        <v>0</v>
      </c>
      <c r="CA14" s="263">
        <v>0</v>
      </c>
      <c r="CB14" s="262">
        <v>0</v>
      </c>
      <c r="CC14" s="262">
        <v>0</v>
      </c>
      <c r="CD14" s="263">
        <v>0</v>
      </c>
      <c r="CE14" s="262">
        <v>324.08100000000002</v>
      </c>
      <c r="CF14" s="262">
        <v>1136.9059999999999</v>
      </c>
      <c r="CG14" s="263">
        <v>-0.71494477115962096</v>
      </c>
      <c r="CH14" s="262">
        <v>21988.245999999999</v>
      </c>
      <c r="CI14" s="262">
        <v>17147.093000000001</v>
      </c>
      <c r="CJ14" s="263">
        <v>0.28233083007131299</v>
      </c>
      <c r="CK14" s="262">
        <v>22705.350999999999</v>
      </c>
      <c r="CL14" s="262">
        <v>17514.197</v>
      </c>
      <c r="CM14" s="264">
        <v>0.29639691731228102</v>
      </c>
      <c r="CN14" s="262">
        <v>0</v>
      </c>
      <c r="CO14" s="262">
        <v>0</v>
      </c>
      <c r="CP14" s="263">
        <v>0</v>
      </c>
      <c r="CQ14" s="262">
        <v>0</v>
      </c>
      <c r="CR14" s="262">
        <v>0</v>
      </c>
      <c r="CS14" s="263">
        <v>0</v>
      </c>
      <c r="CT14" s="262">
        <v>0</v>
      </c>
      <c r="CU14" s="262">
        <v>0</v>
      </c>
      <c r="CV14" s="263">
        <v>0</v>
      </c>
      <c r="CW14" s="262">
        <v>0</v>
      </c>
      <c r="CX14" s="262">
        <v>0</v>
      </c>
      <c r="CY14" s="263">
        <v>0</v>
      </c>
      <c r="CZ14" s="262">
        <v>0</v>
      </c>
      <c r="DA14" s="262">
        <v>0</v>
      </c>
      <c r="DB14" s="263">
        <v>0</v>
      </c>
      <c r="DC14" s="262">
        <v>0</v>
      </c>
      <c r="DD14" s="262">
        <v>0</v>
      </c>
      <c r="DE14" s="263">
        <v>0</v>
      </c>
      <c r="DF14" s="262">
        <v>0</v>
      </c>
      <c r="DG14" s="262">
        <v>0</v>
      </c>
      <c r="DH14" s="263">
        <v>0</v>
      </c>
      <c r="DI14" s="262">
        <v>0</v>
      </c>
      <c r="DJ14" s="262">
        <v>0</v>
      </c>
      <c r="DK14" s="263">
        <v>0</v>
      </c>
      <c r="DL14" s="262">
        <v>0</v>
      </c>
      <c r="DM14" s="262">
        <v>0</v>
      </c>
      <c r="DN14" s="263">
        <v>0</v>
      </c>
      <c r="DO14" s="262">
        <v>0</v>
      </c>
      <c r="DP14" s="262">
        <v>0</v>
      </c>
      <c r="DQ14" s="263">
        <v>0</v>
      </c>
      <c r="DR14" s="262">
        <v>0</v>
      </c>
      <c r="DS14" s="262">
        <v>0</v>
      </c>
      <c r="DT14" s="263">
        <v>0</v>
      </c>
      <c r="DU14" s="262">
        <v>0</v>
      </c>
      <c r="DV14" s="262">
        <v>0</v>
      </c>
      <c r="DW14" s="263">
        <v>0</v>
      </c>
      <c r="DX14" s="262">
        <v>1363.7449999999999</v>
      </c>
      <c r="DY14" s="262">
        <v>717.10500000000002</v>
      </c>
      <c r="DZ14" s="263">
        <v>0.901736844674071</v>
      </c>
      <c r="EA14" s="262">
        <v>23351.991000000002</v>
      </c>
      <c r="EB14" s="262">
        <v>17864.198</v>
      </c>
      <c r="EC14" s="263">
        <v>0.30719503892646099</v>
      </c>
      <c r="ED14" s="262">
        <v>23351.991000000002</v>
      </c>
      <c r="EE14" s="262">
        <v>17864.198</v>
      </c>
      <c r="EF14" s="264">
        <v>0.30719503892646099</v>
      </c>
      <c r="EG14" s="262">
        <v>0</v>
      </c>
      <c r="EH14" s="262">
        <v>0</v>
      </c>
      <c r="EI14" s="263">
        <v>0</v>
      </c>
      <c r="EJ14" s="262">
        <v>0</v>
      </c>
      <c r="EK14" s="262">
        <v>0</v>
      </c>
      <c r="EL14" s="263">
        <v>0</v>
      </c>
      <c r="EM14" s="262">
        <v>0</v>
      </c>
      <c r="EN14" s="262">
        <v>0</v>
      </c>
      <c r="EO14" s="263">
        <v>0</v>
      </c>
      <c r="EP14" s="262">
        <v>0</v>
      </c>
      <c r="EQ14" s="262">
        <v>0</v>
      </c>
      <c r="ER14" s="263">
        <v>0</v>
      </c>
      <c r="ES14" s="262">
        <v>0</v>
      </c>
      <c r="ET14" s="262">
        <v>0</v>
      </c>
      <c r="EU14" s="263">
        <v>0</v>
      </c>
      <c r="EV14" s="262">
        <v>0</v>
      </c>
      <c r="EW14" s="262">
        <v>0</v>
      </c>
      <c r="EX14" s="263">
        <v>0</v>
      </c>
      <c r="EY14" s="262">
        <v>0</v>
      </c>
      <c r="EZ14" s="262">
        <v>0</v>
      </c>
      <c r="FA14" s="263">
        <v>0</v>
      </c>
      <c r="FB14" s="262">
        <v>0</v>
      </c>
      <c r="FC14" s="262">
        <v>0</v>
      </c>
      <c r="FD14" s="263">
        <v>0</v>
      </c>
      <c r="FE14" s="262">
        <v>0</v>
      </c>
      <c r="FF14" s="262">
        <v>0</v>
      </c>
      <c r="FG14" s="263">
        <v>0</v>
      </c>
      <c r="FH14" s="262">
        <v>0</v>
      </c>
      <c r="FI14" s="262">
        <v>0</v>
      </c>
      <c r="FJ14" s="263">
        <v>0</v>
      </c>
      <c r="FK14" s="262">
        <v>0</v>
      </c>
      <c r="FL14" s="262">
        <v>0</v>
      </c>
      <c r="FM14" s="263">
        <v>0</v>
      </c>
      <c r="FN14" s="262">
        <v>0</v>
      </c>
      <c r="FO14" s="262">
        <v>0</v>
      </c>
      <c r="FP14" s="263">
        <v>0</v>
      </c>
      <c r="FQ14" s="262">
        <v>1249.5550000000001</v>
      </c>
      <c r="FR14" s="262">
        <v>739.28800000000001</v>
      </c>
      <c r="FS14" s="263">
        <v>0.69021409788877996</v>
      </c>
      <c r="FT14" s="262">
        <v>1249.5550000000001</v>
      </c>
      <c r="FU14" s="262">
        <v>739.28800000000001</v>
      </c>
      <c r="FV14" s="263">
        <v>0.69021409788877996</v>
      </c>
      <c r="FW14" s="262">
        <v>23862.258000000002</v>
      </c>
      <c r="FX14" s="262">
        <v>16941.476999999999</v>
      </c>
      <c r="FY14" s="264">
        <v>0.40851107610039</v>
      </c>
      <c r="FZ14" s="262">
        <v>0</v>
      </c>
      <c r="GA14" s="262">
        <v>0</v>
      </c>
      <c r="GB14" s="263">
        <v>0</v>
      </c>
      <c r="GC14" s="262">
        <v>0</v>
      </c>
      <c r="GD14" s="262">
        <v>0</v>
      </c>
      <c r="GE14" s="263">
        <v>0</v>
      </c>
      <c r="GF14" s="262">
        <v>0</v>
      </c>
      <c r="GG14" s="262">
        <v>0</v>
      </c>
      <c r="GH14" s="263">
        <v>0</v>
      </c>
      <c r="GI14" s="262">
        <v>0</v>
      </c>
      <c r="GJ14" s="262">
        <v>0</v>
      </c>
      <c r="GK14" s="263">
        <v>0</v>
      </c>
      <c r="GL14" s="262">
        <v>0</v>
      </c>
      <c r="GM14" s="262">
        <v>0</v>
      </c>
      <c r="GN14" s="263">
        <v>0</v>
      </c>
      <c r="GO14" s="262">
        <v>0</v>
      </c>
      <c r="GP14" s="262">
        <v>0</v>
      </c>
      <c r="GQ14" s="263">
        <v>0</v>
      </c>
      <c r="GR14" s="262">
        <v>0</v>
      </c>
      <c r="GS14" s="262">
        <v>0</v>
      </c>
      <c r="GT14" s="263">
        <v>0</v>
      </c>
      <c r="GU14" s="262">
        <v>0</v>
      </c>
      <c r="GV14" s="262">
        <v>0</v>
      </c>
      <c r="GW14" s="263">
        <v>0</v>
      </c>
      <c r="GX14" s="262">
        <v>0</v>
      </c>
      <c r="GY14" s="262">
        <v>0</v>
      </c>
      <c r="GZ14" s="263">
        <v>0</v>
      </c>
      <c r="HA14" s="262">
        <v>0</v>
      </c>
      <c r="HB14" s="262">
        <v>0</v>
      </c>
      <c r="HC14" s="263">
        <v>0</v>
      </c>
      <c r="HD14" s="262">
        <v>0</v>
      </c>
      <c r="HE14" s="262">
        <v>0</v>
      </c>
      <c r="HF14" s="263">
        <v>0</v>
      </c>
      <c r="HG14" s="262">
        <v>0</v>
      </c>
      <c r="HH14" s="262">
        <v>0</v>
      </c>
      <c r="HI14" s="263">
        <v>0</v>
      </c>
      <c r="HJ14" s="262">
        <v>1142.9780000000001</v>
      </c>
      <c r="HK14" s="262">
        <v>1449.866</v>
      </c>
      <c r="HL14" s="263">
        <v>-0.21166645745193</v>
      </c>
      <c r="HM14" s="262">
        <v>2392.5329999999999</v>
      </c>
      <c r="HN14" s="262">
        <v>2189.154</v>
      </c>
      <c r="HO14" s="263">
        <v>9.2903011848412598E-2</v>
      </c>
      <c r="HP14" s="262">
        <v>23555.37</v>
      </c>
      <c r="HQ14" s="262">
        <v>17540.843000000001</v>
      </c>
      <c r="HR14" s="264">
        <v>0.34288699807643203</v>
      </c>
      <c r="HS14" s="262">
        <v>0</v>
      </c>
      <c r="HT14" s="262">
        <v>0</v>
      </c>
      <c r="HU14" s="263">
        <v>0</v>
      </c>
      <c r="HV14" s="262">
        <v>0</v>
      </c>
      <c r="HW14" s="262">
        <v>0</v>
      </c>
      <c r="HX14" s="263">
        <v>0</v>
      </c>
      <c r="HY14" s="262">
        <v>0</v>
      </c>
      <c r="HZ14" s="262">
        <v>0</v>
      </c>
      <c r="IA14" s="263">
        <v>0</v>
      </c>
      <c r="IB14" s="262">
        <v>0</v>
      </c>
      <c r="IC14" s="262">
        <v>0</v>
      </c>
      <c r="ID14" s="263">
        <v>0</v>
      </c>
      <c r="IE14" s="262">
        <v>0</v>
      </c>
      <c r="IF14" s="262">
        <v>0</v>
      </c>
      <c r="IG14" s="263">
        <v>0</v>
      </c>
      <c r="IH14" s="262">
        <v>0</v>
      </c>
      <c r="II14" s="262">
        <v>0</v>
      </c>
      <c r="IJ14" s="263">
        <v>0</v>
      </c>
      <c r="IK14" s="262">
        <v>0</v>
      </c>
      <c r="IL14" s="262">
        <v>0</v>
      </c>
      <c r="IM14" s="263">
        <v>0</v>
      </c>
      <c r="IN14" s="262">
        <v>0</v>
      </c>
      <c r="IO14" s="262">
        <v>0</v>
      </c>
      <c r="IP14" s="263">
        <v>0</v>
      </c>
      <c r="IQ14" s="262">
        <v>0</v>
      </c>
      <c r="IR14" s="262">
        <v>0</v>
      </c>
      <c r="IS14" s="263">
        <v>0</v>
      </c>
      <c r="IT14" s="262">
        <v>0</v>
      </c>
      <c r="IU14" s="262">
        <v>0</v>
      </c>
      <c r="IV14" s="263">
        <v>0</v>
      </c>
      <c r="IW14" s="262">
        <v>0</v>
      </c>
      <c r="IX14" s="262">
        <v>0</v>
      </c>
      <c r="IY14" s="263">
        <v>0</v>
      </c>
      <c r="IZ14" s="262">
        <v>0</v>
      </c>
      <c r="JA14" s="262">
        <v>0</v>
      </c>
      <c r="JB14" s="263">
        <v>0</v>
      </c>
      <c r="JC14" s="262">
        <v>1241.904</v>
      </c>
      <c r="JD14" s="262">
        <v>1626.0989999999999</v>
      </c>
      <c r="JE14" s="263">
        <v>-0.23626790250778101</v>
      </c>
      <c r="JF14" s="262">
        <v>3634.4369999999999</v>
      </c>
      <c r="JG14" s="262">
        <v>3815.2530000000002</v>
      </c>
      <c r="JH14" s="263">
        <v>-4.7392925187399203E-2</v>
      </c>
      <c r="JI14" s="262">
        <v>23171.174999999999</v>
      </c>
      <c r="JJ14" s="262">
        <v>17576.525000000001</v>
      </c>
      <c r="JK14" s="264">
        <v>0.318302394813537</v>
      </c>
      <c r="JL14" s="262">
        <v>0</v>
      </c>
      <c r="JM14" s="262">
        <v>0</v>
      </c>
      <c r="JN14" s="263">
        <v>0</v>
      </c>
      <c r="JO14" s="262">
        <v>0</v>
      </c>
      <c r="JP14" s="262">
        <v>0</v>
      </c>
      <c r="JQ14" s="263">
        <v>0</v>
      </c>
      <c r="JR14" s="262">
        <v>0</v>
      </c>
      <c r="JS14" s="262">
        <v>0</v>
      </c>
      <c r="JT14" s="263">
        <v>0</v>
      </c>
      <c r="JU14" s="262">
        <v>0</v>
      </c>
      <c r="JV14" s="262">
        <v>0</v>
      </c>
      <c r="JW14" s="263">
        <v>0</v>
      </c>
      <c r="JX14" s="262">
        <v>0</v>
      </c>
      <c r="JY14" s="262">
        <v>0</v>
      </c>
      <c r="JZ14" s="263">
        <v>0</v>
      </c>
      <c r="KA14" s="262">
        <v>0</v>
      </c>
      <c r="KB14" s="262">
        <v>0</v>
      </c>
      <c r="KC14" s="263">
        <v>0</v>
      </c>
      <c r="KD14" s="262">
        <v>0</v>
      </c>
      <c r="KE14" s="262">
        <v>0</v>
      </c>
      <c r="KF14" s="263">
        <v>0</v>
      </c>
      <c r="KG14" s="262">
        <v>0</v>
      </c>
      <c r="KH14" s="262">
        <v>0</v>
      </c>
      <c r="KI14" s="263">
        <v>0</v>
      </c>
      <c r="KJ14" s="262">
        <v>0</v>
      </c>
      <c r="KK14" s="262">
        <v>0</v>
      </c>
      <c r="KL14" s="263">
        <v>0</v>
      </c>
      <c r="KM14" s="262">
        <v>0</v>
      </c>
      <c r="KN14" s="262">
        <v>0</v>
      </c>
      <c r="KO14" s="263">
        <v>0</v>
      </c>
      <c r="KP14" s="262">
        <v>0</v>
      </c>
      <c r="KQ14" s="262">
        <v>0</v>
      </c>
      <c r="KR14" s="263">
        <v>0</v>
      </c>
      <c r="KS14" s="262">
        <v>0</v>
      </c>
      <c r="KT14" s="262">
        <v>0</v>
      </c>
      <c r="KU14" s="263">
        <v>0</v>
      </c>
      <c r="KV14" s="262">
        <v>1763.2380000000001</v>
      </c>
      <c r="KW14" s="262">
        <v>1322.405</v>
      </c>
      <c r="KX14" s="263">
        <v>0.33335702753695001</v>
      </c>
      <c r="KY14" s="262">
        <v>5397.6750000000002</v>
      </c>
      <c r="KZ14" s="262">
        <v>5137.6580000000004</v>
      </c>
      <c r="LA14" s="263">
        <v>5.0610025034753203E-2</v>
      </c>
      <c r="LB14" s="262">
        <v>23612.008000000002</v>
      </c>
      <c r="LC14" s="262">
        <v>17313.861000000001</v>
      </c>
      <c r="LD14" s="264">
        <v>0.363763287691867</v>
      </c>
      <c r="LE14" s="262">
        <v>0</v>
      </c>
      <c r="LF14" s="262">
        <v>0</v>
      </c>
      <c r="LG14" s="263">
        <v>0</v>
      </c>
      <c r="LH14" s="262">
        <v>0</v>
      </c>
      <c r="LI14" s="262">
        <v>0</v>
      </c>
      <c r="LJ14" s="263">
        <v>0</v>
      </c>
      <c r="LK14" s="262">
        <v>0</v>
      </c>
      <c r="LL14" s="262">
        <v>0</v>
      </c>
      <c r="LM14" s="263">
        <v>0</v>
      </c>
      <c r="LN14" s="262">
        <v>0</v>
      </c>
      <c r="LO14" s="262">
        <v>0</v>
      </c>
      <c r="LP14" s="263">
        <v>0</v>
      </c>
      <c r="LQ14" s="262">
        <v>0</v>
      </c>
      <c r="LR14" s="262">
        <v>0</v>
      </c>
      <c r="LS14" s="263">
        <v>0</v>
      </c>
      <c r="LT14" s="262">
        <v>0</v>
      </c>
      <c r="LU14" s="262">
        <v>0</v>
      </c>
      <c r="LV14" s="263">
        <v>0</v>
      </c>
      <c r="LW14" s="262">
        <v>0</v>
      </c>
      <c r="LX14" s="262">
        <v>0</v>
      </c>
      <c r="LY14" s="263">
        <v>0</v>
      </c>
      <c r="LZ14" s="262">
        <v>0</v>
      </c>
      <c r="MA14" s="262">
        <v>0</v>
      </c>
      <c r="MB14" s="263">
        <v>0</v>
      </c>
      <c r="MC14" s="262">
        <v>0</v>
      </c>
      <c r="MD14" s="262">
        <v>0</v>
      </c>
      <c r="ME14" s="263">
        <v>0</v>
      </c>
      <c r="MF14" s="262">
        <v>0</v>
      </c>
      <c r="MG14" s="262">
        <v>0</v>
      </c>
      <c r="MH14" s="263">
        <v>0</v>
      </c>
      <c r="MI14" s="262">
        <v>0</v>
      </c>
      <c r="MJ14" s="262">
        <v>0</v>
      </c>
      <c r="MK14" s="263">
        <v>0</v>
      </c>
      <c r="ML14" s="262">
        <v>0</v>
      </c>
      <c r="MM14" s="262">
        <v>0</v>
      </c>
      <c r="MN14" s="263">
        <v>0</v>
      </c>
      <c r="MO14" s="262">
        <v>1701.4649999999999</v>
      </c>
      <c r="MP14" s="262">
        <v>2256.65</v>
      </c>
      <c r="MQ14" s="263">
        <v>-0.24602175791549399</v>
      </c>
      <c r="MR14" s="262">
        <v>7099.14</v>
      </c>
      <c r="MS14" s="262">
        <v>7394.308</v>
      </c>
      <c r="MT14" s="263">
        <v>-3.99182722710495E-2</v>
      </c>
      <c r="MU14" s="262">
        <v>23056.823</v>
      </c>
      <c r="MV14" s="262">
        <v>17472.82</v>
      </c>
      <c r="MW14" s="264">
        <v>0.31958224259163698</v>
      </c>
      <c r="MX14" s="262">
        <v>0</v>
      </c>
      <c r="MY14" s="262">
        <v>0</v>
      </c>
      <c r="MZ14" s="263">
        <v>0</v>
      </c>
      <c r="NA14" s="262">
        <v>0</v>
      </c>
      <c r="NB14" s="262">
        <v>0</v>
      </c>
      <c r="NC14" s="263">
        <v>0</v>
      </c>
      <c r="ND14" s="262">
        <v>0</v>
      </c>
      <c r="NE14" s="262">
        <v>0</v>
      </c>
      <c r="NF14" s="263">
        <v>0</v>
      </c>
      <c r="NG14" s="262">
        <v>0</v>
      </c>
      <c r="NH14" s="262">
        <v>0</v>
      </c>
      <c r="NI14" s="263">
        <v>0</v>
      </c>
      <c r="NJ14" s="262">
        <v>0</v>
      </c>
      <c r="NK14" s="262">
        <v>0</v>
      </c>
      <c r="NL14" s="263">
        <v>0</v>
      </c>
      <c r="NM14" s="262">
        <v>0</v>
      </c>
      <c r="NN14" s="262">
        <v>0</v>
      </c>
      <c r="NO14" s="263">
        <v>0</v>
      </c>
      <c r="NP14" s="262">
        <v>0</v>
      </c>
      <c r="NQ14" s="262">
        <v>0</v>
      </c>
      <c r="NR14" s="263">
        <v>0</v>
      </c>
      <c r="NS14" s="262">
        <v>0</v>
      </c>
      <c r="NT14" s="262">
        <v>0</v>
      </c>
      <c r="NU14" s="263">
        <v>0</v>
      </c>
      <c r="NV14" s="262">
        <v>0</v>
      </c>
      <c r="NW14" s="262">
        <v>0</v>
      </c>
      <c r="NX14" s="263">
        <v>0</v>
      </c>
      <c r="NY14" s="262">
        <v>0</v>
      </c>
      <c r="NZ14" s="262">
        <v>0</v>
      </c>
      <c r="OA14" s="263">
        <v>0</v>
      </c>
      <c r="OB14" s="262">
        <v>0</v>
      </c>
      <c r="OC14" s="262">
        <v>0</v>
      </c>
      <c r="OD14" s="263">
        <v>0</v>
      </c>
      <c r="OE14" s="262">
        <v>0</v>
      </c>
      <c r="OF14" s="262">
        <v>0</v>
      </c>
      <c r="OG14" s="263">
        <v>0</v>
      </c>
      <c r="OH14" s="262">
        <v>2952.8670000000002</v>
      </c>
      <c r="OI14" s="262">
        <v>2641.6550000000002</v>
      </c>
      <c r="OJ14" s="263">
        <v>0.117809479284767</v>
      </c>
      <c r="OK14" s="262">
        <v>10052.007</v>
      </c>
      <c r="OL14" s="262">
        <v>10035.963</v>
      </c>
      <c r="OM14" s="263">
        <v>1.59865077222782E-3</v>
      </c>
      <c r="ON14" s="262">
        <v>23368.035</v>
      </c>
      <c r="OO14" s="262">
        <v>19243.192999999999</v>
      </c>
      <c r="OP14" s="264">
        <v>0.21435330404886599</v>
      </c>
      <c r="OQ14" s="262">
        <v>0</v>
      </c>
      <c r="OR14" s="262">
        <v>0</v>
      </c>
      <c r="OS14" s="263">
        <v>0</v>
      </c>
      <c r="OT14" s="262">
        <v>0</v>
      </c>
      <c r="OU14" s="262">
        <v>0</v>
      </c>
      <c r="OV14" s="263">
        <v>0</v>
      </c>
      <c r="OW14" s="262">
        <v>0</v>
      </c>
      <c r="OX14" s="262">
        <v>0</v>
      </c>
      <c r="OY14" s="263">
        <v>0</v>
      </c>
      <c r="OZ14" s="262">
        <v>0</v>
      </c>
      <c r="PA14" s="262">
        <v>0</v>
      </c>
      <c r="PB14" s="263">
        <v>0</v>
      </c>
      <c r="PC14" s="262">
        <v>0</v>
      </c>
      <c r="PD14" s="262">
        <v>0</v>
      </c>
      <c r="PE14" s="263">
        <v>0</v>
      </c>
      <c r="PF14" s="262">
        <v>0</v>
      </c>
      <c r="PG14" s="262">
        <v>0</v>
      </c>
      <c r="PH14" s="263">
        <v>0</v>
      </c>
      <c r="PI14" s="262">
        <v>0</v>
      </c>
      <c r="PJ14" s="262">
        <v>0</v>
      </c>
      <c r="PK14" s="263">
        <v>0</v>
      </c>
      <c r="PL14" s="262">
        <v>0</v>
      </c>
      <c r="PM14" s="262">
        <v>0</v>
      </c>
      <c r="PN14" s="263">
        <v>0</v>
      </c>
      <c r="PO14" s="262">
        <v>0</v>
      </c>
      <c r="PP14" s="262">
        <v>0</v>
      </c>
      <c r="PQ14" s="263">
        <v>0</v>
      </c>
      <c r="PR14" s="262">
        <v>0</v>
      </c>
      <c r="PS14" s="262">
        <v>0</v>
      </c>
      <c r="PT14" s="263">
        <v>0</v>
      </c>
      <c r="PU14" s="262">
        <v>0</v>
      </c>
      <c r="PV14" s="262">
        <v>0</v>
      </c>
      <c r="PW14" s="263">
        <v>0</v>
      </c>
      <c r="PX14" s="262">
        <v>0</v>
      </c>
      <c r="PY14" s="262">
        <v>0</v>
      </c>
      <c r="PZ14" s="263">
        <v>0</v>
      </c>
      <c r="QA14" s="262">
        <v>3126.998</v>
      </c>
      <c r="QB14" s="262">
        <v>3511.31</v>
      </c>
      <c r="QC14" s="263">
        <v>-0.109449749523682</v>
      </c>
      <c r="QD14" s="262">
        <v>13179.004999999999</v>
      </c>
      <c r="QE14" s="262">
        <v>13547.272999999999</v>
      </c>
      <c r="QF14" s="263">
        <v>-2.71839210740051E-2</v>
      </c>
      <c r="QG14" s="262">
        <v>22983.723000000002</v>
      </c>
      <c r="QH14" s="262">
        <v>19974.920999999998</v>
      </c>
      <c r="QI14" s="264">
        <v>0.15062898121099</v>
      </c>
      <c r="QJ14" s="262">
        <v>0</v>
      </c>
      <c r="QK14" s="262">
        <v>0</v>
      </c>
      <c r="QL14" s="263">
        <v>0</v>
      </c>
      <c r="QM14" s="262">
        <v>0</v>
      </c>
      <c r="QN14" s="262">
        <v>0</v>
      </c>
      <c r="QO14" s="263">
        <v>0</v>
      </c>
      <c r="QP14" s="262">
        <v>0</v>
      </c>
      <c r="QQ14" s="262">
        <v>0</v>
      </c>
      <c r="QR14" s="263">
        <v>0</v>
      </c>
      <c r="QS14" s="262">
        <v>0</v>
      </c>
      <c r="QT14" s="262">
        <v>0</v>
      </c>
      <c r="QU14" s="263">
        <v>0</v>
      </c>
      <c r="QV14" s="262">
        <v>0</v>
      </c>
      <c r="QW14" s="262">
        <v>0</v>
      </c>
      <c r="QX14" s="263">
        <v>0</v>
      </c>
      <c r="QY14" s="262">
        <v>0</v>
      </c>
      <c r="QZ14" s="262">
        <v>0</v>
      </c>
      <c r="RA14" s="263">
        <v>0</v>
      </c>
      <c r="RB14" s="262">
        <v>0</v>
      </c>
      <c r="RC14" s="262">
        <v>0</v>
      </c>
      <c r="RD14" s="263">
        <v>0</v>
      </c>
      <c r="RE14" s="262">
        <v>0</v>
      </c>
      <c r="RF14" s="262">
        <v>0</v>
      </c>
      <c r="RG14" s="263">
        <v>0</v>
      </c>
      <c r="RH14" s="262">
        <v>0</v>
      </c>
      <c r="RI14" s="262">
        <v>0</v>
      </c>
      <c r="RJ14" s="263">
        <v>0</v>
      </c>
      <c r="RK14" s="262">
        <v>0</v>
      </c>
      <c r="RL14" s="262">
        <v>0</v>
      </c>
      <c r="RM14" s="263">
        <v>0</v>
      </c>
      <c r="RN14" s="262">
        <v>0</v>
      </c>
      <c r="RO14" s="262">
        <v>0</v>
      </c>
      <c r="RP14" s="263">
        <v>0</v>
      </c>
      <c r="RQ14" s="262">
        <v>0</v>
      </c>
      <c r="RR14" s="262">
        <v>0</v>
      </c>
      <c r="RS14" s="263">
        <v>0</v>
      </c>
      <c r="RT14" s="262">
        <v>2658.3589999999999</v>
      </c>
      <c r="RU14" s="262">
        <v>3975.7840000000001</v>
      </c>
      <c r="RV14" s="263">
        <v>-0.33136231746996297</v>
      </c>
      <c r="RW14" s="262">
        <v>15837.364</v>
      </c>
      <c r="RX14" s="262">
        <v>17523.057000000001</v>
      </c>
      <c r="RY14" s="263">
        <v>-9.6198568548855404E-2</v>
      </c>
      <c r="RZ14" s="262">
        <v>21666.297999999999</v>
      </c>
      <c r="SA14" s="262">
        <v>21238.594000000001</v>
      </c>
      <c r="SB14" s="264">
        <v>2.01380562197289E-2</v>
      </c>
      <c r="SC14" s="262">
        <v>0</v>
      </c>
      <c r="SD14" s="262">
        <v>0</v>
      </c>
      <c r="SE14" s="263">
        <v>0</v>
      </c>
      <c r="SF14" s="262">
        <v>0</v>
      </c>
      <c r="SG14" s="262">
        <v>0</v>
      </c>
      <c r="SH14" s="263">
        <v>0</v>
      </c>
      <c r="SI14" s="262">
        <v>0</v>
      </c>
      <c r="SJ14" s="262">
        <v>0</v>
      </c>
      <c r="SK14" s="263">
        <v>0</v>
      </c>
      <c r="SL14" s="262">
        <v>0</v>
      </c>
      <c r="SM14" s="262">
        <v>0</v>
      </c>
      <c r="SN14" s="263">
        <v>0</v>
      </c>
      <c r="SO14" s="262">
        <v>0</v>
      </c>
      <c r="SP14" s="262">
        <v>0</v>
      </c>
      <c r="SQ14" s="263">
        <v>0</v>
      </c>
      <c r="SR14" s="262">
        <v>0</v>
      </c>
      <c r="SS14" s="262">
        <v>0</v>
      </c>
      <c r="ST14" s="263">
        <v>0</v>
      </c>
      <c r="SU14" s="262">
        <v>0</v>
      </c>
      <c r="SV14" s="262">
        <v>0</v>
      </c>
      <c r="SW14" s="263">
        <v>0</v>
      </c>
      <c r="SX14" s="262">
        <v>0</v>
      </c>
      <c r="SY14" s="262">
        <v>0</v>
      </c>
      <c r="SZ14" s="263">
        <v>0</v>
      </c>
      <c r="TA14" s="262">
        <v>0</v>
      </c>
      <c r="TB14" s="262">
        <v>0</v>
      </c>
      <c r="TC14" s="263">
        <v>0</v>
      </c>
      <c r="TD14" s="262">
        <v>0</v>
      </c>
      <c r="TE14" s="262">
        <v>0</v>
      </c>
      <c r="TF14" s="263">
        <v>0</v>
      </c>
      <c r="TG14" s="262">
        <v>0</v>
      </c>
      <c r="TH14" s="262">
        <v>0</v>
      </c>
      <c r="TI14" s="263">
        <v>0</v>
      </c>
      <c r="TJ14" s="262">
        <v>0</v>
      </c>
      <c r="TK14" s="262">
        <v>0</v>
      </c>
      <c r="TL14" s="263">
        <v>0</v>
      </c>
      <c r="TM14" s="262">
        <v>2590.817</v>
      </c>
      <c r="TN14" s="262">
        <v>2271.4740000000002</v>
      </c>
      <c r="TO14" s="263">
        <v>0.14058844609271301</v>
      </c>
      <c r="TP14" s="262">
        <v>18428.181</v>
      </c>
      <c r="TQ14" s="262">
        <v>19794.530999999999</v>
      </c>
      <c r="TR14" s="263">
        <v>-6.9026641752714293E-2</v>
      </c>
      <c r="TS14" s="262">
        <v>21985.641</v>
      </c>
      <c r="TT14" s="262">
        <v>22169.642</v>
      </c>
      <c r="TU14" s="264">
        <v>-8.2996829628552496E-3</v>
      </c>
      <c r="TV14" s="262">
        <v>0</v>
      </c>
      <c r="TW14" s="262">
        <v>0</v>
      </c>
      <c r="TX14" s="263">
        <v>0</v>
      </c>
      <c r="TY14" s="262">
        <v>0</v>
      </c>
      <c r="TZ14" s="262">
        <v>0</v>
      </c>
      <c r="UA14" s="263">
        <v>0</v>
      </c>
      <c r="UB14" s="262">
        <v>0</v>
      </c>
      <c r="UC14" s="262">
        <v>0</v>
      </c>
      <c r="UD14" s="263">
        <v>0</v>
      </c>
      <c r="UE14" s="262">
        <v>0</v>
      </c>
      <c r="UF14" s="262">
        <v>0</v>
      </c>
      <c r="UG14" s="263">
        <v>0</v>
      </c>
      <c r="UH14" s="262">
        <v>0</v>
      </c>
      <c r="UI14" s="262">
        <v>0</v>
      </c>
      <c r="UJ14" s="263">
        <v>0</v>
      </c>
      <c r="UK14" s="262">
        <v>0</v>
      </c>
      <c r="UL14" s="262">
        <v>0</v>
      </c>
      <c r="UM14" s="263">
        <v>0</v>
      </c>
      <c r="UN14" s="262">
        <v>0</v>
      </c>
      <c r="UO14" s="262">
        <v>0</v>
      </c>
      <c r="UP14" s="263">
        <v>0</v>
      </c>
      <c r="UQ14" s="262">
        <v>0</v>
      </c>
      <c r="UR14" s="262">
        <v>0</v>
      </c>
      <c r="US14" s="263">
        <v>0</v>
      </c>
      <c r="UT14" s="262">
        <v>0</v>
      </c>
      <c r="UU14" s="262">
        <v>0</v>
      </c>
      <c r="UV14" s="263">
        <v>0</v>
      </c>
      <c r="UW14" s="262">
        <v>0</v>
      </c>
      <c r="UX14" s="262">
        <v>0</v>
      </c>
      <c r="UY14" s="263">
        <v>0</v>
      </c>
      <c r="UZ14" s="262">
        <v>0</v>
      </c>
      <c r="VA14" s="262">
        <v>0</v>
      </c>
      <c r="VB14" s="263">
        <v>0</v>
      </c>
      <c r="VC14" s="262">
        <v>0</v>
      </c>
      <c r="VD14" s="262">
        <v>0</v>
      </c>
      <c r="VE14" s="263">
        <v>0</v>
      </c>
      <c r="VF14" s="262">
        <v>853.58199999999999</v>
      </c>
      <c r="VG14" s="262">
        <v>1869.634</v>
      </c>
      <c r="VH14" s="263">
        <v>-0.54344968052570697</v>
      </c>
      <c r="VI14" s="262">
        <v>19281.762999999999</v>
      </c>
      <c r="VJ14" s="262">
        <v>21664.165000000001</v>
      </c>
      <c r="VK14" s="263">
        <v>-0.109969712656823</v>
      </c>
      <c r="VL14" s="262">
        <v>20969.589</v>
      </c>
      <c r="VM14" s="262">
        <v>23518.175999999999</v>
      </c>
      <c r="VN14" s="264">
        <v>-0.108366694764084</v>
      </c>
    </row>
    <row r="15" spans="1:586">
      <c r="A15" s="268" t="s">
        <v>5</v>
      </c>
      <c r="B15" s="262">
        <v>5579796.8899999997</v>
      </c>
      <c r="C15" s="262">
        <v>5748164.0870000003</v>
      </c>
      <c r="D15" s="263">
        <v>-2.9290603826146601E-2</v>
      </c>
      <c r="E15" s="262">
        <v>49514625.674000002</v>
      </c>
      <c r="F15" s="262">
        <v>48667790.107000001</v>
      </c>
      <c r="G15" s="263">
        <v>1.7400329152775701E-2</v>
      </c>
      <c r="H15" s="262">
        <v>62190466.596000001</v>
      </c>
      <c r="I15" s="262">
        <v>60788740.987999998</v>
      </c>
      <c r="J15" s="263">
        <v>2.3058967585407101E-2</v>
      </c>
      <c r="K15" s="262">
        <v>0</v>
      </c>
      <c r="L15" s="262">
        <v>0</v>
      </c>
      <c r="M15" s="263">
        <v>0</v>
      </c>
      <c r="N15" s="262">
        <v>0</v>
      </c>
      <c r="O15" s="262">
        <v>0</v>
      </c>
      <c r="P15" s="263">
        <v>0</v>
      </c>
      <c r="Q15" s="262">
        <v>0</v>
      </c>
      <c r="R15" s="262">
        <v>0</v>
      </c>
      <c r="S15" s="263">
        <v>0</v>
      </c>
      <c r="T15" s="262">
        <v>0</v>
      </c>
      <c r="U15" s="262">
        <v>0</v>
      </c>
      <c r="V15" s="263">
        <v>0</v>
      </c>
      <c r="W15" s="262">
        <v>0</v>
      </c>
      <c r="X15" s="262">
        <v>0</v>
      </c>
      <c r="Y15" s="263">
        <v>0</v>
      </c>
      <c r="Z15" s="262">
        <v>0</v>
      </c>
      <c r="AA15" s="262">
        <v>0</v>
      </c>
      <c r="AB15" s="263">
        <v>0</v>
      </c>
      <c r="AC15" s="262">
        <v>0</v>
      </c>
      <c r="AD15" s="262">
        <v>10.36</v>
      </c>
      <c r="AE15" s="263">
        <v>-1</v>
      </c>
      <c r="AF15" s="262">
        <v>0</v>
      </c>
      <c r="AG15" s="262">
        <v>1259.3420000000001</v>
      </c>
      <c r="AH15" s="263">
        <v>-1</v>
      </c>
      <c r="AI15" s="262">
        <v>8.7279999999999998</v>
      </c>
      <c r="AJ15" s="262">
        <v>1386.2139999999999</v>
      </c>
      <c r="AK15" s="263">
        <v>-0.99370371385659095</v>
      </c>
      <c r="AL15" s="262">
        <v>116725.77099999999</v>
      </c>
      <c r="AM15" s="262">
        <v>57760.656999999999</v>
      </c>
      <c r="AN15" s="263">
        <v>1.0208525502055801</v>
      </c>
      <c r="AO15" s="262">
        <v>1267645.8540000001</v>
      </c>
      <c r="AP15" s="262">
        <v>1156029.0870000001</v>
      </c>
      <c r="AQ15" s="263">
        <v>9.6551867297435895E-2</v>
      </c>
      <c r="AR15" s="262">
        <v>1439098.6610000001</v>
      </c>
      <c r="AS15" s="262">
        <v>1296163.4669999999</v>
      </c>
      <c r="AT15" s="264">
        <v>0.110275592268332</v>
      </c>
      <c r="AU15" s="262">
        <v>4804384.6349999998</v>
      </c>
      <c r="AV15" s="262">
        <v>6906465.3729999997</v>
      </c>
      <c r="AW15" s="263">
        <v>-0.30436418985286401</v>
      </c>
      <c r="AX15" s="262">
        <v>54319010.309</v>
      </c>
      <c r="AY15" s="262">
        <v>55574255.479999997</v>
      </c>
      <c r="AZ15" s="263">
        <v>-2.2586810388341299E-2</v>
      </c>
      <c r="BA15" s="262">
        <v>60088385.858000003</v>
      </c>
      <c r="BB15" s="262">
        <v>61115569.991999999</v>
      </c>
      <c r="BC15" s="263">
        <v>-1.68072413320281E-2</v>
      </c>
      <c r="BD15" s="262">
        <v>0</v>
      </c>
      <c r="BE15" s="262">
        <v>0</v>
      </c>
      <c r="BF15" s="263">
        <v>0</v>
      </c>
      <c r="BG15" s="262">
        <v>0</v>
      </c>
      <c r="BH15" s="262">
        <v>0</v>
      </c>
      <c r="BI15" s="263">
        <v>0</v>
      </c>
      <c r="BJ15" s="262">
        <v>0</v>
      </c>
      <c r="BK15" s="262">
        <v>0</v>
      </c>
      <c r="BL15" s="263">
        <v>0</v>
      </c>
      <c r="BM15" s="262">
        <v>0</v>
      </c>
      <c r="BN15" s="262">
        <v>0</v>
      </c>
      <c r="BO15" s="263">
        <v>0</v>
      </c>
      <c r="BP15" s="262">
        <v>0</v>
      </c>
      <c r="BQ15" s="262">
        <v>0</v>
      </c>
      <c r="BR15" s="263">
        <v>0</v>
      </c>
      <c r="BS15" s="262">
        <v>0</v>
      </c>
      <c r="BT15" s="262">
        <v>0</v>
      </c>
      <c r="BU15" s="263">
        <v>0</v>
      </c>
      <c r="BV15" s="262">
        <v>0</v>
      </c>
      <c r="BW15" s="262">
        <v>8.7279999999999998</v>
      </c>
      <c r="BX15" s="263">
        <v>-1</v>
      </c>
      <c r="BY15" s="262">
        <v>0</v>
      </c>
      <c r="BZ15" s="262">
        <v>1268.07</v>
      </c>
      <c r="CA15" s="263">
        <v>-1</v>
      </c>
      <c r="CB15" s="262">
        <v>0</v>
      </c>
      <c r="CC15" s="262">
        <v>1369.059</v>
      </c>
      <c r="CD15" s="263">
        <v>-1</v>
      </c>
      <c r="CE15" s="262">
        <v>42203.436000000002</v>
      </c>
      <c r="CF15" s="262">
        <v>100369.928</v>
      </c>
      <c r="CG15" s="263">
        <v>-0.57952110915133903</v>
      </c>
      <c r="CH15" s="262">
        <v>1309849.29</v>
      </c>
      <c r="CI15" s="262">
        <v>1256399.0149999999</v>
      </c>
      <c r="CJ15" s="263">
        <v>4.25424362498407E-2</v>
      </c>
      <c r="CK15" s="262">
        <v>1380932.169</v>
      </c>
      <c r="CL15" s="262">
        <v>1294312.1329999999</v>
      </c>
      <c r="CM15" s="264">
        <v>6.6923606594978993E-2</v>
      </c>
      <c r="CN15" s="262">
        <v>5200037.1129999999</v>
      </c>
      <c r="CO15" s="262">
        <v>5769375.5489999996</v>
      </c>
      <c r="CP15" s="263">
        <v>-9.8682852444695296E-2</v>
      </c>
      <c r="CQ15" s="262">
        <v>59519047.421999998</v>
      </c>
      <c r="CR15" s="262">
        <v>61343631.028999999</v>
      </c>
      <c r="CS15" s="263">
        <v>-2.9743651890078601E-2</v>
      </c>
      <c r="CT15" s="262">
        <v>59519047.421999998</v>
      </c>
      <c r="CU15" s="262">
        <v>61343631.028999999</v>
      </c>
      <c r="CV15" s="263">
        <v>-2.9743651890078601E-2</v>
      </c>
      <c r="CW15" s="262">
        <v>0</v>
      </c>
      <c r="CX15" s="262">
        <v>0</v>
      </c>
      <c r="CY15" s="263">
        <v>0</v>
      </c>
      <c r="CZ15" s="262">
        <v>0</v>
      </c>
      <c r="DA15" s="262">
        <v>0</v>
      </c>
      <c r="DB15" s="263">
        <v>0</v>
      </c>
      <c r="DC15" s="262">
        <v>0</v>
      </c>
      <c r="DD15" s="262">
        <v>0</v>
      </c>
      <c r="DE15" s="263">
        <v>0</v>
      </c>
      <c r="DF15" s="262">
        <v>0</v>
      </c>
      <c r="DG15" s="262">
        <v>0</v>
      </c>
      <c r="DH15" s="263">
        <v>0</v>
      </c>
      <c r="DI15" s="262">
        <v>0</v>
      </c>
      <c r="DJ15" s="262">
        <v>0</v>
      </c>
      <c r="DK15" s="263">
        <v>0</v>
      </c>
      <c r="DL15" s="262">
        <v>0</v>
      </c>
      <c r="DM15" s="262">
        <v>0</v>
      </c>
      <c r="DN15" s="263">
        <v>0</v>
      </c>
      <c r="DO15" s="262">
        <v>0</v>
      </c>
      <c r="DP15" s="262">
        <v>0</v>
      </c>
      <c r="DQ15" s="263">
        <v>0</v>
      </c>
      <c r="DR15" s="262">
        <v>0</v>
      </c>
      <c r="DS15" s="262">
        <v>1268.07</v>
      </c>
      <c r="DT15" s="263">
        <v>-1</v>
      </c>
      <c r="DU15" s="262">
        <v>0</v>
      </c>
      <c r="DV15" s="262">
        <v>1268.07</v>
      </c>
      <c r="DW15" s="263">
        <v>-1</v>
      </c>
      <c r="DX15" s="262">
        <v>98604.743000000002</v>
      </c>
      <c r="DY15" s="262">
        <v>71082.879000000001</v>
      </c>
      <c r="DZ15" s="263">
        <v>0.38717992837628301</v>
      </c>
      <c r="EA15" s="262">
        <v>1408454.0330000001</v>
      </c>
      <c r="EB15" s="262">
        <v>1327481.8940000001</v>
      </c>
      <c r="EC15" s="263">
        <v>6.0996793527641299E-2</v>
      </c>
      <c r="ED15" s="262">
        <v>1408454.0330000001</v>
      </c>
      <c r="EE15" s="262">
        <v>1327481.8940000001</v>
      </c>
      <c r="EF15" s="264">
        <v>6.0996793527641299E-2</v>
      </c>
      <c r="EG15" s="262">
        <v>7495043.4330000002</v>
      </c>
      <c r="EH15" s="262">
        <v>5666696.8399999999</v>
      </c>
      <c r="EI15" s="263">
        <v>0.32264768076070199</v>
      </c>
      <c r="EJ15" s="262">
        <v>7495043.4330000002</v>
      </c>
      <c r="EK15" s="262">
        <v>5666696.8399999999</v>
      </c>
      <c r="EL15" s="263">
        <v>0.32264768076070199</v>
      </c>
      <c r="EM15" s="262">
        <v>61347394.015000001</v>
      </c>
      <c r="EN15" s="262">
        <v>59684113.049999997</v>
      </c>
      <c r="EO15" s="263">
        <v>2.78680687372635E-2</v>
      </c>
      <c r="EP15" s="262">
        <v>0</v>
      </c>
      <c r="EQ15" s="262">
        <v>0</v>
      </c>
      <c r="ER15" s="263">
        <v>0</v>
      </c>
      <c r="ES15" s="262">
        <v>0</v>
      </c>
      <c r="ET15" s="262">
        <v>0</v>
      </c>
      <c r="EU15" s="263">
        <v>0</v>
      </c>
      <c r="EV15" s="262">
        <v>0</v>
      </c>
      <c r="EW15" s="262">
        <v>0</v>
      </c>
      <c r="EX15" s="263">
        <v>0</v>
      </c>
      <c r="EY15" s="262">
        <v>0</v>
      </c>
      <c r="EZ15" s="262">
        <v>0</v>
      </c>
      <c r="FA15" s="263">
        <v>0</v>
      </c>
      <c r="FB15" s="262">
        <v>0</v>
      </c>
      <c r="FC15" s="262">
        <v>0</v>
      </c>
      <c r="FD15" s="263">
        <v>0</v>
      </c>
      <c r="FE15" s="262">
        <v>0</v>
      </c>
      <c r="FF15" s="262">
        <v>0</v>
      </c>
      <c r="FG15" s="263">
        <v>0</v>
      </c>
      <c r="FH15" s="262">
        <v>0</v>
      </c>
      <c r="FI15" s="262">
        <v>0</v>
      </c>
      <c r="FJ15" s="263">
        <v>0</v>
      </c>
      <c r="FK15" s="262">
        <v>0</v>
      </c>
      <c r="FL15" s="262">
        <v>0</v>
      </c>
      <c r="FM15" s="263">
        <v>0</v>
      </c>
      <c r="FN15" s="262">
        <v>0</v>
      </c>
      <c r="FO15" s="262">
        <v>1052.3399999999999</v>
      </c>
      <c r="FP15" s="263">
        <v>-1</v>
      </c>
      <c r="FQ15" s="262">
        <v>94730.716</v>
      </c>
      <c r="FR15" s="262">
        <v>53153.264999999999</v>
      </c>
      <c r="FS15" s="263">
        <v>0.78221819487476396</v>
      </c>
      <c r="FT15" s="262">
        <v>94730.716</v>
      </c>
      <c r="FU15" s="262">
        <v>53153.264999999999</v>
      </c>
      <c r="FV15" s="263">
        <v>0.78221819487476396</v>
      </c>
      <c r="FW15" s="262">
        <v>1450031.4839999999</v>
      </c>
      <c r="FX15" s="262">
        <v>1247906.993</v>
      </c>
      <c r="FY15" s="264">
        <v>0.16197079761055599</v>
      </c>
      <c r="FZ15" s="262">
        <v>3639952.3489999999</v>
      </c>
      <c r="GA15" s="262">
        <v>6853210.7029999997</v>
      </c>
      <c r="GB15" s="263">
        <v>-0.46886904448937999</v>
      </c>
      <c r="GC15" s="262">
        <v>11134995.782</v>
      </c>
      <c r="GD15" s="262">
        <v>12519907.543</v>
      </c>
      <c r="GE15" s="263">
        <v>-0.110616772228028</v>
      </c>
      <c r="GF15" s="262">
        <v>58134135.660999998</v>
      </c>
      <c r="GG15" s="262">
        <v>61902889.825000003</v>
      </c>
      <c r="GH15" s="263">
        <v>-6.08817160984617E-2</v>
      </c>
      <c r="GI15" s="262">
        <v>0</v>
      </c>
      <c r="GJ15" s="262">
        <v>0</v>
      </c>
      <c r="GK15" s="263">
        <v>0</v>
      </c>
      <c r="GL15" s="262">
        <v>0</v>
      </c>
      <c r="GM15" s="262">
        <v>0</v>
      </c>
      <c r="GN15" s="263">
        <v>0</v>
      </c>
      <c r="GO15" s="262">
        <v>0</v>
      </c>
      <c r="GP15" s="262">
        <v>0</v>
      </c>
      <c r="GQ15" s="263">
        <v>0</v>
      </c>
      <c r="GR15" s="262">
        <v>0</v>
      </c>
      <c r="GS15" s="262">
        <v>0</v>
      </c>
      <c r="GT15" s="263">
        <v>0</v>
      </c>
      <c r="GU15" s="262">
        <v>0</v>
      </c>
      <c r="GV15" s="262">
        <v>0</v>
      </c>
      <c r="GW15" s="263">
        <v>0</v>
      </c>
      <c r="GX15" s="262">
        <v>0</v>
      </c>
      <c r="GY15" s="262">
        <v>0</v>
      </c>
      <c r="GZ15" s="263">
        <v>0</v>
      </c>
      <c r="HA15" s="262">
        <v>0</v>
      </c>
      <c r="HB15" s="262">
        <v>0</v>
      </c>
      <c r="HC15" s="263">
        <v>0</v>
      </c>
      <c r="HD15" s="262">
        <v>0</v>
      </c>
      <c r="HE15" s="262">
        <v>0</v>
      </c>
      <c r="HF15" s="263">
        <v>0</v>
      </c>
      <c r="HG15" s="262">
        <v>0</v>
      </c>
      <c r="HH15" s="262">
        <v>869.1</v>
      </c>
      <c r="HI15" s="263">
        <v>-1</v>
      </c>
      <c r="HJ15" s="262">
        <v>107781.023</v>
      </c>
      <c r="HK15" s="262">
        <v>108660.58500000001</v>
      </c>
      <c r="HL15" s="263">
        <v>-8.0945818578097208E-3</v>
      </c>
      <c r="HM15" s="262">
        <v>202511.739</v>
      </c>
      <c r="HN15" s="262">
        <v>161813.85</v>
      </c>
      <c r="HO15" s="263">
        <v>0.251510541279378</v>
      </c>
      <c r="HP15" s="262">
        <v>1449151.922</v>
      </c>
      <c r="HQ15" s="262">
        <v>1313876.5819999999</v>
      </c>
      <c r="HR15" s="264">
        <v>0.102958939867915</v>
      </c>
      <c r="HS15" s="262">
        <v>6673315.6279999996</v>
      </c>
      <c r="HT15" s="262">
        <v>6055844.591</v>
      </c>
      <c r="HU15" s="263">
        <v>0.10196282743412299</v>
      </c>
      <c r="HV15" s="262">
        <v>17808311.41</v>
      </c>
      <c r="HW15" s="262">
        <v>18575752.134</v>
      </c>
      <c r="HX15" s="263">
        <v>-4.1314113068687999E-2</v>
      </c>
      <c r="HY15" s="262">
        <v>58751606.697999999</v>
      </c>
      <c r="HZ15" s="262">
        <v>61395105.796999998</v>
      </c>
      <c r="IA15" s="263">
        <v>-4.3057163346873303E-2</v>
      </c>
      <c r="IB15" s="262">
        <v>0</v>
      </c>
      <c r="IC15" s="262">
        <v>0</v>
      </c>
      <c r="ID15" s="263">
        <v>0</v>
      </c>
      <c r="IE15" s="262">
        <v>0</v>
      </c>
      <c r="IF15" s="262">
        <v>0</v>
      </c>
      <c r="IG15" s="263">
        <v>0</v>
      </c>
      <c r="IH15" s="262">
        <v>0</v>
      </c>
      <c r="II15" s="262">
        <v>0</v>
      </c>
      <c r="IJ15" s="263">
        <v>0</v>
      </c>
      <c r="IK15" s="262">
        <v>0</v>
      </c>
      <c r="IL15" s="262">
        <v>0</v>
      </c>
      <c r="IM15" s="263">
        <v>0</v>
      </c>
      <c r="IN15" s="262">
        <v>0</v>
      </c>
      <c r="IO15" s="262">
        <v>0</v>
      </c>
      <c r="IP15" s="263">
        <v>0</v>
      </c>
      <c r="IQ15" s="262">
        <v>0</v>
      </c>
      <c r="IR15" s="262">
        <v>0</v>
      </c>
      <c r="IS15" s="263">
        <v>0</v>
      </c>
      <c r="IT15" s="262">
        <v>0</v>
      </c>
      <c r="IU15" s="262">
        <v>0</v>
      </c>
      <c r="IV15" s="263">
        <v>0</v>
      </c>
      <c r="IW15" s="262">
        <v>0</v>
      </c>
      <c r="IX15" s="262">
        <v>0</v>
      </c>
      <c r="IY15" s="263">
        <v>0</v>
      </c>
      <c r="IZ15" s="262">
        <v>0</v>
      </c>
      <c r="JA15" s="262">
        <v>668.75</v>
      </c>
      <c r="JB15" s="263">
        <v>-1</v>
      </c>
      <c r="JC15" s="262">
        <v>77910.471999999994</v>
      </c>
      <c r="JD15" s="262">
        <v>89216.486000000004</v>
      </c>
      <c r="JE15" s="263">
        <v>-0.12672561436683399</v>
      </c>
      <c r="JF15" s="262">
        <v>280422.21100000001</v>
      </c>
      <c r="JG15" s="262">
        <v>251030.33600000001</v>
      </c>
      <c r="JH15" s="263">
        <v>0.117084952632976</v>
      </c>
      <c r="JI15" s="262">
        <v>1437845.9080000001</v>
      </c>
      <c r="JJ15" s="262">
        <v>1271593.5560000001</v>
      </c>
      <c r="JK15" s="264">
        <v>0.130743311190545</v>
      </c>
      <c r="JL15" s="262">
        <v>4252798.9029999999</v>
      </c>
      <c r="JM15" s="262">
        <v>4611153.0259999996</v>
      </c>
      <c r="JN15" s="263">
        <v>-7.7714645551648101E-2</v>
      </c>
      <c r="JO15" s="262">
        <v>22061110.313000001</v>
      </c>
      <c r="JP15" s="262">
        <v>23186905.16</v>
      </c>
      <c r="JQ15" s="263">
        <v>-4.8553044885960898E-2</v>
      </c>
      <c r="JR15" s="262">
        <v>58393252.575000003</v>
      </c>
      <c r="JS15" s="262">
        <v>61207859.494999997</v>
      </c>
      <c r="JT15" s="263">
        <v>-4.5984403689691498E-2</v>
      </c>
      <c r="JU15" s="262">
        <v>0</v>
      </c>
      <c r="JV15" s="262">
        <v>0</v>
      </c>
      <c r="JW15" s="263">
        <v>0</v>
      </c>
      <c r="JX15" s="262">
        <v>0</v>
      </c>
      <c r="JY15" s="262">
        <v>0</v>
      </c>
      <c r="JZ15" s="263">
        <v>0</v>
      </c>
      <c r="KA15" s="262">
        <v>0</v>
      </c>
      <c r="KB15" s="262">
        <v>0</v>
      </c>
      <c r="KC15" s="263">
        <v>0</v>
      </c>
      <c r="KD15" s="262">
        <v>0</v>
      </c>
      <c r="KE15" s="262">
        <v>0</v>
      </c>
      <c r="KF15" s="263">
        <v>0</v>
      </c>
      <c r="KG15" s="262">
        <v>0</v>
      </c>
      <c r="KH15" s="262">
        <v>0</v>
      </c>
      <c r="KI15" s="263">
        <v>0</v>
      </c>
      <c r="KJ15" s="262">
        <v>0</v>
      </c>
      <c r="KK15" s="262">
        <v>0</v>
      </c>
      <c r="KL15" s="263">
        <v>0</v>
      </c>
      <c r="KM15" s="262">
        <v>0</v>
      </c>
      <c r="KN15" s="262">
        <v>0</v>
      </c>
      <c r="KO15" s="263">
        <v>0</v>
      </c>
      <c r="KP15" s="262">
        <v>0</v>
      </c>
      <c r="KQ15" s="262">
        <v>0</v>
      </c>
      <c r="KR15" s="263">
        <v>0</v>
      </c>
      <c r="KS15" s="262">
        <v>0</v>
      </c>
      <c r="KT15" s="262">
        <v>541.40499999999997</v>
      </c>
      <c r="KU15" s="263">
        <v>-1</v>
      </c>
      <c r="KV15" s="262">
        <v>105224.018</v>
      </c>
      <c r="KW15" s="262">
        <v>94616.236999999994</v>
      </c>
      <c r="KX15" s="263">
        <v>0.112113748510206</v>
      </c>
      <c r="KY15" s="262">
        <v>385646.22899999999</v>
      </c>
      <c r="KZ15" s="262">
        <v>345646.57299999997</v>
      </c>
      <c r="LA15" s="263">
        <v>0.115724150402614</v>
      </c>
      <c r="LB15" s="262">
        <v>1448453.689</v>
      </c>
      <c r="LC15" s="262">
        <v>1262425.6440000001</v>
      </c>
      <c r="LD15" s="264">
        <v>0.14735762528600799</v>
      </c>
      <c r="LE15" s="262">
        <v>3376192.4180000001</v>
      </c>
      <c r="LF15" s="262">
        <v>4129943.8840000001</v>
      </c>
      <c r="LG15" s="263">
        <v>-0.18250888805539001</v>
      </c>
      <c r="LH15" s="262">
        <v>25437302.730999999</v>
      </c>
      <c r="LI15" s="262">
        <v>27316849.044</v>
      </c>
      <c r="LJ15" s="263">
        <v>-6.8805384909971304E-2</v>
      </c>
      <c r="LK15" s="262">
        <v>57639501.108999997</v>
      </c>
      <c r="LL15" s="262">
        <v>60004568.564999998</v>
      </c>
      <c r="LM15" s="263">
        <v>-3.9414789782848597E-2</v>
      </c>
      <c r="LN15" s="262">
        <v>0</v>
      </c>
      <c r="LO15" s="262">
        <v>0</v>
      </c>
      <c r="LP15" s="263">
        <v>0</v>
      </c>
      <c r="LQ15" s="262">
        <v>0</v>
      </c>
      <c r="LR15" s="262">
        <v>0</v>
      </c>
      <c r="LS15" s="263">
        <v>0</v>
      </c>
      <c r="LT15" s="262">
        <v>0</v>
      </c>
      <c r="LU15" s="262">
        <v>0</v>
      </c>
      <c r="LV15" s="263">
        <v>0</v>
      </c>
      <c r="LW15" s="262">
        <v>0</v>
      </c>
      <c r="LX15" s="262">
        <v>0</v>
      </c>
      <c r="LY15" s="263">
        <v>0</v>
      </c>
      <c r="LZ15" s="262">
        <v>0</v>
      </c>
      <c r="MA15" s="262">
        <v>0</v>
      </c>
      <c r="MB15" s="263">
        <v>0</v>
      </c>
      <c r="MC15" s="262">
        <v>0</v>
      </c>
      <c r="MD15" s="262">
        <v>0</v>
      </c>
      <c r="ME15" s="263">
        <v>0</v>
      </c>
      <c r="MF15" s="262">
        <v>0</v>
      </c>
      <c r="MG15" s="262">
        <v>0</v>
      </c>
      <c r="MH15" s="263">
        <v>0</v>
      </c>
      <c r="MI15" s="262">
        <v>0</v>
      </c>
      <c r="MJ15" s="262">
        <v>0</v>
      </c>
      <c r="MK15" s="263">
        <v>0</v>
      </c>
      <c r="ML15" s="262">
        <v>0</v>
      </c>
      <c r="MM15" s="262">
        <v>291.75400000000002</v>
      </c>
      <c r="MN15" s="263">
        <v>-1</v>
      </c>
      <c r="MO15" s="262">
        <v>99380.206999999995</v>
      </c>
      <c r="MP15" s="262">
        <v>146946.40299999999</v>
      </c>
      <c r="MQ15" s="263">
        <v>-0.32369758652751801</v>
      </c>
      <c r="MR15" s="262">
        <v>485026.43599999999</v>
      </c>
      <c r="MS15" s="262">
        <v>492592.97600000002</v>
      </c>
      <c r="MT15" s="263">
        <v>-1.53606331568966E-2</v>
      </c>
      <c r="MU15" s="262">
        <v>1400887.493</v>
      </c>
      <c r="MV15" s="262">
        <v>1277443.6100000001</v>
      </c>
      <c r="MW15" s="264">
        <v>9.6633528113229103E-2</v>
      </c>
      <c r="MX15" s="262">
        <v>3076023.4720000001</v>
      </c>
      <c r="MY15" s="262">
        <v>4309221.659</v>
      </c>
      <c r="MZ15" s="263">
        <v>-0.28617654987053398</v>
      </c>
      <c r="NA15" s="262">
        <v>28513326.203000002</v>
      </c>
      <c r="NB15" s="262">
        <v>31626070.703000002</v>
      </c>
      <c r="NC15" s="263">
        <v>-9.8423371313867594E-2</v>
      </c>
      <c r="ND15" s="262">
        <v>56406302.921999998</v>
      </c>
      <c r="NE15" s="262">
        <v>61294815.397</v>
      </c>
      <c r="NF15" s="263">
        <v>-7.9754094099764E-2</v>
      </c>
      <c r="NG15" s="262">
        <v>0</v>
      </c>
      <c r="NH15" s="262">
        <v>0</v>
      </c>
      <c r="NI15" s="263">
        <v>0</v>
      </c>
      <c r="NJ15" s="262">
        <v>0</v>
      </c>
      <c r="NK15" s="262">
        <v>0</v>
      </c>
      <c r="NL15" s="263">
        <v>0</v>
      </c>
      <c r="NM15" s="262">
        <v>0</v>
      </c>
      <c r="NN15" s="262">
        <v>0</v>
      </c>
      <c r="NO15" s="263">
        <v>0</v>
      </c>
      <c r="NP15" s="262">
        <v>0</v>
      </c>
      <c r="NQ15" s="262">
        <v>0</v>
      </c>
      <c r="NR15" s="263">
        <v>0</v>
      </c>
      <c r="NS15" s="262">
        <v>0</v>
      </c>
      <c r="NT15" s="262">
        <v>0</v>
      </c>
      <c r="NU15" s="263">
        <v>0</v>
      </c>
      <c r="NV15" s="262">
        <v>0</v>
      </c>
      <c r="NW15" s="262">
        <v>0</v>
      </c>
      <c r="NX15" s="263">
        <v>0</v>
      </c>
      <c r="NY15" s="262">
        <v>0</v>
      </c>
      <c r="NZ15" s="262">
        <v>0</v>
      </c>
      <c r="OA15" s="263">
        <v>0</v>
      </c>
      <c r="OB15" s="262">
        <v>0</v>
      </c>
      <c r="OC15" s="262">
        <v>0</v>
      </c>
      <c r="OD15" s="263">
        <v>0</v>
      </c>
      <c r="OE15" s="262">
        <v>0</v>
      </c>
      <c r="OF15" s="262">
        <v>235.57400000000001</v>
      </c>
      <c r="OG15" s="263">
        <v>-1</v>
      </c>
      <c r="OH15" s="262">
        <v>143378.45499999999</v>
      </c>
      <c r="OI15" s="262">
        <v>129811.80100000001</v>
      </c>
      <c r="OJ15" s="263">
        <v>0.104510174695134</v>
      </c>
      <c r="OK15" s="262">
        <v>628404.89099999995</v>
      </c>
      <c r="OL15" s="262">
        <v>622404.777</v>
      </c>
      <c r="OM15" s="263">
        <v>9.6402119998509304E-3</v>
      </c>
      <c r="ON15" s="262">
        <v>1414454.1470000001</v>
      </c>
      <c r="OO15" s="262">
        <v>1342880.909</v>
      </c>
      <c r="OP15" s="264">
        <v>5.32982765041305E-2</v>
      </c>
      <c r="OQ15" s="262">
        <v>4418435.7189999996</v>
      </c>
      <c r="OR15" s="262">
        <v>4060674.8659999999</v>
      </c>
      <c r="OS15" s="263">
        <v>8.8103791809467105E-2</v>
      </c>
      <c r="OT15" s="262">
        <v>32931761.921999998</v>
      </c>
      <c r="OU15" s="262">
        <v>35686745.568999998</v>
      </c>
      <c r="OV15" s="263">
        <v>-7.7199072178584197E-2</v>
      </c>
      <c r="OW15" s="262">
        <v>56764063.774999999</v>
      </c>
      <c r="OX15" s="262">
        <v>61703776.438000001</v>
      </c>
      <c r="OY15" s="263">
        <v>-8.0055272920992598E-2</v>
      </c>
      <c r="OZ15" s="262">
        <v>0</v>
      </c>
      <c r="PA15" s="262">
        <v>0</v>
      </c>
      <c r="PB15" s="263">
        <v>0</v>
      </c>
      <c r="PC15" s="262">
        <v>0</v>
      </c>
      <c r="PD15" s="262">
        <v>0</v>
      </c>
      <c r="PE15" s="263">
        <v>0</v>
      </c>
      <c r="PF15" s="262">
        <v>0</v>
      </c>
      <c r="PG15" s="262">
        <v>0</v>
      </c>
      <c r="PH15" s="263">
        <v>0</v>
      </c>
      <c r="PI15" s="262">
        <v>0</v>
      </c>
      <c r="PJ15" s="262">
        <v>0</v>
      </c>
      <c r="PK15" s="263">
        <v>0</v>
      </c>
      <c r="PL15" s="262">
        <v>0</v>
      </c>
      <c r="PM15" s="262">
        <v>0</v>
      </c>
      <c r="PN15" s="263">
        <v>0</v>
      </c>
      <c r="PO15" s="262">
        <v>0</v>
      </c>
      <c r="PP15" s="262">
        <v>0</v>
      </c>
      <c r="PQ15" s="263">
        <v>0</v>
      </c>
      <c r="PR15" s="262">
        <v>0</v>
      </c>
      <c r="PS15" s="262">
        <v>0</v>
      </c>
      <c r="PT15" s="263">
        <v>0</v>
      </c>
      <c r="PU15" s="262">
        <v>0</v>
      </c>
      <c r="PV15" s="262">
        <v>0</v>
      </c>
      <c r="PW15" s="263">
        <v>0</v>
      </c>
      <c r="PX15" s="262">
        <v>0</v>
      </c>
      <c r="PY15" s="262">
        <v>117.009</v>
      </c>
      <c r="PZ15" s="263">
        <v>-1</v>
      </c>
      <c r="QA15" s="262">
        <v>163042.329</v>
      </c>
      <c r="QB15" s="262">
        <v>169341.69699999999</v>
      </c>
      <c r="QC15" s="263">
        <v>-3.7199154795289402E-2</v>
      </c>
      <c r="QD15" s="262">
        <v>791447.22</v>
      </c>
      <c r="QE15" s="262">
        <v>791746.47400000005</v>
      </c>
      <c r="QF15" s="263">
        <v>-3.7796695006193801E-4</v>
      </c>
      <c r="QG15" s="262">
        <v>1408154.7790000001</v>
      </c>
      <c r="QH15" s="262">
        <v>1302621.0989999999</v>
      </c>
      <c r="QI15" s="264">
        <v>8.1016406137607105E-2</v>
      </c>
      <c r="QJ15" s="262">
        <v>3597984.071</v>
      </c>
      <c r="QK15" s="262">
        <v>3750972.7420000001</v>
      </c>
      <c r="QL15" s="263">
        <v>-4.07863990284364E-2</v>
      </c>
      <c r="QM15" s="262">
        <v>36529745.993000001</v>
      </c>
      <c r="QN15" s="262">
        <v>39437718.310999997</v>
      </c>
      <c r="QO15" s="263">
        <v>-7.3735815420865797E-2</v>
      </c>
      <c r="QP15" s="262">
        <v>56611075.104000002</v>
      </c>
      <c r="QQ15" s="262">
        <v>61357345.946999997</v>
      </c>
      <c r="QR15" s="263">
        <v>-7.7354565614682694E-2</v>
      </c>
      <c r="QS15" s="262">
        <v>0</v>
      </c>
      <c r="QT15" s="262">
        <v>0</v>
      </c>
      <c r="QU15" s="263">
        <v>0</v>
      </c>
      <c r="QV15" s="262">
        <v>0</v>
      </c>
      <c r="QW15" s="262">
        <v>0</v>
      </c>
      <c r="QX15" s="263">
        <v>0</v>
      </c>
      <c r="QY15" s="262">
        <v>0</v>
      </c>
      <c r="QZ15" s="262">
        <v>0</v>
      </c>
      <c r="RA15" s="263">
        <v>0</v>
      </c>
      <c r="RB15" s="262">
        <v>0</v>
      </c>
      <c r="RC15" s="262">
        <v>0</v>
      </c>
      <c r="RD15" s="263">
        <v>0</v>
      </c>
      <c r="RE15" s="262">
        <v>0</v>
      </c>
      <c r="RF15" s="262">
        <v>0</v>
      </c>
      <c r="RG15" s="263">
        <v>0</v>
      </c>
      <c r="RH15" s="262">
        <v>0</v>
      </c>
      <c r="RI15" s="262">
        <v>0</v>
      </c>
      <c r="RJ15" s="263">
        <v>0</v>
      </c>
      <c r="RK15" s="262">
        <v>0</v>
      </c>
      <c r="RL15" s="262">
        <v>0</v>
      </c>
      <c r="RM15" s="263">
        <v>0</v>
      </c>
      <c r="RN15" s="262">
        <v>0</v>
      </c>
      <c r="RO15" s="262">
        <v>0</v>
      </c>
      <c r="RP15" s="263">
        <v>0</v>
      </c>
      <c r="RQ15" s="262">
        <v>0</v>
      </c>
      <c r="RR15" s="262">
        <v>19.088000000000001</v>
      </c>
      <c r="RS15" s="263">
        <v>-1</v>
      </c>
      <c r="RT15" s="262">
        <v>149389.652</v>
      </c>
      <c r="RU15" s="262">
        <v>210634.63</v>
      </c>
      <c r="RV15" s="263">
        <v>-0.29076404957722302</v>
      </c>
      <c r="RW15" s="262">
        <v>940836.87199999997</v>
      </c>
      <c r="RX15" s="262">
        <v>1002381.1040000001</v>
      </c>
      <c r="RY15" s="263">
        <v>-6.1398036888772101E-2</v>
      </c>
      <c r="RZ15" s="262">
        <v>1346909.801</v>
      </c>
      <c r="SA15" s="262">
        <v>1334850.32</v>
      </c>
      <c r="SB15" s="264">
        <v>9.0343320290771703E-3</v>
      </c>
      <c r="SC15" s="262">
        <v>3943756.2480000001</v>
      </c>
      <c r="SD15" s="262">
        <v>4497110.4730000002</v>
      </c>
      <c r="SE15" s="263">
        <v>-0.12304661589308501</v>
      </c>
      <c r="SF15" s="262">
        <v>40473502.240999997</v>
      </c>
      <c r="SG15" s="262">
        <v>43934828.784000002</v>
      </c>
      <c r="SH15" s="263">
        <v>-7.8783203185271905E-2</v>
      </c>
      <c r="SI15" s="262">
        <v>56057720.879000001</v>
      </c>
      <c r="SJ15" s="262">
        <v>62358833.792999998</v>
      </c>
      <c r="SK15" s="263">
        <v>-0.10104603519232799</v>
      </c>
      <c r="SL15" s="262">
        <v>0</v>
      </c>
      <c r="SM15" s="262">
        <v>0</v>
      </c>
      <c r="SN15" s="263">
        <v>0</v>
      </c>
      <c r="SO15" s="262">
        <v>0</v>
      </c>
      <c r="SP15" s="262">
        <v>0</v>
      </c>
      <c r="SQ15" s="263">
        <v>0</v>
      </c>
      <c r="SR15" s="262">
        <v>0</v>
      </c>
      <c r="SS15" s="262">
        <v>0</v>
      </c>
      <c r="ST15" s="263">
        <v>0</v>
      </c>
      <c r="SU15" s="262">
        <v>0</v>
      </c>
      <c r="SV15" s="262">
        <v>0</v>
      </c>
      <c r="SW15" s="263">
        <v>0</v>
      </c>
      <c r="SX15" s="262">
        <v>0</v>
      </c>
      <c r="SY15" s="262">
        <v>0</v>
      </c>
      <c r="SZ15" s="263">
        <v>0</v>
      </c>
      <c r="TA15" s="262">
        <v>0</v>
      </c>
      <c r="TB15" s="262">
        <v>0</v>
      </c>
      <c r="TC15" s="263">
        <v>0</v>
      </c>
      <c r="TD15" s="262">
        <v>0</v>
      </c>
      <c r="TE15" s="262">
        <v>0</v>
      </c>
      <c r="TF15" s="263">
        <v>0</v>
      </c>
      <c r="TG15" s="262">
        <v>0</v>
      </c>
      <c r="TH15" s="262">
        <v>0</v>
      </c>
      <c r="TI15" s="263">
        <v>0</v>
      </c>
      <c r="TJ15" s="262">
        <v>0</v>
      </c>
      <c r="TK15" s="262">
        <v>19.088000000000001</v>
      </c>
      <c r="TL15" s="263">
        <v>-1</v>
      </c>
      <c r="TM15" s="262">
        <v>165412.28</v>
      </c>
      <c r="TN15" s="262">
        <v>148538.97899999999</v>
      </c>
      <c r="TO15" s="263">
        <v>0.11359510556485</v>
      </c>
      <c r="TP15" s="262">
        <v>1106249.152</v>
      </c>
      <c r="TQ15" s="262">
        <v>1150920.0830000001</v>
      </c>
      <c r="TR15" s="263">
        <v>-3.8813234437234098E-2</v>
      </c>
      <c r="TS15" s="262">
        <v>1363783.102</v>
      </c>
      <c r="TT15" s="262">
        <v>1380133.547</v>
      </c>
      <c r="TU15" s="264">
        <v>-1.1847002078560299E-2</v>
      </c>
      <c r="TV15" s="262">
        <v>4353217.1050000004</v>
      </c>
      <c r="TW15" s="262">
        <v>5579796.8899999997</v>
      </c>
      <c r="TX15" s="263">
        <v>-0.21982516732790999</v>
      </c>
      <c r="TY15" s="262">
        <v>44826719.346000001</v>
      </c>
      <c r="TZ15" s="262">
        <v>49514625.674000002</v>
      </c>
      <c r="UA15" s="263">
        <v>-9.46772042439495E-2</v>
      </c>
      <c r="UB15" s="262">
        <v>54831141.093999997</v>
      </c>
      <c r="UC15" s="262">
        <v>62190466.596000001</v>
      </c>
      <c r="UD15" s="263">
        <v>-0.11833526752271301</v>
      </c>
      <c r="UE15" s="262">
        <v>0</v>
      </c>
      <c r="UF15" s="262">
        <v>0</v>
      </c>
      <c r="UG15" s="263">
        <v>0</v>
      </c>
      <c r="UH15" s="262">
        <v>0</v>
      </c>
      <c r="UI15" s="262">
        <v>0</v>
      </c>
      <c r="UJ15" s="263">
        <v>0</v>
      </c>
      <c r="UK15" s="262">
        <v>0</v>
      </c>
      <c r="UL15" s="262">
        <v>0</v>
      </c>
      <c r="UM15" s="263">
        <v>0</v>
      </c>
      <c r="UN15" s="262">
        <v>0</v>
      </c>
      <c r="UO15" s="262">
        <v>0</v>
      </c>
      <c r="UP15" s="263">
        <v>0</v>
      </c>
      <c r="UQ15" s="262">
        <v>0</v>
      </c>
      <c r="UR15" s="262">
        <v>0</v>
      </c>
      <c r="US15" s="263">
        <v>0</v>
      </c>
      <c r="UT15" s="262">
        <v>0</v>
      </c>
      <c r="UU15" s="262">
        <v>0</v>
      </c>
      <c r="UV15" s="263">
        <v>0</v>
      </c>
      <c r="UW15" s="262">
        <v>0</v>
      </c>
      <c r="UX15" s="262">
        <v>0</v>
      </c>
      <c r="UY15" s="263">
        <v>0</v>
      </c>
      <c r="UZ15" s="262">
        <v>0</v>
      </c>
      <c r="VA15" s="262">
        <v>0</v>
      </c>
      <c r="VB15" s="263">
        <v>0</v>
      </c>
      <c r="VC15" s="262">
        <v>0</v>
      </c>
      <c r="VD15" s="262">
        <v>8.7279999999999998</v>
      </c>
      <c r="VE15" s="263">
        <v>-1</v>
      </c>
      <c r="VF15" s="262">
        <v>85924.875</v>
      </c>
      <c r="VG15" s="262">
        <v>116725.77099999999</v>
      </c>
      <c r="VH15" s="263">
        <v>-0.26387399917024301</v>
      </c>
      <c r="VI15" s="262">
        <v>1192174.027</v>
      </c>
      <c r="VJ15" s="262">
        <v>1267645.8540000001</v>
      </c>
      <c r="VK15" s="263">
        <v>-5.9536996679200302E-2</v>
      </c>
      <c r="VL15" s="262">
        <v>1332982.206</v>
      </c>
      <c r="VM15" s="262">
        <v>1439098.6610000001</v>
      </c>
      <c r="VN15" s="264">
        <v>-7.3738137541078497E-2</v>
      </c>
    </row>
    <row r="16" spans="1:586">
      <c r="A16" s="268" t="s">
        <v>6</v>
      </c>
      <c r="B16" s="262">
        <v>2723045.9870000002</v>
      </c>
      <c r="C16" s="262">
        <v>2580794.8339999998</v>
      </c>
      <c r="D16" s="263">
        <v>5.5119124978843803E-2</v>
      </c>
      <c r="E16" s="262">
        <v>38965207.181000002</v>
      </c>
      <c r="F16" s="262">
        <v>32914401.004000001</v>
      </c>
      <c r="G16" s="263">
        <v>0.183834613191492</v>
      </c>
      <c r="H16" s="262">
        <v>42767458.324000001</v>
      </c>
      <c r="I16" s="262">
        <v>35512346.673</v>
      </c>
      <c r="J16" s="263">
        <v>0.204298288643258</v>
      </c>
      <c r="K16" s="262">
        <v>0</v>
      </c>
      <c r="L16" s="262">
        <v>4.7E-2</v>
      </c>
      <c r="M16" s="263">
        <v>-1</v>
      </c>
      <c r="N16" s="262">
        <v>0.112</v>
      </c>
      <c r="O16" s="262">
        <v>0.114</v>
      </c>
      <c r="P16" s="263">
        <v>-1.7543859649122799E-2</v>
      </c>
      <c r="Q16" s="262">
        <v>0.23499999999999999</v>
      </c>
      <c r="R16" s="262">
        <v>0.114</v>
      </c>
      <c r="S16" s="263">
        <v>1.06140350877193</v>
      </c>
      <c r="T16" s="262">
        <v>4.6550000000000002</v>
      </c>
      <c r="U16" s="262">
        <v>5.625</v>
      </c>
      <c r="V16" s="263">
        <v>-0.17244444444444401</v>
      </c>
      <c r="W16" s="262">
        <v>62.896999999999998</v>
      </c>
      <c r="X16" s="262">
        <v>67.994</v>
      </c>
      <c r="Y16" s="263">
        <v>-7.4962496690884506E-2</v>
      </c>
      <c r="Z16" s="262">
        <v>71.430000000000007</v>
      </c>
      <c r="AA16" s="262">
        <v>75.742999999999995</v>
      </c>
      <c r="AB16" s="263">
        <v>-5.69425557477257E-2</v>
      </c>
      <c r="AC16" s="262">
        <v>38954.233999999997</v>
      </c>
      <c r="AD16" s="262">
        <v>33237.370000000003</v>
      </c>
      <c r="AE16" s="263">
        <v>0.17200109394937099</v>
      </c>
      <c r="AF16" s="262">
        <v>455430.34100000001</v>
      </c>
      <c r="AG16" s="262">
        <v>341899.45199999999</v>
      </c>
      <c r="AH16" s="263">
        <v>0.33205928917370697</v>
      </c>
      <c r="AI16" s="262">
        <v>504000.95</v>
      </c>
      <c r="AJ16" s="262">
        <v>374764.25799999997</v>
      </c>
      <c r="AK16" s="263">
        <v>0.34484796573103299</v>
      </c>
      <c r="AL16" s="262">
        <v>36358.264999999999</v>
      </c>
      <c r="AM16" s="262">
        <v>30035.51</v>
      </c>
      <c r="AN16" s="263">
        <v>0.21050932712645801</v>
      </c>
      <c r="AO16" s="262">
        <v>349431.16600000003</v>
      </c>
      <c r="AP16" s="262">
        <v>297473.16499999998</v>
      </c>
      <c r="AQ16" s="263">
        <v>0.17466449788840599</v>
      </c>
      <c r="AR16" s="262">
        <v>398558.728</v>
      </c>
      <c r="AS16" s="262">
        <v>339787.15899999999</v>
      </c>
      <c r="AT16" s="264">
        <v>0.17296583300253601</v>
      </c>
      <c r="AU16" s="262">
        <v>2273771.88</v>
      </c>
      <c r="AV16" s="262">
        <v>1968077.1189999999</v>
      </c>
      <c r="AW16" s="263">
        <v>0.15532661705620901</v>
      </c>
      <c r="AX16" s="262">
        <v>41238979.060999997</v>
      </c>
      <c r="AY16" s="262">
        <v>34882478.123000003</v>
      </c>
      <c r="AZ16" s="263">
        <v>0.182226185753953</v>
      </c>
      <c r="BA16" s="262">
        <v>43073153.085000001</v>
      </c>
      <c r="BB16" s="262">
        <v>35979888.858999997</v>
      </c>
      <c r="BC16" s="263">
        <v>0.19714525116510201</v>
      </c>
      <c r="BD16" s="262">
        <v>0</v>
      </c>
      <c r="BE16" s="262">
        <v>5.8000000000000003E-2</v>
      </c>
      <c r="BF16" s="263">
        <v>-1</v>
      </c>
      <c r="BG16" s="262">
        <v>0.112</v>
      </c>
      <c r="BH16" s="262">
        <v>0.17199999999999999</v>
      </c>
      <c r="BI16" s="263">
        <v>-0.34883720930232598</v>
      </c>
      <c r="BJ16" s="262">
        <v>0.17699999999999999</v>
      </c>
      <c r="BK16" s="262">
        <v>0.17199999999999999</v>
      </c>
      <c r="BL16" s="263">
        <v>2.9069767441860499E-2</v>
      </c>
      <c r="BM16" s="262">
        <v>3.0169999999999999</v>
      </c>
      <c r="BN16" s="262">
        <v>5</v>
      </c>
      <c r="BO16" s="263">
        <v>-0.39660000000000001</v>
      </c>
      <c r="BP16" s="262">
        <v>65.914000000000001</v>
      </c>
      <c r="BQ16" s="262">
        <v>72.994</v>
      </c>
      <c r="BR16" s="263">
        <v>-9.6994273501931599E-2</v>
      </c>
      <c r="BS16" s="262">
        <v>69.447000000000003</v>
      </c>
      <c r="BT16" s="262">
        <v>76.164000000000001</v>
      </c>
      <c r="BU16" s="263">
        <v>-8.8191271466834698E-2</v>
      </c>
      <c r="BV16" s="262">
        <v>27233.916000000001</v>
      </c>
      <c r="BW16" s="262">
        <v>25431.174999999999</v>
      </c>
      <c r="BX16" s="263">
        <v>7.0887051030870701E-2</v>
      </c>
      <c r="BY16" s="262">
        <v>482664.25699999998</v>
      </c>
      <c r="BZ16" s="262">
        <v>367330.62699999998</v>
      </c>
      <c r="CA16" s="263">
        <v>0.31397771250911799</v>
      </c>
      <c r="CB16" s="262">
        <v>505803.69099999999</v>
      </c>
      <c r="CC16" s="262">
        <v>382866.78499999997</v>
      </c>
      <c r="CD16" s="263">
        <v>0.32109577225404901</v>
      </c>
      <c r="CE16" s="262">
        <v>28568.382000000001</v>
      </c>
      <c r="CF16" s="262">
        <v>25317.008999999998</v>
      </c>
      <c r="CG16" s="263">
        <v>0.128426426676232</v>
      </c>
      <c r="CH16" s="262">
        <v>377999.54800000001</v>
      </c>
      <c r="CI16" s="262">
        <v>322790.174</v>
      </c>
      <c r="CJ16" s="263">
        <v>0.17103796350380901</v>
      </c>
      <c r="CK16" s="262">
        <v>401810.10100000002</v>
      </c>
      <c r="CL16" s="262">
        <v>341850.97200000001</v>
      </c>
      <c r="CM16" s="264">
        <v>0.17539552001039799</v>
      </c>
      <c r="CN16" s="262">
        <v>2442915.807</v>
      </c>
      <c r="CO16" s="262">
        <v>1834174.024</v>
      </c>
      <c r="CP16" s="263">
        <v>0.33188878210827799</v>
      </c>
      <c r="CQ16" s="262">
        <v>43681894.868000001</v>
      </c>
      <c r="CR16" s="262">
        <v>36716652.147</v>
      </c>
      <c r="CS16" s="263">
        <v>0.189702554936483</v>
      </c>
      <c r="CT16" s="262">
        <v>43681894.868000001</v>
      </c>
      <c r="CU16" s="262">
        <v>36716652.147</v>
      </c>
      <c r="CV16" s="263">
        <v>0.189702554936483</v>
      </c>
      <c r="CW16" s="262">
        <v>0</v>
      </c>
      <c r="CX16" s="262">
        <v>6.5000000000000002E-2</v>
      </c>
      <c r="CY16" s="263">
        <v>-1</v>
      </c>
      <c r="CZ16" s="262">
        <v>0.112</v>
      </c>
      <c r="DA16" s="262">
        <v>0.23699999999999999</v>
      </c>
      <c r="DB16" s="263">
        <v>-0.52742616033755296</v>
      </c>
      <c r="DC16" s="262">
        <v>0.112</v>
      </c>
      <c r="DD16" s="262">
        <v>0.23699999999999999</v>
      </c>
      <c r="DE16" s="263">
        <v>-0.52742616033755296</v>
      </c>
      <c r="DF16" s="262">
        <v>3.581</v>
      </c>
      <c r="DG16" s="262">
        <v>3.5329999999999999</v>
      </c>
      <c r="DH16" s="263">
        <v>1.35861873761676E-2</v>
      </c>
      <c r="DI16" s="262">
        <v>69.495000000000005</v>
      </c>
      <c r="DJ16" s="262">
        <v>76.527000000000001</v>
      </c>
      <c r="DK16" s="263">
        <v>-9.1889137167274301E-2</v>
      </c>
      <c r="DL16" s="262">
        <v>69.495000000000005</v>
      </c>
      <c r="DM16" s="262">
        <v>76.527000000000001</v>
      </c>
      <c r="DN16" s="263">
        <v>-9.1889137167274301E-2</v>
      </c>
      <c r="DO16" s="262">
        <v>25260.022000000001</v>
      </c>
      <c r="DP16" s="262">
        <v>23139.434000000001</v>
      </c>
      <c r="DQ16" s="263">
        <v>9.1643901056525395E-2</v>
      </c>
      <c r="DR16" s="262">
        <v>507924.27899999998</v>
      </c>
      <c r="DS16" s="262">
        <v>390470.06099999999</v>
      </c>
      <c r="DT16" s="263">
        <v>0.30080210938374602</v>
      </c>
      <c r="DU16" s="262">
        <v>507924.27899999998</v>
      </c>
      <c r="DV16" s="262">
        <v>390470.06099999999</v>
      </c>
      <c r="DW16" s="263">
        <v>0.30080210938374602</v>
      </c>
      <c r="DX16" s="262">
        <v>27419.524000000001</v>
      </c>
      <c r="DY16" s="262">
        <v>23810.553</v>
      </c>
      <c r="DZ16" s="263">
        <v>0.151570230225228</v>
      </c>
      <c r="EA16" s="262">
        <v>405419.07199999999</v>
      </c>
      <c r="EB16" s="262">
        <v>346600.72700000001</v>
      </c>
      <c r="EC16" s="263">
        <v>0.16970058173017</v>
      </c>
      <c r="ED16" s="262">
        <v>405419.07199999999</v>
      </c>
      <c r="EE16" s="262">
        <v>346600.72700000001</v>
      </c>
      <c r="EF16" s="264">
        <v>0.16970058173017</v>
      </c>
      <c r="EG16" s="262">
        <v>2257121.2779999999</v>
      </c>
      <c r="EH16" s="262">
        <v>1883483.612</v>
      </c>
      <c r="EI16" s="263">
        <v>0.19837585186273399</v>
      </c>
      <c r="EJ16" s="262">
        <v>2257121.2779999999</v>
      </c>
      <c r="EK16" s="262">
        <v>1883483.612</v>
      </c>
      <c r="EL16" s="263">
        <v>0.19837585186273399</v>
      </c>
      <c r="EM16" s="262">
        <v>44055532.534000002</v>
      </c>
      <c r="EN16" s="262">
        <v>36895790.351999998</v>
      </c>
      <c r="EO16" s="263">
        <v>0.19405309152326899</v>
      </c>
      <c r="EP16" s="262">
        <v>0</v>
      </c>
      <c r="EQ16" s="262">
        <v>0</v>
      </c>
      <c r="ER16" s="263">
        <v>0</v>
      </c>
      <c r="ES16" s="262">
        <v>0</v>
      </c>
      <c r="ET16" s="262">
        <v>0</v>
      </c>
      <c r="EU16" s="263">
        <v>0</v>
      </c>
      <c r="EV16" s="262">
        <v>0.112</v>
      </c>
      <c r="EW16" s="262">
        <v>0.23699999999999999</v>
      </c>
      <c r="EX16" s="263">
        <v>-0.52742616033755296</v>
      </c>
      <c r="EY16" s="262">
        <v>3.48</v>
      </c>
      <c r="EZ16" s="262">
        <v>3.492</v>
      </c>
      <c r="FA16" s="263">
        <v>-3.4364261168384901E-3</v>
      </c>
      <c r="FB16" s="262">
        <v>3.48</v>
      </c>
      <c r="FC16" s="262">
        <v>3.492</v>
      </c>
      <c r="FD16" s="263">
        <v>-3.4364261168384901E-3</v>
      </c>
      <c r="FE16" s="262">
        <v>69.483000000000004</v>
      </c>
      <c r="FF16" s="262">
        <v>75.676000000000002</v>
      </c>
      <c r="FG16" s="263">
        <v>-8.1835720704054093E-2</v>
      </c>
      <c r="FH16" s="262">
        <v>27365.278999999999</v>
      </c>
      <c r="FI16" s="262">
        <v>24205.652999999998</v>
      </c>
      <c r="FJ16" s="263">
        <v>0.13053256609107</v>
      </c>
      <c r="FK16" s="262">
        <v>27365.278999999999</v>
      </c>
      <c r="FL16" s="262">
        <v>24205.652999999998</v>
      </c>
      <c r="FM16" s="263">
        <v>0.13053256609107</v>
      </c>
      <c r="FN16" s="262">
        <v>511083.90500000003</v>
      </c>
      <c r="FO16" s="262">
        <v>396119.89399999997</v>
      </c>
      <c r="FP16" s="263">
        <v>0.29022528971998601</v>
      </c>
      <c r="FQ16" s="262">
        <v>32134.22</v>
      </c>
      <c r="FR16" s="262">
        <v>24766.018</v>
      </c>
      <c r="FS16" s="263">
        <v>0.297512583573185</v>
      </c>
      <c r="FT16" s="262">
        <v>32134.22</v>
      </c>
      <c r="FU16" s="262">
        <v>24766.018</v>
      </c>
      <c r="FV16" s="263">
        <v>0.297512583573185</v>
      </c>
      <c r="FW16" s="262">
        <v>412787.27399999998</v>
      </c>
      <c r="FX16" s="262">
        <v>349228.28499999997</v>
      </c>
      <c r="FY16" s="264">
        <v>0.18199839970007001</v>
      </c>
      <c r="FZ16" s="262">
        <v>3139995.898</v>
      </c>
      <c r="GA16" s="262">
        <v>2551639.1090000002</v>
      </c>
      <c r="GB16" s="263">
        <v>0.23057993856763701</v>
      </c>
      <c r="GC16" s="262">
        <v>5397117.176</v>
      </c>
      <c r="GD16" s="262">
        <v>4435122.7209999999</v>
      </c>
      <c r="GE16" s="263">
        <v>0.21690368350914499</v>
      </c>
      <c r="GF16" s="262">
        <v>44643889.322999999</v>
      </c>
      <c r="GG16" s="262">
        <v>37336787.169</v>
      </c>
      <c r="GH16" s="263">
        <v>0.19570784494459501</v>
      </c>
      <c r="GI16" s="262">
        <v>1E-3</v>
      </c>
      <c r="GJ16" s="262">
        <v>4.0000000000000001E-3</v>
      </c>
      <c r="GK16" s="263">
        <v>-0.75</v>
      </c>
      <c r="GL16" s="262">
        <v>1E-3</v>
      </c>
      <c r="GM16" s="262">
        <v>4.0000000000000001E-3</v>
      </c>
      <c r="GN16" s="263">
        <v>-0.75</v>
      </c>
      <c r="GO16" s="262">
        <v>0.109</v>
      </c>
      <c r="GP16" s="262">
        <v>0.24099999999999999</v>
      </c>
      <c r="GQ16" s="263">
        <v>-0.54771784232365195</v>
      </c>
      <c r="GR16" s="262">
        <v>4.125</v>
      </c>
      <c r="GS16" s="262">
        <v>4.8739999999999997</v>
      </c>
      <c r="GT16" s="263">
        <v>-0.153672548215018</v>
      </c>
      <c r="GU16" s="262">
        <v>7.6050000000000004</v>
      </c>
      <c r="GV16" s="262">
        <v>8.3659999999999997</v>
      </c>
      <c r="GW16" s="263">
        <v>-9.0963423380348907E-2</v>
      </c>
      <c r="GX16" s="262">
        <v>68.733999999999995</v>
      </c>
      <c r="GY16" s="262">
        <v>76.263000000000005</v>
      </c>
      <c r="GZ16" s="263">
        <v>-9.8724151947864797E-2</v>
      </c>
      <c r="HA16" s="262">
        <v>29660.162</v>
      </c>
      <c r="HB16" s="262">
        <v>30786.093000000001</v>
      </c>
      <c r="HC16" s="263">
        <v>-3.6572714829387398E-2</v>
      </c>
      <c r="HD16" s="262">
        <v>57025.440999999999</v>
      </c>
      <c r="HE16" s="262">
        <v>54991.745999999999</v>
      </c>
      <c r="HF16" s="263">
        <v>3.69818226902634E-2</v>
      </c>
      <c r="HG16" s="262">
        <v>509957.97399999999</v>
      </c>
      <c r="HH16" s="262">
        <v>404399.78</v>
      </c>
      <c r="HI16" s="263">
        <v>0.26102436059683298</v>
      </c>
      <c r="HJ16" s="262">
        <v>36099.777999999998</v>
      </c>
      <c r="HK16" s="262">
        <v>26429.468000000001</v>
      </c>
      <c r="HL16" s="263">
        <v>0.36589120900958</v>
      </c>
      <c r="HM16" s="262">
        <v>68233.998000000007</v>
      </c>
      <c r="HN16" s="262">
        <v>51195.485999999997</v>
      </c>
      <c r="HO16" s="263">
        <v>0.33281277962670403</v>
      </c>
      <c r="HP16" s="262">
        <v>422457.58399999997</v>
      </c>
      <c r="HQ16" s="262">
        <v>355272.217</v>
      </c>
      <c r="HR16" s="264">
        <v>0.189109544133027</v>
      </c>
      <c r="HS16" s="262">
        <v>3025136.0789999999</v>
      </c>
      <c r="HT16" s="262">
        <v>2995999.12</v>
      </c>
      <c r="HU16" s="263">
        <v>9.72528957218112E-3</v>
      </c>
      <c r="HV16" s="262">
        <v>8422253.2550000008</v>
      </c>
      <c r="HW16" s="262">
        <v>7431121.841</v>
      </c>
      <c r="HX16" s="263">
        <v>0.13337574530558699</v>
      </c>
      <c r="HY16" s="262">
        <v>44673026.281999998</v>
      </c>
      <c r="HZ16" s="262">
        <v>37304149.32</v>
      </c>
      <c r="IA16" s="263">
        <v>0.197535048950957</v>
      </c>
      <c r="IB16" s="262">
        <v>1.2999999999999999E-2</v>
      </c>
      <c r="IC16" s="262">
        <v>8.0000000000000002E-3</v>
      </c>
      <c r="ID16" s="263">
        <v>0.625</v>
      </c>
      <c r="IE16" s="262">
        <v>1.4E-2</v>
      </c>
      <c r="IF16" s="262">
        <v>1.2E-2</v>
      </c>
      <c r="IG16" s="263">
        <v>0.16666666666666699</v>
      </c>
      <c r="IH16" s="262">
        <v>0.114</v>
      </c>
      <c r="II16" s="262">
        <v>0.249</v>
      </c>
      <c r="IJ16" s="263">
        <v>-0.54216867469879504</v>
      </c>
      <c r="IK16" s="262">
        <v>5.8019999999999996</v>
      </c>
      <c r="IL16" s="262">
        <v>5.8650000000000002</v>
      </c>
      <c r="IM16" s="263">
        <v>-1.0741687979539701E-2</v>
      </c>
      <c r="IN16" s="262">
        <v>13.407</v>
      </c>
      <c r="IO16" s="262">
        <v>14.231</v>
      </c>
      <c r="IP16" s="263">
        <v>-5.7901763755182301E-2</v>
      </c>
      <c r="IQ16" s="262">
        <v>68.671000000000006</v>
      </c>
      <c r="IR16" s="262">
        <v>74.515000000000001</v>
      </c>
      <c r="IS16" s="263">
        <v>-7.8427162316312096E-2</v>
      </c>
      <c r="IT16" s="262">
        <v>33783.218999999997</v>
      </c>
      <c r="IU16" s="262">
        <v>45328.432000000001</v>
      </c>
      <c r="IV16" s="263">
        <v>-0.25470135388755599</v>
      </c>
      <c r="IW16" s="262">
        <v>90808.66</v>
      </c>
      <c r="IX16" s="262">
        <v>100320.178</v>
      </c>
      <c r="IY16" s="263">
        <v>-9.4811614070301906E-2</v>
      </c>
      <c r="IZ16" s="262">
        <v>498412.761</v>
      </c>
      <c r="JA16" s="262">
        <v>413918.73100000003</v>
      </c>
      <c r="JB16" s="263">
        <v>0.20413193139597199</v>
      </c>
      <c r="JC16" s="262">
        <v>37372.995000000003</v>
      </c>
      <c r="JD16" s="262">
        <v>32017.469000000001</v>
      </c>
      <c r="JE16" s="263">
        <v>0.16726887437604801</v>
      </c>
      <c r="JF16" s="262">
        <v>105606.993</v>
      </c>
      <c r="JG16" s="262">
        <v>83212.955000000002</v>
      </c>
      <c r="JH16" s="263">
        <v>0.26911720656957799</v>
      </c>
      <c r="JI16" s="262">
        <v>427813.11</v>
      </c>
      <c r="JJ16" s="262">
        <v>354480.81900000002</v>
      </c>
      <c r="JK16" s="264">
        <v>0.20687238087203799</v>
      </c>
      <c r="JL16" s="262">
        <v>3984393.1889999998</v>
      </c>
      <c r="JM16" s="262">
        <v>3948726.0970000001</v>
      </c>
      <c r="JN16" s="263">
        <v>9.0325566078379993E-3</v>
      </c>
      <c r="JO16" s="262">
        <v>12406646.444</v>
      </c>
      <c r="JP16" s="262">
        <v>11379847.937999999</v>
      </c>
      <c r="JQ16" s="263">
        <v>9.0229545385336701E-2</v>
      </c>
      <c r="JR16" s="262">
        <v>44708693.373999998</v>
      </c>
      <c r="JS16" s="262">
        <v>37537335.214000002</v>
      </c>
      <c r="JT16" s="263">
        <v>0.191046011101112</v>
      </c>
      <c r="JU16" s="262">
        <v>8.9999999999999993E-3</v>
      </c>
      <c r="JV16" s="262">
        <v>1.2999999999999999E-2</v>
      </c>
      <c r="JW16" s="263">
        <v>-0.30769230769230799</v>
      </c>
      <c r="JX16" s="262">
        <v>2.3E-2</v>
      </c>
      <c r="JY16" s="262">
        <v>2.5000000000000001E-2</v>
      </c>
      <c r="JZ16" s="263">
        <v>-8.0000000000000099E-2</v>
      </c>
      <c r="KA16" s="262">
        <v>0.11</v>
      </c>
      <c r="KB16" s="262">
        <v>0.26200000000000001</v>
      </c>
      <c r="KC16" s="263">
        <v>-0.58015267175572505</v>
      </c>
      <c r="KD16" s="262">
        <v>6.532</v>
      </c>
      <c r="KE16" s="262">
        <v>7.3710000000000004</v>
      </c>
      <c r="KF16" s="263">
        <v>-0.11382444715778101</v>
      </c>
      <c r="KG16" s="262">
        <v>19.939</v>
      </c>
      <c r="KH16" s="262">
        <v>21.602</v>
      </c>
      <c r="KI16" s="263">
        <v>-7.6983612628460305E-2</v>
      </c>
      <c r="KJ16" s="262">
        <v>67.831999999999994</v>
      </c>
      <c r="KK16" s="262">
        <v>73.957999999999998</v>
      </c>
      <c r="KL16" s="263">
        <v>-8.2830795857108203E-2</v>
      </c>
      <c r="KM16" s="262">
        <v>48888.747000000003</v>
      </c>
      <c r="KN16" s="262">
        <v>44661.211000000003</v>
      </c>
      <c r="KO16" s="263">
        <v>9.46578900424353E-2</v>
      </c>
      <c r="KP16" s="262">
        <v>139697.40700000001</v>
      </c>
      <c r="KQ16" s="262">
        <v>144981.389</v>
      </c>
      <c r="KR16" s="263">
        <v>-3.6445933070761202E-2</v>
      </c>
      <c r="KS16" s="262">
        <v>502640.29700000002</v>
      </c>
      <c r="KT16" s="262">
        <v>419683.652</v>
      </c>
      <c r="KU16" s="263">
        <v>0.197664704366421</v>
      </c>
      <c r="KV16" s="262">
        <v>38245.548999999999</v>
      </c>
      <c r="KW16" s="262">
        <v>36139.911999999997</v>
      </c>
      <c r="KX16" s="263">
        <v>5.8263478892809799E-2</v>
      </c>
      <c r="KY16" s="262">
        <v>143852.54199999999</v>
      </c>
      <c r="KZ16" s="262">
        <v>119352.867</v>
      </c>
      <c r="LA16" s="263">
        <v>0.20527093831772</v>
      </c>
      <c r="LB16" s="262">
        <v>429918.74699999997</v>
      </c>
      <c r="LC16" s="262">
        <v>360537.76</v>
      </c>
      <c r="LD16" s="264">
        <v>0.19243750502027801</v>
      </c>
      <c r="LE16" s="262">
        <v>4777313.2010000004</v>
      </c>
      <c r="LF16" s="262">
        <v>5034517.676</v>
      </c>
      <c r="LG16" s="263">
        <v>-5.1088205773140202E-2</v>
      </c>
      <c r="LH16" s="262">
        <v>17183959.645</v>
      </c>
      <c r="LI16" s="262">
        <v>16414365.614</v>
      </c>
      <c r="LJ16" s="263">
        <v>4.6885395945098503E-2</v>
      </c>
      <c r="LK16" s="262">
        <v>44451488.898999996</v>
      </c>
      <c r="LL16" s="262">
        <v>38764323.401000001</v>
      </c>
      <c r="LM16" s="263">
        <v>0.14671133142629</v>
      </c>
      <c r="LN16" s="262">
        <v>1.4999999999999999E-2</v>
      </c>
      <c r="LO16" s="262">
        <v>2.4E-2</v>
      </c>
      <c r="LP16" s="263">
        <v>-0.375</v>
      </c>
      <c r="LQ16" s="262">
        <v>3.7999999999999999E-2</v>
      </c>
      <c r="LR16" s="262">
        <v>4.9000000000000002E-2</v>
      </c>
      <c r="LS16" s="263">
        <v>-0.22448979591836701</v>
      </c>
      <c r="LT16" s="262">
        <v>0.10100000000000001</v>
      </c>
      <c r="LU16" s="262">
        <v>0.28599999999999998</v>
      </c>
      <c r="LV16" s="263">
        <v>-0.64685314685314699</v>
      </c>
      <c r="LW16" s="262">
        <v>8.2729999999999997</v>
      </c>
      <c r="LX16" s="262">
        <v>7.7309999999999999</v>
      </c>
      <c r="LY16" s="263">
        <v>7.0107359979304104E-2</v>
      </c>
      <c r="LZ16" s="262">
        <v>28.212</v>
      </c>
      <c r="MA16" s="262">
        <v>29.332999999999998</v>
      </c>
      <c r="MB16" s="263">
        <v>-3.8216343367538201E-2</v>
      </c>
      <c r="MC16" s="262">
        <v>68.373999999999995</v>
      </c>
      <c r="MD16" s="262">
        <v>74.070999999999998</v>
      </c>
      <c r="ME16" s="263">
        <v>-7.6912691876712902E-2</v>
      </c>
      <c r="MF16" s="262">
        <v>53663.46</v>
      </c>
      <c r="MG16" s="262">
        <v>58387.267</v>
      </c>
      <c r="MH16" s="263">
        <v>-8.0904745892627597E-2</v>
      </c>
      <c r="MI16" s="262">
        <v>193360.867</v>
      </c>
      <c r="MJ16" s="262">
        <v>203368.65599999999</v>
      </c>
      <c r="MK16" s="263">
        <v>-4.9210085746940198E-2</v>
      </c>
      <c r="ML16" s="262">
        <v>497916.49</v>
      </c>
      <c r="MM16" s="262">
        <v>443611.69500000001</v>
      </c>
      <c r="MN16" s="263">
        <v>0.122415156345236</v>
      </c>
      <c r="MO16" s="262">
        <v>44380.906000000003</v>
      </c>
      <c r="MP16" s="262">
        <v>35883.150999999998</v>
      </c>
      <c r="MQ16" s="263">
        <v>0.236817413275663</v>
      </c>
      <c r="MR16" s="262">
        <v>188233.448</v>
      </c>
      <c r="MS16" s="262">
        <v>155236.01800000001</v>
      </c>
      <c r="MT16" s="263">
        <v>0.21256297620311301</v>
      </c>
      <c r="MU16" s="262">
        <v>438416.50199999998</v>
      </c>
      <c r="MV16" s="262">
        <v>365621.57500000001</v>
      </c>
      <c r="MW16" s="264">
        <v>0.199099101304402</v>
      </c>
      <c r="MX16" s="262">
        <v>5924172.7070000004</v>
      </c>
      <c r="MY16" s="262">
        <v>4688902.2110000001</v>
      </c>
      <c r="MZ16" s="263">
        <v>0.26344556580900702</v>
      </c>
      <c r="NA16" s="262">
        <v>23108132.352000002</v>
      </c>
      <c r="NB16" s="262">
        <v>21103267.824999999</v>
      </c>
      <c r="NC16" s="263">
        <v>9.5002562808066099E-2</v>
      </c>
      <c r="ND16" s="262">
        <v>45686759.395000003</v>
      </c>
      <c r="NE16" s="262">
        <v>39652806.917999998</v>
      </c>
      <c r="NF16" s="263">
        <v>0.152169617890555</v>
      </c>
      <c r="NG16" s="262">
        <v>8.0000000000000002E-3</v>
      </c>
      <c r="NH16" s="262">
        <v>2.1000000000000001E-2</v>
      </c>
      <c r="NI16" s="263">
        <v>-0.61904761904761896</v>
      </c>
      <c r="NJ16" s="262">
        <v>4.5999999999999999E-2</v>
      </c>
      <c r="NK16" s="262">
        <v>7.0000000000000007E-2</v>
      </c>
      <c r="NL16" s="263">
        <v>-0.34285714285714303</v>
      </c>
      <c r="NM16" s="262">
        <v>8.7999999999999995E-2</v>
      </c>
      <c r="NN16" s="262">
        <v>0.307</v>
      </c>
      <c r="NO16" s="263">
        <v>-0.71335504885993495</v>
      </c>
      <c r="NP16" s="262">
        <v>6.9820000000000002</v>
      </c>
      <c r="NQ16" s="262">
        <v>7.41</v>
      </c>
      <c r="NR16" s="263">
        <v>-5.77597840755735E-2</v>
      </c>
      <c r="NS16" s="262">
        <v>35.194000000000003</v>
      </c>
      <c r="NT16" s="262">
        <v>36.743000000000002</v>
      </c>
      <c r="NU16" s="263">
        <v>-4.2157689900117E-2</v>
      </c>
      <c r="NV16" s="262">
        <v>67.945999999999998</v>
      </c>
      <c r="NW16" s="262">
        <v>73.491</v>
      </c>
      <c r="NX16" s="263">
        <v>-7.5451415819624196E-2</v>
      </c>
      <c r="NY16" s="262">
        <v>62733.254999999997</v>
      </c>
      <c r="NZ16" s="262">
        <v>53303.195</v>
      </c>
      <c r="OA16" s="263">
        <v>0.176913597768389</v>
      </c>
      <c r="OB16" s="262">
        <v>256094.122</v>
      </c>
      <c r="OC16" s="262">
        <v>256671.851</v>
      </c>
      <c r="OD16" s="263">
        <v>-2.2508467436111301E-3</v>
      </c>
      <c r="OE16" s="262">
        <v>507346.55</v>
      </c>
      <c r="OF16" s="262">
        <v>459629.19099999999</v>
      </c>
      <c r="OG16" s="263">
        <v>0.103817076753073</v>
      </c>
      <c r="OH16" s="262">
        <v>42392.860999999997</v>
      </c>
      <c r="OI16" s="262">
        <v>36359.182000000001</v>
      </c>
      <c r="OJ16" s="263">
        <v>0.165946500116532</v>
      </c>
      <c r="OK16" s="262">
        <v>230626.30900000001</v>
      </c>
      <c r="OL16" s="262">
        <v>191595.2</v>
      </c>
      <c r="OM16" s="263">
        <v>0.20371652838901999</v>
      </c>
      <c r="ON16" s="262">
        <v>444450.18099999998</v>
      </c>
      <c r="OO16" s="262">
        <v>371187.614</v>
      </c>
      <c r="OP16" s="264">
        <v>0.19737341505150499</v>
      </c>
      <c r="OQ16" s="262">
        <v>6171528.6560000004</v>
      </c>
      <c r="OR16" s="262">
        <v>5722926.9539999999</v>
      </c>
      <c r="OS16" s="263">
        <v>7.8386760062777602E-2</v>
      </c>
      <c r="OT16" s="262">
        <v>29279661.008000001</v>
      </c>
      <c r="OU16" s="262">
        <v>26826194.778999999</v>
      </c>
      <c r="OV16" s="263">
        <v>9.1457854877003197E-2</v>
      </c>
      <c r="OW16" s="262">
        <v>46135361.097000003</v>
      </c>
      <c r="OX16" s="262">
        <v>40893607.560999997</v>
      </c>
      <c r="OY16" s="263">
        <v>0.128180267005815</v>
      </c>
      <c r="OZ16" s="262">
        <v>0.02</v>
      </c>
      <c r="PA16" s="262">
        <v>3.4000000000000002E-2</v>
      </c>
      <c r="PB16" s="263">
        <v>-0.41176470588235298</v>
      </c>
      <c r="PC16" s="262">
        <v>6.6000000000000003E-2</v>
      </c>
      <c r="PD16" s="262">
        <v>0.104</v>
      </c>
      <c r="PE16" s="263">
        <v>-0.36538461538461497</v>
      </c>
      <c r="PF16" s="262">
        <v>7.3999999999999996E-2</v>
      </c>
      <c r="PG16" s="262">
        <v>0.34100000000000003</v>
      </c>
      <c r="PH16" s="263">
        <v>-0.78299120234604103</v>
      </c>
      <c r="PI16" s="262">
        <v>7.5129999999999999</v>
      </c>
      <c r="PJ16" s="262">
        <v>7.8659999999999997</v>
      </c>
      <c r="PK16" s="263">
        <v>-4.4876684464785099E-2</v>
      </c>
      <c r="PL16" s="262">
        <v>42.707000000000001</v>
      </c>
      <c r="PM16" s="262">
        <v>44.609000000000002</v>
      </c>
      <c r="PN16" s="263">
        <v>-4.2637136003945399E-2</v>
      </c>
      <c r="PO16" s="262">
        <v>67.593000000000004</v>
      </c>
      <c r="PP16" s="262">
        <v>73.221000000000004</v>
      </c>
      <c r="PQ16" s="263">
        <v>-7.6863194985045305E-2</v>
      </c>
      <c r="PR16" s="262">
        <v>56807.785000000003</v>
      </c>
      <c r="PS16" s="262">
        <v>60213.101000000002</v>
      </c>
      <c r="PT16" s="263">
        <v>-5.6554403334915397E-2</v>
      </c>
      <c r="PU16" s="262">
        <v>312901.90700000001</v>
      </c>
      <c r="PV16" s="262">
        <v>316884.95199999999</v>
      </c>
      <c r="PW16" s="263">
        <v>-1.25693724957946E-2</v>
      </c>
      <c r="PX16" s="262">
        <v>503941.234</v>
      </c>
      <c r="PY16" s="262">
        <v>478307.592</v>
      </c>
      <c r="PZ16" s="263">
        <v>5.3592379524680399E-2</v>
      </c>
      <c r="QA16" s="262">
        <v>44388.678999999996</v>
      </c>
      <c r="QB16" s="262">
        <v>42950.866000000002</v>
      </c>
      <c r="QC16" s="263">
        <v>3.34757627471352E-2</v>
      </c>
      <c r="QD16" s="262">
        <v>275014.98800000001</v>
      </c>
      <c r="QE16" s="262">
        <v>234546.06599999999</v>
      </c>
      <c r="QF16" s="263">
        <v>0.17254146569228801</v>
      </c>
      <c r="QG16" s="262">
        <v>445887.99400000001</v>
      </c>
      <c r="QH16" s="262">
        <v>378959.60600000003</v>
      </c>
      <c r="QI16" s="264">
        <v>0.176610876041496</v>
      </c>
      <c r="QJ16" s="262">
        <v>5702746.7220000001</v>
      </c>
      <c r="QK16" s="262">
        <v>5291414.8279999997</v>
      </c>
      <c r="QL16" s="263">
        <v>7.7735711028249097E-2</v>
      </c>
      <c r="QM16" s="262">
        <v>34982407.729999997</v>
      </c>
      <c r="QN16" s="262">
        <v>32117609.607000001</v>
      </c>
      <c r="QO16" s="263">
        <v>8.9197115166865196E-2</v>
      </c>
      <c r="QP16" s="262">
        <v>46546692.990999997</v>
      </c>
      <c r="QQ16" s="262">
        <v>41804573.366999999</v>
      </c>
      <c r="QR16" s="263">
        <v>0.113435426845986</v>
      </c>
      <c r="QS16" s="262">
        <v>0</v>
      </c>
      <c r="QT16" s="262">
        <v>7.0000000000000001E-3</v>
      </c>
      <c r="QU16" s="263">
        <v>-1</v>
      </c>
      <c r="QV16" s="262">
        <v>6.6000000000000003E-2</v>
      </c>
      <c r="QW16" s="262">
        <v>0.111</v>
      </c>
      <c r="QX16" s="263">
        <v>-0.40540540540540498</v>
      </c>
      <c r="QY16" s="262">
        <v>6.7000000000000004E-2</v>
      </c>
      <c r="QZ16" s="262">
        <v>0.34799999999999998</v>
      </c>
      <c r="RA16" s="263">
        <v>-0.80747126436781602</v>
      </c>
      <c r="RB16" s="262">
        <v>7.1520000000000001</v>
      </c>
      <c r="RC16" s="262">
        <v>6.86</v>
      </c>
      <c r="RD16" s="263">
        <v>4.2565597667638497E-2</v>
      </c>
      <c r="RE16" s="262">
        <v>49.859000000000002</v>
      </c>
      <c r="RF16" s="262">
        <v>51.469000000000001</v>
      </c>
      <c r="RG16" s="263">
        <v>-3.1280965241213203E-2</v>
      </c>
      <c r="RH16" s="262">
        <v>67.885000000000005</v>
      </c>
      <c r="RI16" s="262">
        <v>72.272000000000006</v>
      </c>
      <c r="RJ16" s="263">
        <v>-6.0701239760903303E-2</v>
      </c>
      <c r="RK16" s="262">
        <v>56215.968000000001</v>
      </c>
      <c r="RL16" s="262">
        <v>55546.010999999999</v>
      </c>
      <c r="RM16" s="263">
        <v>1.20612981551457E-2</v>
      </c>
      <c r="RN16" s="262">
        <v>369117.875</v>
      </c>
      <c r="RO16" s="262">
        <v>372430.96299999999</v>
      </c>
      <c r="RP16" s="263">
        <v>-8.8958446776617496E-3</v>
      </c>
      <c r="RQ16" s="262">
        <v>504611.19099999999</v>
      </c>
      <c r="RR16" s="262">
        <v>489200.66399999999</v>
      </c>
      <c r="RS16" s="263">
        <v>3.1501443342276399E-2</v>
      </c>
      <c r="RT16" s="262">
        <v>45802.044999999998</v>
      </c>
      <c r="RU16" s="262">
        <v>40957.819000000003</v>
      </c>
      <c r="RV16" s="263">
        <v>0.118273534047308</v>
      </c>
      <c r="RW16" s="262">
        <v>320817.033</v>
      </c>
      <c r="RX16" s="262">
        <v>275503.88500000001</v>
      </c>
      <c r="RY16" s="263">
        <v>0.16447371694958099</v>
      </c>
      <c r="RZ16" s="262">
        <v>450732.22</v>
      </c>
      <c r="SA16" s="262">
        <v>386104.533</v>
      </c>
      <c r="SB16" s="264">
        <v>0.16738391154811899</v>
      </c>
      <c r="SC16" s="262">
        <v>4940730.0120000001</v>
      </c>
      <c r="SD16" s="262">
        <v>4124551.5869999998</v>
      </c>
      <c r="SE16" s="263">
        <v>0.19788294746330201</v>
      </c>
      <c r="SF16" s="262">
        <v>39923137.741999999</v>
      </c>
      <c r="SG16" s="262">
        <v>36242161.193999998</v>
      </c>
      <c r="SH16" s="263">
        <v>0.101566143594367</v>
      </c>
      <c r="SI16" s="262">
        <v>47362871.416000001</v>
      </c>
      <c r="SJ16" s="262">
        <v>42625207.170999996</v>
      </c>
      <c r="SK16" s="263">
        <v>0.111147008060134</v>
      </c>
      <c r="SL16" s="262">
        <v>0</v>
      </c>
      <c r="SM16" s="262">
        <v>1E-3</v>
      </c>
      <c r="SN16" s="263">
        <v>-1</v>
      </c>
      <c r="SO16" s="262">
        <v>6.6000000000000003E-2</v>
      </c>
      <c r="SP16" s="262">
        <v>0.112</v>
      </c>
      <c r="SQ16" s="263">
        <v>-0.41071428571428598</v>
      </c>
      <c r="SR16" s="262">
        <v>6.6000000000000003E-2</v>
      </c>
      <c r="SS16" s="262">
        <v>0.28199999999999997</v>
      </c>
      <c r="ST16" s="263">
        <v>-0.76595744680851097</v>
      </c>
      <c r="SU16" s="262">
        <v>6.0510000000000002</v>
      </c>
      <c r="SV16" s="262">
        <v>6.7729999999999997</v>
      </c>
      <c r="SW16" s="263">
        <v>-0.10659973423889001</v>
      </c>
      <c r="SX16" s="262">
        <v>55.91</v>
      </c>
      <c r="SY16" s="262">
        <v>58.241999999999997</v>
      </c>
      <c r="SZ16" s="263">
        <v>-4.0039833796916301E-2</v>
      </c>
      <c r="TA16" s="262">
        <v>67.162999999999997</v>
      </c>
      <c r="TB16" s="262">
        <v>72.400000000000006</v>
      </c>
      <c r="TC16" s="263">
        <v>-7.2334254143646498E-2</v>
      </c>
      <c r="TD16" s="262">
        <v>47636.027000000002</v>
      </c>
      <c r="TE16" s="262">
        <v>44045.144</v>
      </c>
      <c r="TF16" s="263">
        <v>8.1527330231909403E-2</v>
      </c>
      <c r="TG16" s="262">
        <v>416753.902</v>
      </c>
      <c r="TH16" s="262">
        <v>416476.10700000002</v>
      </c>
      <c r="TI16" s="263">
        <v>6.6701305388446605E-4</v>
      </c>
      <c r="TJ16" s="262">
        <v>508202.07400000002</v>
      </c>
      <c r="TK16" s="262">
        <v>498284.08600000001</v>
      </c>
      <c r="TL16" s="263">
        <v>1.9904284079423702E-2</v>
      </c>
      <c r="TM16" s="262">
        <v>39402.82</v>
      </c>
      <c r="TN16" s="262">
        <v>37569.016000000003</v>
      </c>
      <c r="TO16" s="263">
        <v>4.88116058190078E-2</v>
      </c>
      <c r="TP16" s="262">
        <v>360219.853</v>
      </c>
      <c r="TQ16" s="262">
        <v>313072.90100000001</v>
      </c>
      <c r="TR16" s="263">
        <v>0.15059416464793299</v>
      </c>
      <c r="TS16" s="262">
        <v>452566.02399999998</v>
      </c>
      <c r="TT16" s="262">
        <v>392235.973</v>
      </c>
      <c r="TU16" s="264">
        <v>0.153810601660445</v>
      </c>
      <c r="TV16" s="262">
        <v>3991886.8107070001</v>
      </c>
      <c r="TW16" s="262">
        <v>2723045.9870000002</v>
      </c>
      <c r="TX16" s="263">
        <v>0.46596378825937201</v>
      </c>
      <c r="TY16" s="262">
        <v>43915024.552707002</v>
      </c>
      <c r="TZ16" s="262">
        <v>38965207.181000002</v>
      </c>
      <c r="UA16" s="263">
        <v>0.12703172213904201</v>
      </c>
      <c r="UB16" s="262">
        <v>48631712.239707001</v>
      </c>
      <c r="UC16" s="262">
        <v>42767458.324000001</v>
      </c>
      <c r="UD16" s="263">
        <v>0.137119533063674</v>
      </c>
      <c r="UE16" s="262">
        <v>0</v>
      </c>
      <c r="UF16" s="262">
        <v>0</v>
      </c>
      <c r="UG16" s="263">
        <v>0</v>
      </c>
      <c r="UH16" s="262">
        <v>6.6000000000000003E-2</v>
      </c>
      <c r="UI16" s="262">
        <v>0.112</v>
      </c>
      <c r="UJ16" s="263">
        <v>-0.41071428571428598</v>
      </c>
      <c r="UK16" s="262">
        <v>6.6000000000000003E-2</v>
      </c>
      <c r="UL16" s="262">
        <v>0.23499999999999999</v>
      </c>
      <c r="UM16" s="263">
        <v>-0.71914893617021303</v>
      </c>
      <c r="UN16" s="262">
        <v>0</v>
      </c>
      <c r="UO16" s="262">
        <v>4.6550000000000002</v>
      </c>
      <c r="UP16" s="263">
        <v>-1</v>
      </c>
      <c r="UQ16" s="262">
        <v>55.91</v>
      </c>
      <c r="UR16" s="262">
        <v>62.896999999999998</v>
      </c>
      <c r="US16" s="263">
        <v>-0.111086379318568</v>
      </c>
      <c r="UT16" s="262">
        <v>62.508000000000003</v>
      </c>
      <c r="UU16" s="262">
        <v>71.430000000000007</v>
      </c>
      <c r="UV16" s="263">
        <v>-0.124905501889962</v>
      </c>
      <c r="UW16" s="262">
        <v>38561.239000000001</v>
      </c>
      <c r="UX16" s="262">
        <v>38954.233999999997</v>
      </c>
      <c r="UY16" s="263">
        <v>-1.00886337541638E-2</v>
      </c>
      <c r="UZ16" s="262">
        <v>455315.141</v>
      </c>
      <c r="VA16" s="262">
        <v>455430.34100000001</v>
      </c>
      <c r="VB16" s="263">
        <v>-2.5294757425924698E-4</v>
      </c>
      <c r="VC16" s="262">
        <v>507809.07900000003</v>
      </c>
      <c r="VD16" s="262">
        <v>504000.95</v>
      </c>
      <c r="VE16" s="263">
        <v>7.55579726585836E-3</v>
      </c>
      <c r="VF16" s="262">
        <v>34326.178</v>
      </c>
      <c r="VG16" s="262">
        <v>36358.264999999999</v>
      </c>
      <c r="VH16" s="263">
        <v>-5.5890648247379202E-2</v>
      </c>
      <c r="VI16" s="262">
        <v>394546.03100000002</v>
      </c>
      <c r="VJ16" s="262">
        <v>349431.16600000003</v>
      </c>
      <c r="VK16" s="263">
        <v>0.12910944812518499</v>
      </c>
      <c r="VL16" s="262">
        <v>450533.93699999998</v>
      </c>
      <c r="VM16" s="262">
        <v>398558.728</v>
      </c>
      <c r="VN16" s="264">
        <v>0.13040790565750701</v>
      </c>
    </row>
    <row r="17" spans="1:586">
      <c r="A17" s="268" t="s">
        <v>7</v>
      </c>
      <c r="B17" s="262">
        <v>153796.77900000001</v>
      </c>
      <c r="C17" s="262">
        <v>226738.19899999999</v>
      </c>
      <c r="D17" s="263">
        <v>-0.32169885939686799</v>
      </c>
      <c r="E17" s="262">
        <v>3919650.2250000001</v>
      </c>
      <c r="F17" s="262">
        <v>4492465.6380000003</v>
      </c>
      <c r="G17" s="263">
        <v>-0.127505797296429</v>
      </c>
      <c r="H17" s="262">
        <v>4122994.3130000001</v>
      </c>
      <c r="I17" s="262">
        <v>4657009.2390000001</v>
      </c>
      <c r="J17" s="263">
        <v>-0.114669071628183</v>
      </c>
      <c r="K17" s="262">
        <v>0</v>
      </c>
      <c r="L17" s="262">
        <v>0</v>
      </c>
      <c r="M17" s="263">
        <v>0</v>
      </c>
      <c r="N17" s="262">
        <v>0</v>
      </c>
      <c r="O17" s="262">
        <v>0</v>
      </c>
      <c r="P17" s="263">
        <v>0</v>
      </c>
      <c r="Q17" s="262">
        <v>0</v>
      </c>
      <c r="R17" s="262">
        <v>0</v>
      </c>
      <c r="S17" s="263">
        <v>0</v>
      </c>
      <c r="T17" s="262">
        <v>0</v>
      </c>
      <c r="U17" s="262">
        <v>0</v>
      </c>
      <c r="V17" s="263">
        <v>0</v>
      </c>
      <c r="W17" s="262">
        <v>0</v>
      </c>
      <c r="X17" s="262">
        <v>0</v>
      </c>
      <c r="Y17" s="263">
        <v>0</v>
      </c>
      <c r="Z17" s="262">
        <v>0</v>
      </c>
      <c r="AA17" s="262">
        <v>0</v>
      </c>
      <c r="AB17" s="263">
        <v>0</v>
      </c>
      <c r="AC17" s="262">
        <v>0</v>
      </c>
      <c r="AD17" s="262">
        <v>0</v>
      </c>
      <c r="AE17" s="263">
        <v>0</v>
      </c>
      <c r="AF17" s="262">
        <v>0</v>
      </c>
      <c r="AG17" s="262">
        <v>0</v>
      </c>
      <c r="AH17" s="263">
        <v>0</v>
      </c>
      <c r="AI17" s="262">
        <v>0</v>
      </c>
      <c r="AJ17" s="262">
        <v>0</v>
      </c>
      <c r="AK17" s="263">
        <v>0</v>
      </c>
      <c r="AL17" s="262">
        <v>0</v>
      </c>
      <c r="AM17" s="262">
        <v>0</v>
      </c>
      <c r="AN17" s="263">
        <v>0</v>
      </c>
      <c r="AO17" s="262">
        <v>0</v>
      </c>
      <c r="AP17" s="262">
        <v>0</v>
      </c>
      <c r="AQ17" s="263">
        <v>0</v>
      </c>
      <c r="AR17" s="262">
        <v>0</v>
      </c>
      <c r="AS17" s="262">
        <v>0</v>
      </c>
      <c r="AT17" s="264">
        <v>0</v>
      </c>
      <c r="AU17" s="262">
        <v>97190.021999999997</v>
      </c>
      <c r="AV17" s="262">
        <v>111284.37</v>
      </c>
      <c r="AW17" s="263">
        <v>-0.12665164029773501</v>
      </c>
      <c r="AX17" s="262">
        <v>4016840.247</v>
      </c>
      <c r="AY17" s="262">
        <v>4603750.0080000004</v>
      </c>
      <c r="AZ17" s="263">
        <v>-0.12748515014501599</v>
      </c>
      <c r="BA17" s="262">
        <v>4108899.9649999999</v>
      </c>
      <c r="BB17" s="262">
        <v>4663528.1909999996</v>
      </c>
      <c r="BC17" s="263">
        <v>-0.118928888876529</v>
      </c>
      <c r="BD17" s="262">
        <v>0</v>
      </c>
      <c r="BE17" s="262">
        <v>0</v>
      </c>
      <c r="BF17" s="263">
        <v>0</v>
      </c>
      <c r="BG17" s="262">
        <v>0</v>
      </c>
      <c r="BH17" s="262">
        <v>0</v>
      </c>
      <c r="BI17" s="263">
        <v>0</v>
      </c>
      <c r="BJ17" s="262">
        <v>0</v>
      </c>
      <c r="BK17" s="262">
        <v>0</v>
      </c>
      <c r="BL17" s="263">
        <v>0</v>
      </c>
      <c r="BM17" s="262">
        <v>0</v>
      </c>
      <c r="BN17" s="262">
        <v>0</v>
      </c>
      <c r="BO17" s="263">
        <v>0</v>
      </c>
      <c r="BP17" s="262">
        <v>0</v>
      </c>
      <c r="BQ17" s="262">
        <v>0</v>
      </c>
      <c r="BR17" s="263">
        <v>0</v>
      </c>
      <c r="BS17" s="262">
        <v>0</v>
      </c>
      <c r="BT17" s="262">
        <v>0</v>
      </c>
      <c r="BU17" s="263">
        <v>0</v>
      </c>
      <c r="BV17" s="262">
        <v>0</v>
      </c>
      <c r="BW17" s="262">
        <v>0</v>
      </c>
      <c r="BX17" s="263">
        <v>0</v>
      </c>
      <c r="BY17" s="262">
        <v>0</v>
      </c>
      <c r="BZ17" s="262">
        <v>0</v>
      </c>
      <c r="CA17" s="263">
        <v>0</v>
      </c>
      <c r="CB17" s="262">
        <v>0</v>
      </c>
      <c r="CC17" s="262">
        <v>0</v>
      </c>
      <c r="CD17" s="263">
        <v>0</v>
      </c>
      <c r="CE17" s="262">
        <v>0</v>
      </c>
      <c r="CF17" s="262">
        <v>0</v>
      </c>
      <c r="CG17" s="263">
        <v>0</v>
      </c>
      <c r="CH17" s="262">
        <v>0</v>
      </c>
      <c r="CI17" s="262">
        <v>0</v>
      </c>
      <c r="CJ17" s="263">
        <v>0</v>
      </c>
      <c r="CK17" s="262">
        <v>0</v>
      </c>
      <c r="CL17" s="262">
        <v>0</v>
      </c>
      <c r="CM17" s="264">
        <v>0</v>
      </c>
      <c r="CN17" s="262">
        <v>110530.322</v>
      </c>
      <c r="CO17" s="262">
        <v>92059.717999999993</v>
      </c>
      <c r="CP17" s="263">
        <v>0.20063719943178601</v>
      </c>
      <c r="CQ17" s="262">
        <v>4127370.5690000001</v>
      </c>
      <c r="CR17" s="262">
        <v>4695809.7259999998</v>
      </c>
      <c r="CS17" s="263">
        <v>-0.121052425495998</v>
      </c>
      <c r="CT17" s="262">
        <v>4127370.5690000001</v>
      </c>
      <c r="CU17" s="262">
        <v>4695809.7259999998</v>
      </c>
      <c r="CV17" s="263">
        <v>-0.121052425495998</v>
      </c>
      <c r="CW17" s="262">
        <v>0</v>
      </c>
      <c r="CX17" s="262">
        <v>0</v>
      </c>
      <c r="CY17" s="263">
        <v>0</v>
      </c>
      <c r="CZ17" s="262">
        <v>0</v>
      </c>
      <c r="DA17" s="262">
        <v>0</v>
      </c>
      <c r="DB17" s="263">
        <v>0</v>
      </c>
      <c r="DC17" s="262">
        <v>0</v>
      </c>
      <c r="DD17" s="262">
        <v>0</v>
      </c>
      <c r="DE17" s="263">
        <v>0</v>
      </c>
      <c r="DF17" s="262">
        <v>0</v>
      </c>
      <c r="DG17" s="262">
        <v>0</v>
      </c>
      <c r="DH17" s="263">
        <v>0</v>
      </c>
      <c r="DI17" s="262">
        <v>0</v>
      </c>
      <c r="DJ17" s="262">
        <v>0</v>
      </c>
      <c r="DK17" s="263">
        <v>0</v>
      </c>
      <c r="DL17" s="262">
        <v>0</v>
      </c>
      <c r="DM17" s="262">
        <v>0</v>
      </c>
      <c r="DN17" s="263">
        <v>0</v>
      </c>
      <c r="DO17" s="262">
        <v>0</v>
      </c>
      <c r="DP17" s="262">
        <v>0</v>
      </c>
      <c r="DQ17" s="263">
        <v>0</v>
      </c>
      <c r="DR17" s="262">
        <v>0</v>
      </c>
      <c r="DS17" s="262">
        <v>0</v>
      </c>
      <c r="DT17" s="263">
        <v>0</v>
      </c>
      <c r="DU17" s="262">
        <v>0</v>
      </c>
      <c r="DV17" s="262">
        <v>0</v>
      </c>
      <c r="DW17" s="263">
        <v>0</v>
      </c>
      <c r="DX17" s="262">
        <v>0</v>
      </c>
      <c r="DY17" s="262">
        <v>0</v>
      </c>
      <c r="DZ17" s="263">
        <v>0</v>
      </c>
      <c r="EA17" s="262">
        <v>0</v>
      </c>
      <c r="EB17" s="262">
        <v>0</v>
      </c>
      <c r="EC17" s="263">
        <v>0</v>
      </c>
      <c r="ED17" s="262">
        <v>0</v>
      </c>
      <c r="EE17" s="262">
        <v>0</v>
      </c>
      <c r="EF17" s="264">
        <v>0</v>
      </c>
      <c r="EG17" s="262">
        <v>88888.021999999997</v>
      </c>
      <c r="EH17" s="262">
        <v>94242.967000000004</v>
      </c>
      <c r="EI17" s="263">
        <v>-5.6820632567733197E-2</v>
      </c>
      <c r="EJ17" s="262">
        <v>88888.021999999997</v>
      </c>
      <c r="EK17" s="262">
        <v>94242.967000000004</v>
      </c>
      <c r="EL17" s="263">
        <v>-5.6820632567733197E-2</v>
      </c>
      <c r="EM17" s="262">
        <v>4122015.6239999998</v>
      </c>
      <c r="EN17" s="262">
        <v>4670544.9340000004</v>
      </c>
      <c r="EO17" s="263">
        <v>-0.11744439198237699</v>
      </c>
      <c r="EP17" s="262">
        <v>0</v>
      </c>
      <c r="EQ17" s="262">
        <v>0</v>
      </c>
      <c r="ER17" s="263">
        <v>0</v>
      </c>
      <c r="ES17" s="262">
        <v>0</v>
      </c>
      <c r="ET17" s="262">
        <v>0</v>
      </c>
      <c r="EU17" s="263">
        <v>0</v>
      </c>
      <c r="EV17" s="262">
        <v>0</v>
      </c>
      <c r="EW17" s="262">
        <v>0</v>
      </c>
      <c r="EX17" s="263">
        <v>0</v>
      </c>
      <c r="EY17" s="262">
        <v>0</v>
      </c>
      <c r="EZ17" s="262">
        <v>0</v>
      </c>
      <c r="FA17" s="263">
        <v>0</v>
      </c>
      <c r="FB17" s="262">
        <v>0</v>
      </c>
      <c r="FC17" s="262">
        <v>0</v>
      </c>
      <c r="FD17" s="263">
        <v>0</v>
      </c>
      <c r="FE17" s="262">
        <v>0</v>
      </c>
      <c r="FF17" s="262">
        <v>0</v>
      </c>
      <c r="FG17" s="263">
        <v>0</v>
      </c>
      <c r="FH17" s="262">
        <v>0</v>
      </c>
      <c r="FI17" s="262">
        <v>0</v>
      </c>
      <c r="FJ17" s="263">
        <v>0</v>
      </c>
      <c r="FK17" s="262">
        <v>0</v>
      </c>
      <c r="FL17" s="262">
        <v>0</v>
      </c>
      <c r="FM17" s="263">
        <v>0</v>
      </c>
      <c r="FN17" s="262">
        <v>0</v>
      </c>
      <c r="FO17" s="262">
        <v>0</v>
      </c>
      <c r="FP17" s="263">
        <v>0</v>
      </c>
      <c r="FQ17" s="262">
        <v>0</v>
      </c>
      <c r="FR17" s="262">
        <v>0</v>
      </c>
      <c r="FS17" s="263">
        <v>0</v>
      </c>
      <c r="FT17" s="262">
        <v>0</v>
      </c>
      <c r="FU17" s="262">
        <v>0</v>
      </c>
      <c r="FV17" s="263">
        <v>0</v>
      </c>
      <c r="FW17" s="262">
        <v>0</v>
      </c>
      <c r="FX17" s="262">
        <v>0</v>
      </c>
      <c r="FY17" s="264">
        <v>0</v>
      </c>
      <c r="FZ17" s="262">
        <v>174043.70499999999</v>
      </c>
      <c r="GA17" s="262">
        <v>176416.85800000001</v>
      </c>
      <c r="GB17" s="263">
        <v>-1.3451962737030599E-2</v>
      </c>
      <c r="GC17" s="262">
        <v>262931.72700000001</v>
      </c>
      <c r="GD17" s="262">
        <v>270659.82500000001</v>
      </c>
      <c r="GE17" s="263">
        <v>-2.8552807938895201E-2</v>
      </c>
      <c r="GF17" s="262">
        <v>4119642.4709999999</v>
      </c>
      <c r="GG17" s="262">
        <v>4668176.3770000003</v>
      </c>
      <c r="GH17" s="263">
        <v>-0.11750496590116299</v>
      </c>
      <c r="GI17" s="262">
        <v>0</v>
      </c>
      <c r="GJ17" s="262">
        <v>0</v>
      </c>
      <c r="GK17" s="263">
        <v>0</v>
      </c>
      <c r="GL17" s="262">
        <v>0</v>
      </c>
      <c r="GM17" s="262">
        <v>0</v>
      </c>
      <c r="GN17" s="263">
        <v>0</v>
      </c>
      <c r="GO17" s="262">
        <v>0</v>
      </c>
      <c r="GP17" s="262">
        <v>0</v>
      </c>
      <c r="GQ17" s="263">
        <v>0</v>
      </c>
      <c r="GR17" s="262">
        <v>0</v>
      </c>
      <c r="GS17" s="262">
        <v>0</v>
      </c>
      <c r="GT17" s="263">
        <v>0</v>
      </c>
      <c r="GU17" s="262">
        <v>0</v>
      </c>
      <c r="GV17" s="262">
        <v>0</v>
      </c>
      <c r="GW17" s="263">
        <v>0</v>
      </c>
      <c r="GX17" s="262">
        <v>0</v>
      </c>
      <c r="GY17" s="262">
        <v>0</v>
      </c>
      <c r="GZ17" s="263">
        <v>0</v>
      </c>
      <c r="HA17" s="262">
        <v>0</v>
      </c>
      <c r="HB17" s="262">
        <v>0</v>
      </c>
      <c r="HC17" s="263">
        <v>0</v>
      </c>
      <c r="HD17" s="262">
        <v>0</v>
      </c>
      <c r="HE17" s="262">
        <v>0</v>
      </c>
      <c r="HF17" s="263">
        <v>0</v>
      </c>
      <c r="HG17" s="262">
        <v>0</v>
      </c>
      <c r="HH17" s="262">
        <v>0</v>
      </c>
      <c r="HI17" s="263">
        <v>0</v>
      </c>
      <c r="HJ17" s="262">
        <v>0</v>
      </c>
      <c r="HK17" s="262">
        <v>0</v>
      </c>
      <c r="HL17" s="263">
        <v>0</v>
      </c>
      <c r="HM17" s="262">
        <v>0</v>
      </c>
      <c r="HN17" s="262">
        <v>0</v>
      </c>
      <c r="HO17" s="263">
        <v>0</v>
      </c>
      <c r="HP17" s="262">
        <v>0</v>
      </c>
      <c r="HQ17" s="262">
        <v>0</v>
      </c>
      <c r="HR17" s="264">
        <v>0</v>
      </c>
      <c r="HS17" s="262">
        <v>187208.63</v>
      </c>
      <c r="HT17" s="262">
        <v>151740.95499999999</v>
      </c>
      <c r="HU17" s="263">
        <v>0.23373831408929799</v>
      </c>
      <c r="HV17" s="262">
        <v>450140.35700000002</v>
      </c>
      <c r="HW17" s="262">
        <v>422400.78</v>
      </c>
      <c r="HX17" s="263">
        <v>6.5671225796505403E-2</v>
      </c>
      <c r="HY17" s="262">
        <v>4155110.1460000002</v>
      </c>
      <c r="HZ17" s="262">
        <v>4409977.8080000002</v>
      </c>
      <c r="IA17" s="263">
        <v>-5.7793411462899603E-2</v>
      </c>
      <c r="IB17" s="262">
        <v>0</v>
      </c>
      <c r="IC17" s="262">
        <v>0</v>
      </c>
      <c r="ID17" s="263">
        <v>0</v>
      </c>
      <c r="IE17" s="262">
        <v>0</v>
      </c>
      <c r="IF17" s="262">
        <v>0</v>
      </c>
      <c r="IG17" s="263">
        <v>0</v>
      </c>
      <c r="IH17" s="262">
        <v>0</v>
      </c>
      <c r="II17" s="262">
        <v>0</v>
      </c>
      <c r="IJ17" s="263">
        <v>0</v>
      </c>
      <c r="IK17" s="262">
        <v>0</v>
      </c>
      <c r="IL17" s="262">
        <v>0</v>
      </c>
      <c r="IM17" s="263">
        <v>0</v>
      </c>
      <c r="IN17" s="262">
        <v>0</v>
      </c>
      <c r="IO17" s="262">
        <v>0</v>
      </c>
      <c r="IP17" s="263">
        <v>0</v>
      </c>
      <c r="IQ17" s="262">
        <v>0</v>
      </c>
      <c r="IR17" s="262">
        <v>0</v>
      </c>
      <c r="IS17" s="263">
        <v>0</v>
      </c>
      <c r="IT17" s="262">
        <v>0</v>
      </c>
      <c r="IU17" s="262">
        <v>0</v>
      </c>
      <c r="IV17" s="263">
        <v>0</v>
      </c>
      <c r="IW17" s="262">
        <v>0</v>
      </c>
      <c r="IX17" s="262">
        <v>0</v>
      </c>
      <c r="IY17" s="263">
        <v>0</v>
      </c>
      <c r="IZ17" s="262">
        <v>0</v>
      </c>
      <c r="JA17" s="262">
        <v>0</v>
      </c>
      <c r="JB17" s="263">
        <v>0</v>
      </c>
      <c r="JC17" s="262">
        <v>0</v>
      </c>
      <c r="JD17" s="262">
        <v>0</v>
      </c>
      <c r="JE17" s="263">
        <v>0</v>
      </c>
      <c r="JF17" s="262">
        <v>0</v>
      </c>
      <c r="JG17" s="262">
        <v>0</v>
      </c>
      <c r="JH17" s="263">
        <v>0</v>
      </c>
      <c r="JI17" s="262">
        <v>0</v>
      </c>
      <c r="JJ17" s="262">
        <v>0</v>
      </c>
      <c r="JK17" s="264">
        <v>0</v>
      </c>
      <c r="JL17" s="262">
        <v>310838.38199999998</v>
      </c>
      <c r="JM17" s="262">
        <v>443319.44199999998</v>
      </c>
      <c r="JN17" s="263">
        <v>-0.29883882241284598</v>
      </c>
      <c r="JO17" s="262">
        <v>760978.73899999994</v>
      </c>
      <c r="JP17" s="262">
        <v>865720.22199999995</v>
      </c>
      <c r="JQ17" s="263">
        <v>-0.120987682092056</v>
      </c>
      <c r="JR17" s="262">
        <v>4022629.0860000001</v>
      </c>
      <c r="JS17" s="262">
        <v>4227572.74</v>
      </c>
      <c r="JT17" s="263">
        <v>-4.8477853984837699E-2</v>
      </c>
      <c r="JU17" s="262">
        <v>0</v>
      </c>
      <c r="JV17" s="262">
        <v>0</v>
      </c>
      <c r="JW17" s="263">
        <v>0</v>
      </c>
      <c r="JX17" s="262">
        <v>0</v>
      </c>
      <c r="JY17" s="262">
        <v>0</v>
      </c>
      <c r="JZ17" s="263">
        <v>0</v>
      </c>
      <c r="KA17" s="262">
        <v>0</v>
      </c>
      <c r="KB17" s="262">
        <v>0</v>
      </c>
      <c r="KC17" s="263">
        <v>0</v>
      </c>
      <c r="KD17" s="262">
        <v>0</v>
      </c>
      <c r="KE17" s="262">
        <v>0</v>
      </c>
      <c r="KF17" s="263">
        <v>0</v>
      </c>
      <c r="KG17" s="262">
        <v>0</v>
      </c>
      <c r="KH17" s="262">
        <v>0</v>
      </c>
      <c r="KI17" s="263">
        <v>0</v>
      </c>
      <c r="KJ17" s="262">
        <v>0</v>
      </c>
      <c r="KK17" s="262">
        <v>0</v>
      </c>
      <c r="KL17" s="263">
        <v>0</v>
      </c>
      <c r="KM17" s="262">
        <v>0</v>
      </c>
      <c r="KN17" s="262">
        <v>0</v>
      </c>
      <c r="KO17" s="263">
        <v>0</v>
      </c>
      <c r="KP17" s="262">
        <v>0</v>
      </c>
      <c r="KQ17" s="262">
        <v>0</v>
      </c>
      <c r="KR17" s="263">
        <v>0</v>
      </c>
      <c r="KS17" s="262">
        <v>0</v>
      </c>
      <c r="KT17" s="262">
        <v>0</v>
      </c>
      <c r="KU17" s="263">
        <v>0</v>
      </c>
      <c r="KV17" s="262">
        <v>0</v>
      </c>
      <c r="KW17" s="262">
        <v>0</v>
      </c>
      <c r="KX17" s="263">
        <v>0</v>
      </c>
      <c r="KY17" s="262">
        <v>0</v>
      </c>
      <c r="KZ17" s="262">
        <v>0</v>
      </c>
      <c r="LA17" s="263">
        <v>0</v>
      </c>
      <c r="LB17" s="262">
        <v>0</v>
      </c>
      <c r="LC17" s="262">
        <v>0</v>
      </c>
      <c r="LD17" s="264">
        <v>0</v>
      </c>
      <c r="LE17" s="262">
        <v>493822.51400000002</v>
      </c>
      <c r="LF17" s="262">
        <v>599701.68599999999</v>
      </c>
      <c r="LG17" s="263">
        <v>-0.176553067086091</v>
      </c>
      <c r="LH17" s="262">
        <v>1254801.253</v>
      </c>
      <c r="LI17" s="262">
        <v>1465421.9080000001</v>
      </c>
      <c r="LJ17" s="263">
        <v>-0.143726972996776</v>
      </c>
      <c r="LK17" s="262">
        <v>3916749.9139999999</v>
      </c>
      <c r="LL17" s="262">
        <v>4326980.5039999997</v>
      </c>
      <c r="LM17" s="263">
        <v>-9.4807589176972101E-2</v>
      </c>
      <c r="LN17" s="262">
        <v>0</v>
      </c>
      <c r="LO17" s="262">
        <v>0</v>
      </c>
      <c r="LP17" s="263">
        <v>0</v>
      </c>
      <c r="LQ17" s="262">
        <v>0</v>
      </c>
      <c r="LR17" s="262">
        <v>0</v>
      </c>
      <c r="LS17" s="263">
        <v>0</v>
      </c>
      <c r="LT17" s="262">
        <v>0</v>
      </c>
      <c r="LU17" s="262">
        <v>0</v>
      </c>
      <c r="LV17" s="263">
        <v>0</v>
      </c>
      <c r="LW17" s="262">
        <v>0</v>
      </c>
      <c r="LX17" s="262">
        <v>0</v>
      </c>
      <c r="LY17" s="263">
        <v>0</v>
      </c>
      <c r="LZ17" s="262">
        <v>0</v>
      </c>
      <c r="MA17" s="262">
        <v>0</v>
      </c>
      <c r="MB17" s="263">
        <v>0</v>
      </c>
      <c r="MC17" s="262">
        <v>0</v>
      </c>
      <c r="MD17" s="262">
        <v>0</v>
      </c>
      <c r="ME17" s="263">
        <v>0</v>
      </c>
      <c r="MF17" s="262">
        <v>0</v>
      </c>
      <c r="MG17" s="262">
        <v>0</v>
      </c>
      <c r="MH17" s="263">
        <v>0</v>
      </c>
      <c r="MI17" s="262">
        <v>0</v>
      </c>
      <c r="MJ17" s="262">
        <v>0</v>
      </c>
      <c r="MK17" s="263">
        <v>0</v>
      </c>
      <c r="ML17" s="262">
        <v>0</v>
      </c>
      <c r="MM17" s="262">
        <v>0</v>
      </c>
      <c r="MN17" s="263">
        <v>0</v>
      </c>
      <c r="MO17" s="262">
        <v>0</v>
      </c>
      <c r="MP17" s="262">
        <v>0</v>
      </c>
      <c r="MQ17" s="263">
        <v>0</v>
      </c>
      <c r="MR17" s="262">
        <v>0</v>
      </c>
      <c r="MS17" s="262">
        <v>0</v>
      </c>
      <c r="MT17" s="263">
        <v>0</v>
      </c>
      <c r="MU17" s="262">
        <v>0</v>
      </c>
      <c r="MV17" s="262">
        <v>0</v>
      </c>
      <c r="MW17" s="264">
        <v>0</v>
      </c>
      <c r="MX17" s="262">
        <v>486226.61499999999</v>
      </c>
      <c r="MY17" s="262">
        <v>494558.02</v>
      </c>
      <c r="MZ17" s="263">
        <v>-1.68461629638521E-2</v>
      </c>
      <c r="NA17" s="262">
        <v>1741027.868</v>
      </c>
      <c r="NB17" s="262">
        <v>1959979.9280000001</v>
      </c>
      <c r="NC17" s="263">
        <v>-0.111711378709589</v>
      </c>
      <c r="ND17" s="262">
        <v>3908418.5090000001</v>
      </c>
      <c r="NE17" s="262">
        <v>4279611.2240000004</v>
      </c>
      <c r="NF17" s="263">
        <v>-8.6735148491609904E-2</v>
      </c>
      <c r="NG17" s="262">
        <v>0</v>
      </c>
      <c r="NH17" s="262">
        <v>0</v>
      </c>
      <c r="NI17" s="263">
        <v>0</v>
      </c>
      <c r="NJ17" s="262">
        <v>0</v>
      </c>
      <c r="NK17" s="262">
        <v>0</v>
      </c>
      <c r="NL17" s="263">
        <v>0</v>
      </c>
      <c r="NM17" s="262">
        <v>0</v>
      </c>
      <c r="NN17" s="262">
        <v>0</v>
      </c>
      <c r="NO17" s="263">
        <v>0</v>
      </c>
      <c r="NP17" s="262">
        <v>0</v>
      </c>
      <c r="NQ17" s="262">
        <v>0</v>
      </c>
      <c r="NR17" s="263">
        <v>0</v>
      </c>
      <c r="NS17" s="262">
        <v>0</v>
      </c>
      <c r="NT17" s="262">
        <v>0</v>
      </c>
      <c r="NU17" s="263">
        <v>0</v>
      </c>
      <c r="NV17" s="262">
        <v>0</v>
      </c>
      <c r="NW17" s="262">
        <v>0</v>
      </c>
      <c r="NX17" s="263">
        <v>0</v>
      </c>
      <c r="NY17" s="262">
        <v>0</v>
      </c>
      <c r="NZ17" s="262">
        <v>0</v>
      </c>
      <c r="OA17" s="263">
        <v>0</v>
      </c>
      <c r="OB17" s="262">
        <v>0</v>
      </c>
      <c r="OC17" s="262">
        <v>0</v>
      </c>
      <c r="OD17" s="263">
        <v>0</v>
      </c>
      <c r="OE17" s="262">
        <v>0</v>
      </c>
      <c r="OF17" s="262">
        <v>0</v>
      </c>
      <c r="OG17" s="263">
        <v>0</v>
      </c>
      <c r="OH17" s="262">
        <v>0</v>
      </c>
      <c r="OI17" s="262">
        <v>0</v>
      </c>
      <c r="OJ17" s="263">
        <v>0</v>
      </c>
      <c r="OK17" s="262">
        <v>0</v>
      </c>
      <c r="OL17" s="262">
        <v>0</v>
      </c>
      <c r="OM17" s="263">
        <v>0</v>
      </c>
      <c r="ON17" s="262">
        <v>0</v>
      </c>
      <c r="OO17" s="262">
        <v>0</v>
      </c>
      <c r="OP17" s="264">
        <v>0</v>
      </c>
      <c r="OQ17" s="262">
        <v>660856.51300000004</v>
      </c>
      <c r="OR17" s="262">
        <v>674743.076</v>
      </c>
      <c r="OS17" s="263">
        <v>-2.0580519450932401E-2</v>
      </c>
      <c r="OT17" s="262">
        <v>2401884.3810000001</v>
      </c>
      <c r="OU17" s="262">
        <v>2634723.0040000002</v>
      </c>
      <c r="OV17" s="263">
        <v>-8.8373093735663197E-2</v>
      </c>
      <c r="OW17" s="262">
        <v>3894531.946</v>
      </c>
      <c r="OX17" s="262">
        <v>4185708.9219999998</v>
      </c>
      <c r="OY17" s="263">
        <v>-6.9564554398319406E-2</v>
      </c>
      <c r="OZ17" s="262">
        <v>0</v>
      </c>
      <c r="PA17" s="262">
        <v>0</v>
      </c>
      <c r="PB17" s="263">
        <v>0</v>
      </c>
      <c r="PC17" s="262">
        <v>0</v>
      </c>
      <c r="PD17" s="262">
        <v>0</v>
      </c>
      <c r="PE17" s="263">
        <v>0</v>
      </c>
      <c r="PF17" s="262">
        <v>0</v>
      </c>
      <c r="PG17" s="262">
        <v>0</v>
      </c>
      <c r="PH17" s="263">
        <v>0</v>
      </c>
      <c r="PI17" s="262">
        <v>0</v>
      </c>
      <c r="PJ17" s="262">
        <v>0</v>
      </c>
      <c r="PK17" s="263">
        <v>0</v>
      </c>
      <c r="PL17" s="262">
        <v>0</v>
      </c>
      <c r="PM17" s="262">
        <v>0</v>
      </c>
      <c r="PN17" s="263">
        <v>0</v>
      </c>
      <c r="PO17" s="262">
        <v>0</v>
      </c>
      <c r="PP17" s="262">
        <v>0</v>
      </c>
      <c r="PQ17" s="263">
        <v>0</v>
      </c>
      <c r="PR17" s="262">
        <v>0</v>
      </c>
      <c r="PS17" s="262">
        <v>0</v>
      </c>
      <c r="PT17" s="263">
        <v>0</v>
      </c>
      <c r="PU17" s="262">
        <v>0</v>
      </c>
      <c r="PV17" s="262">
        <v>0</v>
      </c>
      <c r="PW17" s="263">
        <v>0</v>
      </c>
      <c r="PX17" s="262">
        <v>0</v>
      </c>
      <c r="PY17" s="262">
        <v>0</v>
      </c>
      <c r="PZ17" s="263">
        <v>0</v>
      </c>
      <c r="QA17" s="262">
        <v>0</v>
      </c>
      <c r="QB17" s="262">
        <v>0</v>
      </c>
      <c r="QC17" s="263">
        <v>0</v>
      </c>
      <c r="QD17" s="262">
        <v>0</v>
      </c>
      <c r="QE17" s="262">
        <v>0</v>
      </c>
      <c r="QF17" s="263">
        <v>0</v>
      </c>
      <c r="QG17" s="262">
        <v>0</v>
      </c>
      <c r="QH17" s="262">
        <v>0</v>
      </c>
      <c r="QI17" s="264">
        <v>0</v>
      </c>
      <c r="QJ17" s="262">
        <v>488094.49200000003</v>
      </c>
      <c r="QK17" s="262">
        <v>671160.86600000004</v>
      </c>
      <c r="QL17" s="263">
        <v>-0.27276079889914201</v>
      </c>
      <c r="QM17" s="262">
        <v>2889978.8730000001</v>
      </c>
      <c r="QN17" s="262">
        <v>3305883.87</v>
      </c>
      <c r="QO17" s="263">
        <v>-0.125807503637446</v>
      </c>
      <c r="QP17" s="262">
        <v>3711465.5720000002</v>
      </c>
      <c r="QQ17" s="262">
        <v>4136983.9789999998</v>
      </c>
      <c r="QR17" s="263">
        <v>-0.102857156121464</v>
      </c>
      <c r="QS17" s="262">
        <v>0</v>
      </c>
      <c r="QT17" s="262">
        <v>0</v>
      </c>
      <c r="QU17" s="263">
        <v>0</v>
      </c>
      <c r="QV17" s="262">
        <v>0</v>
      </c>
      <c r="QW17" s="262">
        <v>0</v>
      </c>
      <c r="QX17" s="263">
        <v>0</v>
      </c>
      <c r="QY17" s="262">
        <v>0</v>
      </c>
      <c r="QZ17" s="262">
        <v>0</v>
      </c>
      <c r="RA17" s="263">
        <v>0</v>
      </c>
      <c r="RB17" s="262">
        <v>0</v>
      </c>
      <c r="RC17" s="262">
        <v>0</v>
      </c>
      <c r="RD17" s="263">
        <v>0</v>
      </c>
      <c r="RE17" s="262">
        <v>0</v>
      </c>
      <c r="RF17" s="262">
        <v>0</v>
      </c>
      <c r="RG17" s="263">
        <v>0</v>
      </c>
      <c r="RH17" s="262">
        <v>0</v>
      </c>
      <c r="RI17" s="262">
        <v>0</v>
      </c>
      <c r="RJ17" s="263">
        <v>0</v>
      </c>
      <c r="RK17" s="262">
        <v>0</v>
      </c>
      <c r="RL17" s="262">
        <v>0</v>
      </c>
      <c r="RM17" s="263">
        <v>0</v>
      </c>
      <c r="RN17" s="262">
        <v>0</v>
      </c>
      <c r="RO17" s="262">
        <v>0</v>
      </c>
      <c r="RP17" s="263">
        <v>0</v>
      </c>
      <c r="RQ17" s="262">
        <v>0</v>
      </c>
      <c r="RR17" s="262">
        <v>0</v>
      </c>
      <c r="RS17" s="263">
        <v>0</v>
      </c>
      <c r="RT17" s="262">
        <v>0</v>
      </c>
      <c r="RU17" s="262">
        <v>0</v>
      </c>
      <c r="RV17" s="263">
        <v>0</v>
      </c>
      <c r="RW17" s="262">
        <v>0</v>
      </c>
      <c r="RX17" s="262">
        <v>0</v>
      </c>
      <c r="RY17" s="263">
        <v>0</v>
      </c>
      <c r="RZ17" s="262">
        <v>0</v>
      </c>
      <c r="SA17" s="262">
        <v>0</v>
      </c>
      <c r="SB17" s="264">
        <v>0</v>
      </c>
      <c r="SC17" s="262">
        <v>396082.11</v>
      </c>
      <c r="SD17" s="262">
        <v>459969.576</v>
      </c>
      <c r="SE17" s="263">
        <v>-0.13889498204550799</v>
      </c>
      <c r="SF17" s="262">
        <v>3286060.983</v>
      </c>
      <c r="SG17" s="262">
        <v>3765853.446</v>
      </c>
      <c r="SH17" s="263">
        <v>-0.12740603687316199</v>
      </c>
      <c r="SI17" s="262">
        <v>3647578.1060000001</v>
      </c>
      <c r="SJ17" s="262">
        <v>4195935.733</v>
      </c>
      <c r="SK17" s="263">
        <v>-0.130687804078433</v>
      </c>
      <c r="SL17" s="262">
        <v>0</v>
      </c>
      <c r="SM17" s="262">
        <v>0</v>
      </c>
      <c r="SN17" s="263">
        <v>0</v>
      </c>
      <c r="SO17" s="262">
        <v>0</v>
      </c>
      <c r="SP17" s="262">
        <v>0</v>
      </c>
      <c r="SQ17" s="263">
        <v>0</v>
      </c>
      <c r="SR17" s="262">
        <v>0</v>
      </c>
      <c r="SS17" s="262">
        <v>0</v>
      </c>
      <c r="ST17" s="263">
        <v>0</v>
      </c>
      <c r="SU17" s="262">
        <v>0</v>
      </c>
      <c r="SV17" s="262">
        <v>0</v>
      </c>
      <c r="SW17" s="263">
        <v>0</v>
      </c>
      <c r="SX17" s="262">
        <v>0</v>
      </c>
      <c r="SY17" s="262">
        <v>0</v>
      </c>
      <c r="SZ17" s="263">
        <v>0</v>
      </c>
      <c r="TA17" s="262">
        <v>0</v>
      </c>
      <c r="TB17" s="262">
        <v>0</v>
      </c>
      <c r="TC17" s="263">
        <v>0</v>
      </c>
      <c r="TD17" s="262">
        <v>0</v>
      </c>
      <c r="TE17" s="262">
        <v>0</v>
      </c>
      <c r="TF17" s="263">
        <v>0</v>
      </c>
      <c r="TG17" s="262">
        <v>0</v>
      </c>
      <c r="TH17" s="262">
        <v>0</v>
      </c>
      <c r="TI17" s="263">
        <v>0</v>
      </c>
      <c r="TJ17" s="262">
        <v>0</v>
      </c>
      <c r="TK17" s="262">
        <v>0</v>
      </c>
      <c r="TL17" s="263">
        <v>0</v>
      </c>
      <c r="TM17" s="262">
        <v>0</v>
      </c>
      <c r="TN17" s="262">
        <v>0</v>
      </c>
      <c r="TO17" s="263">
        <v>0</v>
      </c>
      <c r="TP17" s="262">
        <v>0</v>
      </c>
      <c r="TQ17" s="262">
        <v>0</v>
      </c>
      <c r="TR17" s="263">
        <v>0</v>
      </c>
      <c r="TS17" s="262">
        <v>0</v>
      </c>
      <c r="TT17" s="262">
        <v>0</v>
      </c>
      <c r="TU17" s="264">
        <v>0</v>
      </c>
      <c r="TV17" s="262">
        <v>246379.48529300001</v>
      </c>
      <c r="TW17" s="262">
        <v>153796.77900000001</v>
      </c>
      <c r="TX17" s="263">
        <v>0.60198078851183201</v>
      </c>
      <c r="TY17" s="262">
        <v>3532440.468293</v>
      </c>
      <c r="TZ17" s="262">
        <v>3919650.2250000001</v>
      </c>
      <c r="UA17" s="263">
        <v>-9.8786813741014404E-2</v>
      </c>
      <c r="UB17" s="262">
        <v>3740160.8122930001</v>
      </c>
      <c r="UC17" s="262">
        <v>4122994.3130000001</v>
      </c>
      <c r="UD17" s="263">
        <v>-9.2853269164089702E-2</v>
      </c>
      <c r="UE17" s="262">
        <v>0</v>
      </c>
      <c r="UF17" s="262">
        <v>0</v>
      </c>
      <c r="UG17" s="263">
        <v>0</v>
      </c>
      <c r="UH17" s="262">
        <v>0</v>
      </c>
      <c r="UI17" s="262">
        <v>0</v>
      </c>
      <c r="UJ17" s="263">
        <v>0</v>
      </c>
      <c r="UK17" s="262">
        <v>0</v>
      </c>
      <c r="UL17" s="262">
        <v>0</v>
      </c>
      <c r="UM17" s="263">
        <v>0</v>
      </c>
      <c r="UN17" s="262">
        <v>0</v>
      </c>
      <c r="UO17" s="262">
        <v>0</v>
      </c>
      <c r="UP17" s="263">
        <v>0</v>
      </c>
      <c r="UQ17" s="262">
        <v>0</v>
      </c>
      <c r="UR17" s="262">
        <v>0</v>
      </c>
      <c r="US17" s="263">
        <v>0</v>
      </c>
      <c r="UT17" s="262">
        <v>0</v>
      </c>
      <c r="UU17" s="262">
        <v>0</v>
      </c>
      <c r="UV17" s="263">
        <v>0</v>
      </c>
      <c r="UW17" s="262">
        <v>0</v>
      </c>
      <c r="UX17" s="262">
        <v>0</v>
      </c>
      <c r="UY17" s="263">
        <v>0</v>
      </c>
      <c r="UZ17" s="262">
        <v>0</v>
      </c>
      <c r="VA17" s="262">
        <v>0</v>
      </c>
      <c r="VB17" s="263">
        <v>0</v>
      </c>
      <c r="VC17" s="262">
        <v>0</v>
      </c>
      <c r="VD17" s="262">
        <v>0</v>
      </c>
      <c r="VE17" s="263">
        <v>0</v>
      </c>
      <c r="VF17" s="262">
        <v>0</v>
      </c>
      <c r="VG17" s="262">
        <v>0</v>
      </c>
      <c r="VH17" s="263">
        <v>0</v>
      </c>
      <c r="VI17" s="262">
        <v>0</v>
      </c>
      <c r="VJ17" s="262">
        <v>0</v>
      </c>
      <c r="VK17" s="263">
        <v>0</v>
      </c>
      <c r="VL17" s="262">
        <v>0</v>
      </c>
      <c r="VM17" s="262">
        <v>0</v>
      </c>
      <c r="VN17" s="264">
        <v>0</v>
      </c>
    </row>
    <row r="18" spans="1:586">
      <c r="A18" s="268" t="s">
        <v>8</v>
      </c>
      <c r="B18" s="262">
        <v>275041.72200000001</v>
      </c>
      <c r="C18" s="262">
        <v>262956.31199999998</v>
      </c>
      <c r="D18" s="263">
        <v>4.5959763840922901E-2</v>
      </c>
      <c r="E18" s="262">
        <v>3034377.446</v>
      </c>
      <c r="F18" s="262">
        <v>3092321.0929999999</v>
      </c>
      <c r="G18" s="263">
        <v>-1.87379140966848E-2</v>
      </c>
      <c r="H18" s="262">
        <v>3528648.094</v>
      </c>
      <c r="I18" s="262">
        <v>3777601.4130000002</v>
      </c>
      <c r="J18" s="263">
        <v>-6.5902484614514201E-2</v>
      </c>
      <c r="K18" s="262">
        <v>0</v>
      </c>
      <c r="L18" s="262">
        <v>0</v>
      </c>
      <c r="M18" s="263">
        <v>0</v>
      </c>
      <c r="N18" s="262">
        <v>0</v>
      </c>
      <c r="O18" s="262">
        <v>0</v>
      </c>
      <c r="P18" s="263">
        <v>0</v>
      </c>
      <c r="Q18" s="262">
        <v>0</v>
      </c>
      <c r="R18" s="262">
        <v>0</v>
      </c>
      <c r="S18" s="263">
        <v>0</v>
      </c>
      <c r="T18" s="262">
        <v>0</v>
      </c>
      <c r="U18" s="262">
        <v>0</v>
      </c>
      <c r="V18" s="263">
        <v>0</v>
      </c>
      <c r="W18" s="262">
        <v>0</v>
      </c>
      <c r="X18" s="262">
        <v>0</v>
      </c>
      <c r="Y18" s="263">
        <v>0</v>
      </c>
      <c r="Z18" s="262">
        <v>0</v>
      </c>
      <c r="AA18" s="262">
        <v>0</v>
      </c>
      <c r="AB18" s="263">
        <v>0</v>
      </c>
      <c r="AC18" s="262">
        <v>349.95</v>
      </c>
      <c r="AD18" s="262">
        <v>148.01499999999999</v>
      </c>
      <c r="AE18" s="263">
        <v>1.36428740330372</v>
      </c>
      <c r="AF18" s="262">
        <v>1507.5039999999999</v>
      </c>
      <c r="AG18" s="262">
        <v>1307.5150000000001</v>
      </c>
      <c r="AH18" s="263">
        <v>0.15295350340149</v>
      </c>
      <c r="AI18" s="262">
        <v>1777.3009999999999</v>
      </c>
      <c r="AJ18" s="262">
        <v>1547.04</v>
      </c>
      <c r="AK18" s="263">
        <v>0.148839719722826</v>
      </c>
      <c r="AL18" s="262">
        <v>1102.847</v>
      </c>
      <c r="AM18" s="262">
        <v>524.73299999999995</v>
      </c>
      <c r="AN18" s="263">
        <v>1.10172983212415</v>
      </c>
      <c r="AO18" s="262">
        <v>6936.5169999999998</v>
      </c>
      <c r="AP18" s="262">
        <v>6098.0370000000003</v>
      </c>
      <c r="AQ18" s="263">
        <v>0.13749998565112001</v>
      </c>
      <c r="AR18" s="262">
        <v>7806.4380000000001</v>
      </c>
      <c r="AS18" s="262">
        <v>7647.5540000000001</v>
      </c>
      <c r="AT18" s="264">
        <v>2.0775793149025199E-2</v>
      </c>
      <c r="AU18" s="262">
        <v>305056.35200000001</v>
      </c>
      <c r="AV18" s="262">
        <v>239315.90700000001</v>
      </c>
      <c r="AW18" s="263">
        <v>0.274701526631073</v>
      </c>
      <c r="AX18" s="262">
        <v>3339433.798</v>
      </c>
      <c r="AY18" s="262">
        <v>3331637</v>
      </c>
      <c r="AZ18" s="263">
        <v>2.3402303432216499E-3</v>
      </c>
      <c r="BA18" s="262">
        <v>3594388.5389999999</v>
      </c>
      <c r="BB18" s="262">
        <v>3651898.6639999999</v>
      </c>
      <c r="BC18" s="263">
        <v>-1.5748006801757301E-2</v>
      </c>
      <c r="BD18" s="262">
        <v>0</v>
      </c>
      <c r="BE18" s="262">
        <v>0</v>
      </c>
      <c r="BF18" s="263">
        <v>0</v>
      </c>
      <c r="BG18" s="262">
        <v>0</v>
      </c>
      <c r="BH18" s="262">
        <v>0</v>
      </c>
      <c r="BI18" s="263">
        <v>0</v>
      </c>
      <c r="BJ18" s="262">
        <v>0</v>
      </c>
      <c r="BK18" s="262">
        <v>0</v>
      </c>
      <c r="BL18" s="263">
        <v>0</v>
      </c>
      <c r="BM18" s="262">
        <v>0</v>
      </c>
      <c r="BN18" s="262">
        <v>0</v>
      </c>
      <c r="BO18" s="263">
        <v>0</v>
      </c>
      <c r="BP18" s="262">
        <v>0</v>
      </c>
      <c r="BQ18" s="262">
        <v>0</v>
      </c>
      <c r="BR18" s="263">
        <v>0</v>
      </c>
      <c r="BS18" s="262">
        <v>0</v>
      </c>
      <c r="BT18" s="262">
        <v>0</v>
      </c>
      <c r="BU18" s="263">
        <v>0</v>
      </c>
      <c r="BV18" s="262">
        <v>270.39800000000002</v>
      </c>
      <c r="BW18" s="262">
        <v>143.54</v>
      </c>
      <c r="BX18" s="263">
        <v>0.88378152431377999</v>
      </c>
      <c r="BY18" s="262">
        <v>1777.902</v>
      </c>
      <c r="BZ18" s="262">
        <v>1451.0550000000001</v>
      </c>
      <c r="CA18" s="263">
        <v>0.22524783691865599</v>
      </c>
      <c r="CB18" s="262">
        <v>1904.1590000000001</v>
      </c>
      <c r="CC18" s="262">
        <v>1595.5519999999999</v>
      </c>
      <c r="CD18" s="263">
        <v>0.193417074467018</v>
      </c>
      <c r="CE18" s="262">
        <v>1177.5519999999999</v>
      </c>
      <c r="CF18" s="262">
        <v>424.54199999999997</v>
      </c>
      <c r="CG18" s="263">
        <v>1.77369965751327</v>
      </c>
      <c r="CH18" s="262">
        <v>8114.0690000000004</v>
      </c>
      <c r="CI18" s="262">
        <v>6522.5789999999997</v>
      </c>
      <c r="CJ18" s="263">
        <v>0.24399704472724701</v>
      </c>
      <c r="CK18" s="262">
        <v>8559.4480000000003</v>
      </c>
      <c r="CL18" s="262">
        <v>7307.1109999999999</v>
      </c>
      <c r="CM18" s="264">
        <v>0.17138606488939301</v>
      </c>
      <c r="CN18" s="262">
        <v>341077.48300000001</v>
      </c>
      <c r="CO18" s="262">
        <v>254954.74100000001</v>
      </c>
      <c r="CP18" s="263">
        <v>0.33779619732586202</v>
      </c>
      <c r="CQ18" s="262">
        <v>3680511.281</v>
      </c>
      <c r="CR18" s="262">
        <v>3586591.7409999999</v>
      </c>
      <c r="CS18" s="263">
        <v>2.61862923862679E-2</v>
      </c>
      <c r="CT18" s="262">
        <v>3680511.281</v>
      </c>
      <c r="CU18" s="262">
        <v>3586591.7409999999</v>
      </c>
      <c r="CV18" s="263">
        <v>2.61862923862679E-2</v>
      </c>
      <c r="CW18" s="262">
        <v>0</v>
      </c>
      <c r="CX18" s="262">
        <v>0</v>
      </c>
      <c r="CY18" s="263">
        <v>0</v>
      </c>
      <c r="CZ18" s="262">
        <v>0</v>
      </c>
      <c r="DA18" s="262">
        <v>0</v>
      </c>
      <c r="DB18" s="263">
        <v>0</v>
      </c>
      <c r="DC18" s="262">
        <v>0</v>
      </c>
      <c r="DD18" s="262">
        <v>0</v>
      </c>
      <c r="DE18" s="263">
        <v>0</v>
      </c>
      <c r="DF18" s="262">
        <v>0</v>
      </c>
      <c r="DG18" s="262">
        <v>0</v>
      </c>
      <c r="DH18" s="263">
        <v>0</v>
      </c>
      <c r="DI18" s="262">
        <v>0</v>
      </c>
      <c r="DJ18" s="262">
        <v>0</v>
      </c>
      <c r="DK18" s="263">
        <v>0</v>
      </c>
      <c r="DL18" s="262">
        <v>0</v>
      </c>
      <c r="DM18" s="262">
        <v>0</v>
      </c>
      <c r="DN18" s="263">
        <v>0</v>
      </c>
      <c r="DO18" s="262">
        <v>230.001</v>
      </c>
      <c r="DP18" s="262">
        <v>126.25700000000001</v>
      </c>
      <c r="DQ18" s="263">
        <v>0.82168909446604899</v>
      </c>
      <c r="DR18" s="262">
        <v>2007.903</v>
      </c>
      <c r="DS18" s="262">
        <v>1577.3119999999999</v>
      </c>
      <c r="DT18" s="263">
        <v>0.27299037856809599</v>
      </c>
      <c r="DU18" s="262">
        <v>2007.903</v>
      </c>
      <c r="DV18" s="262">
        <v>1577.3119999999999</v>
      </c>
      <c r="DW18" s="263">
        <v>0.27299037856809599</v>
      </c>
      <c r="DX18" s="262">
        <v>1130.4849999999999</v>
      </c>
      <c r="DY18" s="262">
        <v>445.37900000000002</v>
      </c>
      <c r="DZ18" s="263">
        <v>1.5382539365349499</v>
      </c>
      <c r="EA18" s="262">
        <v>9244.5540000000001</v>
      </c>
      <c r="EB18" s="262">
        <v>6967.9579999999996</v>
      </c>
      <c r="EC18" s="263">
        <v>0.326723553729802</v>
      </c>
      <c r="ED18" s="262">
        <v>9244.5540000000001</v>
      </c>
      <c r="EE18" s="262">
        <v>6967.9579999999996</v>
      </c>
      <c r="EF18" s="264">
        <v>0.326723553729802</v>
      </c>
      <c r="EG18" s="262">
        <v>339198.63400000002</v>
      </c>
      <c r="EH18" s="262">
        <v>282919.34499999997</v>
      </c>
      <c r="EI18" s="263">
        <v>0.19892343876308599</v>
      </c>
      <c r="EJ18" s="262">
        <v>339198.63400000002</v>
      </c>
      <c r="EK18" s="262">
        <v>282919.34499999997</v>
      </c>
      <c r="EL18" s="263">
        <v>0.19892343876308599</v>
      </c>
      <c r="EM18" s="262">
        <v>3736790.57</v>
      </c>
      <c r="EN18" s="262">
        <v>3578650.3280000002</v>
      </c>
      <c r="EO18" s="263">
        <v>4.4189911700140902E-2</v>
      </c>
      <c r="EP18" s="262">
        <v>0</v>
      </c>
      <c r="EQ18" s="262">
        <v>0</v>
      </c>
      <c r="ER18" s="263">
        <v>0</v>
      </c>
      <c r="ES18" s="262">
        <v>0</v>
      </c>
      <c r="ET18" s="262">
        <v>0</v>
      </c>
      <c r="EU18" s="263">
        <v>0</v>
      </c>
      <c r="EV18" s="262">
        <v>0</v>
      </c>
      <c r="EW18" s="262">
        <v>0</v>
      </c>
      <c r="EX18" s="263">
        <v>0</v>
      </c>
      <c r="EY18" s="262">
        <v>0</v>
      </c>
      <c r="EZ18" s="262">
        <v>0</v>
      </c>
      <c r="FA18" s="263">
        <v>0</v>
      </c>
      <c r="FB18" s="262">
        <v>0</v>
      </c>
      <c r="FC18" s="262">
        <v>0</v>
      </c>
      <c r="FD18" s="263">
        <v>0</v>
      </c>
      <c r="FE18" s="262">
        <v>0</v>
      </c>
      <c r="FF18" s="262">
        <v>0</v>
      </c>
      <c r="FG18" s="263">
        <v>0</v>
      </c>
      <c r="FH18" s="262">
        <v>256.185</v>
      </c>
      <c r="FI18" s="262">
        <v>104.23</v>
      </c>
      <c r="FJ18" s="263">
        <v>1.45788160798235</v>
      </c>
      <c r="FK18" s="262">
        <v>256.185</v>
      </c>
      <c r="FL18" s="262">
        <v>104.23</v>
      </c>
      <c r="FM18" s="263">
        <v>1.45788160798235</v>
      </c>
      <c r="FN18" s="262">
        <v>2159.8580000000002</v>
      </c>
      <c r="FO18" s="262">
        <v>1570.8</v>
      </c>
      <c r="FP18" s="263">
        <v>0.37500509294626999</v>
      </c>
      <c r="FQ18" s="262">
        <v>1127.931</v>
      </c>
      <c r="FR18" s="262">
        <v>500.13400000000001</v>
      </c>
      <c r="FS18" s="263">
        <v>1.2552575909656201</v>
      </c>
      <c r="FT18" s="262">
        <v>1127.931</v>
      </c>
      <c r="FU18" s="262">
        <v>500.13400000000001</v>
      </c>
      <c r="FV18" s="263">
        <v>1.2552575909656201</v>
      </c>
      <c r="FW18" s="262">
        <v>9872.3510000000006</v>
      </c>
      <c r="FX18" s="262">
        <v>6683.9589999999998</v>
      </c>
      <c r="FY18" s="264">
        <v>0.477021477839706</v>
      </c>
      <c r="FZ18" s="262">
        <v>328252.16600000003</v>
      </c>
      <c r="GA18" s="262">
        <v>257937.51699999999</v>
      </c>
      <c r="GB18" s="263">
        <v>0.27260341891249601</v>
      </c>
      <c r="GC18" s="262">
        <v>667450.80000000005</v>
      </c>
      <c r="GD18" s="262">
        <v>540856.86199999996</v>
      </c>
      <c r="GE18" s="263">
        <v>0.23406181356722799</v>
      </c>
      <c r="GF18" s="262">
        <v>3807105.219</v>
      </c>
      <c r="GG18" s="262">
        <v>3480080.8169999998</v>
      </c>
      <c r="GH18" s="263">
        <v>9.3970347011053307E-2</v>
      </c>
      <c r="GI18" s="262">
        <v>0</v>
      </c>
      <c r="GJ18" s="262">
        <v>0</v>
      </c>
      <c r="GK18" s="263">
        <v>0</v>
      </c>
      <c r="GL18" s="262">
        <v>0</v>
      </c>
      <c r="GM18" s="262">
        <v>0</v>
      </c>
      <c r="GN18" s="263">
        <v>0</v>
      </c>
      <c r="GO18" s="262">
        <v>0</v>
      </c>
      <c r="GP18" s="262">
        <v>0</v>
      </c>
      <c r="GQ18" s="263">
        <v>0</v>
      </c>
      <c r="GR18" s="262">
        <v>0</v>
      </c>
      <c r="GS18" s="262">
        <v>0</v>
      </c>
      <c r="GT18" s="263">
        <v>0</v>
      </c>
      <c r="GU18" s="262">
        <v>0</v>
      </c>
      <c r="GV18" s="262">
        <v>0</v>
      </c>
      <c r="GW18" s="263">
        <v>0</v>
      </c>
      <c r="GX18" s="262">
        <v>0</v>
      </c>
      <c r="GY18" s="262">
        <v>0</v>
      </c>
      <c r="GZ18" s="263">
        <v>0</v>
      </c>
      <c r="HA18" s="262">
        <v>257.28500000000003</v>
      </c>
      <c r="HB18" s="262">
        <v>39.53</v>
      </c>
      <c r="HC18" s="263">
        <v>5.5086010624841899</v>
      </c>
      <c r="HD18" s="262">
        <v>513.47</v>
      </c>
      <c r="HE18" s="262">
        <v>143.76</v>
      </c>
      <c r="HF18" s="263">
        <v>2.57171675013912</v>
      </c>
      <c r="HG18" s="262">
        <v>2377.6129999999998</v>
      </c>
      <c r="HH18" s="262">
        <v>1450.6669999999999</v>
      </c>
      <c r="HI18" s="263">
        <v>0.63897917302868301</v>
      </c>
      <c r="HJ18" s="262">
        <v>1203.2909999999999</v>
      </c>
      <c r="HK18" s="262">
        <v>499.44299999999998</v>
      </c>
      <c r="HL18" s="263">
        <v>1.40926592223737</v>
      </c>
      <c r="HM18" s="262">
        <v>2331.2220000000002</v>
      </c>
      <c r="HN18" s="262">
        <v>999.577</v>
      </c>
      <c r="HO18" s="263">
        <v>1.33220852420574</v>
      </c>
      <c r="HP18" s="262">
        <v>10576.199000000001</v>
      </c>
      <c r="HQ18" s="262">
        <v>6472.3149999999996</v>
      </c>
      <c r="HR18" s="264">
        <v>0.63406740864744704</v>
      </c>
      <c r="HS18" s="262">
        <v>285814.77899999998</v>
      </c>
      <c r="HT18" s="262">
        <v>309637.90999999997</v>
      </c>
      <c r="HU18" s="263">
        <v>-7.6938676533503406E-2</v>
      </c>
      <c r="HV18" s="262">
        <v>953265.57900000003</v>
      </c>
      <c r="HW18" s="262">
        <v>850494.772</v>
      </c>
      <c r="HX18" s="263">
        <v>0.12083649468923501</v>
      </c>
      <c r="HY18" s="262">
        <v>3783282.088</v>
      </c>
      <c r="HZ18" s="262">
        <v>3482353.14</v>
      </c>
      <c r="IA18" s="263">
        <v>8.6415402431012603E-2</v>
      </c>
      <c r="IB18" s="262">
        <v>0</v>
      </c>
      <c r="IC18" s="262">
        <v>0</v>
      </c>
      <c r="ID18" s="263">
        <v>0</v>
      </c>
      <c r="IE18" s="262">
        <v>0</v>
      </c>
      <c r="IF18" s="262">
        <v>0</v>
      </c>
      <c r="IG18" s="263">
        <v>0</v>
      </c>
      <c r="IH18" s="262">
        <v>0</v>
      </c>
      <c r="II18" s="262">
        <v>0</v>
      </c>
      <c r="IJ18" s="263">
        <v>0</v>
      </c>
      <c r="IK18" s="262">
        <v>0</v>
      </c>
      <c r="IL18" s="262">
        <v>0</v>
      </c>
      <c r="IM18" s="263">
        <v>0</v>
      </c>
      <c r="IN18" s="262">
        <v>0</v>
      </c>
      <c r="IO18" s="262">
        <v>0</v>
      </c>
      <c r="IP18" s="263">
        <v>0</v>
      </c>
      <c r="IQ18" s="262">
        <v>0</v>
      </c>
      <c r="IR18" s="262">
        <v>0</v>
      </c>
      <c r="IS18" s="263">
        <v>0</v>
      </c>
      <c r="IT18" s="262">
        <v>271.65699999999998</v>
      </c>
      <c r="IU18" s="262">
        <v>40.002000000000002</v>
      </c>
      <c r="IV18" s="263">
        <v>5.7910854457277097</v>
      </c>
      <c r="IW18" s="262">
        <v>785.12699999999995</v>
      </c>
      <c r="IX18" s="262">
        <v>183.762</v>
      </c>
      <c r="IY18" s="263">
        <v>3.2725209782218299</v>
      </c>
      <c r="IZ18" s="262">
        <v>2609.268</v>
      </c>
      <c r="JA18" s="262">
        <v>1319.317</v>
      </c>
      <c r="JB18" s="263">
        <v>0.97774151322237202</v>
      </c>
      <c r="JC18" s="262">
        <v>1428.672</v>
      </c>
      <c r="JD18" s="262">
        <v>578.39200000000005</v>
      </c>
      <c r="JE18" s="263">
        <v>1.47007565803123</v>
      </c>
      <c r="JF18" s="262">
        <v>3759.8939999999998</v>
      </c>
      <c r="JG18" s="262">
        <v>1577.9690000000001</v>
      </c>
      <c r="JH18" s="263">
        <v>1.3827426267562899</v>
      </c>
      <c r="JI18" s="262">
        <v>11426.478999999999</v>
      </c>
      <c r="JJ18" s="262">
        <v>6312.2790000000005</v>
      </c>
      <c r="JK18" s="264">
        <v>0.81019866200464197</v>
      </c>
      <c r="JL18" s="262">
        <v>295248.56199999998</v>
      </c>
      <c r="JM18" s="262">
        <v>304122.23999999999</v>
      </c>
      <c r="JN18" s="263">
        <v>-2.91779976367398E-2</v>
      </c>
      <c r="JO18" s="262">
        <v>1248514.1410000001</v>
      </c>
      <c r="JP18" s="262">
        <v>1154617.0120000001</v>
      </c>
      <c r="JQ18" s="263">
        <v>8.1323181647352999E-2</v>
      </c>
      <c r="JR18" s="262">
        <v>3774408.41</v>
      </c>
      <c r="JS18" s="262">
        <v>3514095.6409999998</v>
      </c>
      <c r="JT18" s="263">
        <v>7.4076745653377393E-2</v>
      </c>
      <c r="JU18" s="262">
        <v>0</v>
      </c>
      <c r="JV18" s="262">
        <v>0</v>
      </c>
      <c r="JW18" s="263">
        <v>0</v>
      </c>
      <c r="JX18" s="262">
        <v>0</v>
      </c>
      <c r="JY18" s="262">
        <v>0</v>
      </c>
      <c r="JZ18" s="263">
        <v>0</v>
      </c>
      <c r="KA18" s="262">
        <v>0</v>
      </c>
      <c r="KB18" s="262">
        <v>0</v>
      </c>
      <c r="KC18" s="263">
        <v>0</v>
      </c>
      <c r="KD18" s="262">
        <v>0</v>
      </c>
      <c r="KE18" s="262">
        <v>0</v>
      </c>
      <c r="KF18" s="263">
        <v>0</v>
      </c>
      <c r="KG18" s="262">
        <v>0</v>
      </c>
      <c r="KH18" s="262">
        <v>0</v>
      </c>
      <c r="KI18" s="263">
        <v>0</v>
      </c>
      <c r="KJ18" s="262">
        <v>0</v>
      </c>
      <c r="KK18" s="262">
        <v>0</v>
      </c>
      <c r="KL18" s="263">
        <v>0</v>
      </c>
      <c r="KM18" s="262">
        <v>216.173</v>
      </c>
      <c r="KN18" s="262">
        <v>15.544</v>
      </c>
      <c r="KO18" s="263">
        <v>12.9071667524447</v>
      </c>
      <c r="KP18" s="262">
        <v>1001.3</v>
      </c>
      <c r="KQ18" s="262">
        <v>199.30600000000001</v>
      </c>
      <c r="KR18" s="263">
        <v>4.0239330476754303</v>
      </c>
      <c r="KS18" s="262">
        <v>2809.8969999999999</v>
      </c>
      <c r="KT18" s="262">
        <v>1237.213</v>
      </c>
      <c r="KU18" s="263">
        <v>1.2711505617868499</v>
      </c>
      <c r="KV18" s="262">
        <v>1436.1379999999999</v>
      </c>
      <c r="KW18" s="262">
        <v>264.24700000000001</v>
      </c>
      <c r="KX18" s="263">
        <v>4.4348318050914504</v>
      </c>
      <c r="KY18" s="262">
        <v>5196.0320000000002</v>
      </c>
      <c r="KZ18" s="262">
        <v>1842.2159999999999</v>
      </c>
      <c r="LA18" s="263">
        <v>1.82053353135572</v>
      </c>
      <c r="LB18" s="262">
        <v>12598.37</v>
      </c>
      <c r="LC18" s="262">
        <v>5945.5739999999996</v>
      </c>
      <c r="LD18" s="264">
        <v>1.1189493226389899</v>
      </c>
      <c r="LE18" s="262">
        <v>324890.315</v>
      </c>
      <c r="LF18" s="262">
        <v>310961.84700000001</v>
      </c>
      <c r="LG18" s="263">
        <v>4.4791565699698201E-2</v>
      </c>
      <c r="LH18" s="262">
        <v>1573404.456</v>
      </c>
      <c r="LI18" s="262">
        <v>1465578.8589999999</v>
      </c>
      <c r="LJ18" s="263">
        <v>7.3572019914078302E-2</v>
      </c>
      <c r="LK18" s="262">
        <v>3788336.878</v>
      </c>
      <c r="LL18" s="262">
        <v>3487676.3590000002</v>
      </c>
      <c r="LM18" s="263">
        <v>8.6206542136325504E-2</v>
      </c>
      <c r="LN18" s="262">
        <v>0</v>
      </c>
      <c r="LO18" s="262">
        <v>0</v>
      </c>
      <c r="LP18" s="263">
        <v>0</v>
      </c>
      <c r="LQ18" s="262">
        <v>0</v>
      </c>
      <c r="LR18" s="262">
        <v>0</v>
      </c>
      <c r="LS18" s="263">
        <v>0</v>
      </c>
      <c r="LT18" s="262">
        <v>0</v>
      </c>
      <c r="LU18" s="262">
        <v>0</v>
      </c>
      <c r="LV18" s="263">
        <v>0</v>
      </c>
      <c r="LW18" s="262">
        <v>0</v>
      </c>
      <c r="LX18" s="262">
        <v>0</v>
      </c>
      <c r="LY18" s="263">
        <v>0</v>
      </c>
      <c r="LZ18" s="262">
        <v>0</v>
      </c>
      <c r="MA18" s="262">
        <v>0</v>
      </c>
      <c r="MB18" s="263">
        <v>0</v>
      </c>
      <c r="MC18" s="262">
        <v>0</v>
      </c>
      <c r="MD18" s="262">
        <v>0</v>
      </c>
      <c r="ME18" s="263">
        <v>0</v>
      </c>
      <c r="MF18" s="262">
        <v>242.977</v>
      </c>
      <c r="MG18" s="262">
        <v>41.384999999999998</v>
      </c>
      <c r="MH18" s="263">
        <v>4.8711368853449297</v>
      </c>
      <c r="MI18" s="262">
        <v>1244.277</v>
      </c>
      <c r="MJ18" s="262">
        <v>240.691</v>
      </c>
      <c r="MK18" s="263">
        <v>4.1696033503537704</v>
      </c>
      <c r="ML18" s="262">
        <v>3011.489</v>
      </c>
      <c r="MM18" s="262">
        <v>1134.193</v>
      </c>
      <c r="MN18" s="263">
        <v>1.6551821427217399</v>
      </c>
      <c r="MO18" s="262">
        <v>1444.0640000000001</v>
      </c>
      <c r="MP18" s="262">
        <v>430.983</v>
      </c>
      <c r="MQ18" s="263">
        <v>2.35062867908943</v>
      </c>
      <c r="MR18" s="262">
        <v>6640.0959999999995</v>
      </c>
      <c r="MS18" s="262">
        <v>2273.1990000000001</v>
      </c>
      <c r="MT18" s="263">
        <v>1.9210359497782601</v>
      </c>
      <c r="MU18" s="262">
        <v>13611.450999999999</v>
      </c>
      <c r="MV18" s="262">
        <v>5726.0010000000002</v>
      </c>
      <c r="MW18" s="264">
        <v>1.3771303916991999</v>
      </c>
      <c r="MX18" s="262">
        <v>314315.38799999998</v>
      </c>
      <c r="MY18" s="262">
        <v>329798.53700000001</v>
      </c>
      <c r="MZ18" s="263">
        <v>-4.69472943720185E-2</v>
      </c>
      <c r="NA18" s="262">
        <v>1887719.844</v>
      </c>
      <c r="NB18" s="262">
        <v>1795377.3959999999</v>
      </c>
      <c r="NC18" s="263">
        <v>5.1433446920816701E-2</v>
      </c>
      <c r="ND18" s="262">
        <v>3772853.7289999998</v>
      </c>
      <c r="NE18" s="262">
        <v>3496643.9589999998</v>
      </c>
      <c r="NF18" s="263">
        <v>7.8992820898755103E-2</v>
      </c>
      <c r="NG18" s="262">
        <v>0</v>
      </c>
      <c r="NH18" s="262">
        <v>0</v>
      </c>
      <c r="NI18" s="263">
        <v>0</v>
      </c>
      <c r="NJ18" s="262">
        <v>0</v>
      </c>
      <c r="NK18" s="262">
        <v>0</v>
      </c>
      <c r="NL18" s="263">
        <v>0</v>
      </c>
      <c r="NM18" s="262">
        <v>0</v>
      </c>
      <c r="NN18" s="262">
        <v>0</v>
      </c>
      <c r="NO18" s="263">
        <v>0</v>
      </c>
      <c r="NP18" s="262">
        <v>0</v>
      </c>
      <c r="NQ18" s="262">
        <v>0</v>
      </c>
      <c r="NR18" s="263">
        <v>0</v>
      </c>
      <c r="NS18" s="262">
        <v>0</v>
      </c>
      <c r="NT18" s="262">
        <v>0</v>
      </c>
      <c r="NU18" s="263">
        <v>0</v>
      </c>
      <c r="NV18" s="262">
        <v>0</v>
      </c>
      <c r="NW18" s="262">
        <v>0</v>
      </c>
      <c r="NX18" s="263">
        <v>0</v>
      </c>
      <c r="NY18" s="262">
        <v>253.75800000000001</v>
      </c>
      <c r="NZ18" s="262">
        <v>78.099000000000004</v>
      </c>
      <c r="OA18" s="263">
        <v>2.2491837283447902</v>
      </c>
      <c r="OB18" s="262">
        <v>1498.0350000000001</v>
      </c>
      <c r="OC18" s="262">
        <v>318.79000000000002</v>
      </c>
      <c r="OD18" s="263">
        <v>3.69912795257066</v>
      </c>
      <c r="OE18" s="262">
        <v>3187.1480000000001</v>
      </c>
      <c r="OF18" s="262">
        <v>1072.2260000000001</v>
      </c>
      <c r="OG18" s="263">
        <v>1.97245916439258</v>
      </c>
      <c r="OH18" s="262">
        <v>1280.53</v>
      </c>
      <c r="OI18" s="262">
        <v>497.96199999999999</v>
      </c>
      <c r="OJ18" s="263">
        <v>1.57154160357618</v>
      </c>
      <c r="OK18" s="262">
        <v>7920.6260000000002</v>
      </c>
      <c r="OL18" s="262">
        <v>2771.1610000000001</v>
      </c>
      <c r="OM18" s="263">
        <v>1.8582337872104899</v>
      </c>
      <c r="ON18" s="262">
        <v>14394.019</v>
      </c>
      <c r="OO18" s="262">
        <v>5558.8320000000003</v>
      </c>
      <c r="OP18" s="264">
        <v>1.5893962976395</v>
      </c>
      <c r="OQ18" s="262">
        <v>349977.79200000002</v>
      </c>
      <c r="OR18" s="262">
        <v>352355.58799999999</v>
      </c>
      <c r="OS18" s="263">
        <v>-6.74828520102848E-3</v>
      </c>
      <c r="OT18" s="262">
        <v>2237697.6359999999</v>
      </c>
      <c r="OU18" s="262">
        <v>2147732.9840000002</v>
      </c>
      <c r="OV18" s="263">
        <v>4.1888192186929803E-2</v>
      </c>
      <c r="OW18" s="262">
        <v>3770475.9330000002</v>
      </c>
      <c r="OX18" s="262">
        <v>3529547.3909999998</v>
      </c>
      <c r="OY18" s="263">
        <v>6.8260463824439205E-2</v>
      </c>
      <c r="OZ18" s="262">
        <v>0</v>
      </c>
      <c r="PA18" s="262">
        <v>0</v>
      </c>
      <c r="PB18" s="263">
        <v>0</v>
      </c>
      <c r="PC18" s="262">
        <v>0</v>
      </c>
      <c r="PD18" s="262">
        <v>0</v>
      </c>
      <c r="PE18" s="263">
        <v>0</v>
      </c>
      <c r="PF18" s="262">
        <v>0</v>
      </c>
      <c r="PG18" s="262">
        <v>0</v>
      </c>
      <c r="PH18" s="263">
        <v>0</v>
      </c>
      <c r="PI18" s="262">
        <v>0</v>
      </c>
      <c r="PJ18" s="262">
        <v>0</v>
      </c>
      <c r="PK18" s="263">
        <v>0</v>
      </c>
      <c r="PL18" s="262">
        <v>0</v>
      </c>
      <c r="PM18" s="262">
        <v>0</v>
      </c>
      <c r="PN18" s="263">
        <v>0</v>
      </c>
      <c r="PO18" s="262">
        <v>0</v>
      </c>
      <c r="PP18" s="262">
        <v>0</v>
      </c>
      <c r="PQ18" s="263">
        <v>0</v>
      </c>
      <c r="PR18" s="262">
        <v>135.33500000000001</v>
      </c>
      <c r="PS18" s="262">
        <v>184.02500000000001</v>
      </c>
      <c r="PT18" s="263">
        <v>-0.26458361635647298</v>
      </c>
      <c r="PU18" s="262">
        <v>1633.37</v>
      </c>
      <c r="PV18" s="262">
        <v>502.815</v>
      </c>
      <c r="PW18" s="263">
        <v>2.2484512196334601</v>
      </c>
      <c r="PX18" s="262">
        <v>3138.4580000000001</v>
      </c>
      <c r="PY18" s="262">
        <v>1153.963</v>
      </c>
      <c r="PZ18" s="263">
        <v>1.7197215162011299</v>
      </c>
      <c r="QA18" s="262">
        <v>1163.9580000000001</v>
      </c>
      <c r="QB18" s="262">
        <v>623.41999999999996</v>
      </c>
      <c r="QC18" s="263">
        <v>0.86705270924898203</v>
      </c>
      <c r="QD18" s="262">
        <v>9084.5840000000007</v>
      </c>
      <c r="QE18" s="262">
        <v>3394.5810000000001</v>
      </c>
      <c r="QF18" s="263">
        <v>1.67620186408868</v>
      </c>
      <c r="QG18" s="262">
        <v>14934.557000000001</v>
      </c>
      <c r="QH18" s="262">
        <v>5536.1790000000001</v>
      </c>
      <c r="QI18" s="264">
        <v>1.6976289964612801</v>
      </c>
      <c r="QJ18" s="262">
        <v>335559.56400000001</v>
      </c>
      <c r="QK18" s="262">
        <v>318107.864</v>
      </c>
      <c r="QL18" s="263">
        <v>5.48609511898141E-2</v>
      </c>
      <c r="QM18" s="262">
        <v>2573257.2000000002</v>
      </c>
      <c r="QN18" s="262">
        <v>2465840.8480000002</v>
      </c>
      <c r="QO18" s="263">
        <v>4.3561753828160903E-2</v>
      </c>
      <c r="QP18" s="262">
        <v>3787927.6329999999</v>
      </c>
      <c r="QQ18" s="262">
        <v>3507759.5580000002</v>
      </c>
      <c r="QR18" s="263">
        <v>7.9870946217232203E-2</v>
      </c>
      <c r="QS18" s="262">
        <v>0</v>
      </c>
      <c r="QT18" s="262">
        <v>0</v>
      </c>
      <c r="QU18" s="263">
        <v>0</v>
      </c>
      <c r="QV18" s="262">
        <v>0</v>
      </c>
      <c r="QW18" s="262">
        <v>0</v>
      </c>
      <c r="QX18" s="263">
        <v>0</v>
      </c>
      <c r="QY18" s="262">
        <v>0</v>
      </c>
      <c r="QZ18" s="262">
        <v>0</v>
      </c>
      <c r="RA18" s="263">
        <v>0</v>
      </c>
      <c r="RB18" s="262">
        <v>0</v>
      </c>
      <c r="RC18" s="262">
        <v>0</v>
      </c>
      <c r="RD18" s="263">
        <v>0</v>
      </c>
      <c r="RE18" s="262">
        <v>0</v>
      </c>
      <c r="RF18" s="262">
        <v>0</v>
      </c>
      <c r="RG18" s="263">
        <v>0</v>
      </c>
      <c r="RH18" s="262">
        <v>0</v>
      </c>
      <c r="RI18" s="262">
        <v>0</v>
      </c>
      <c r="RJ18" s="263">
        <v>0</v>
      </c>
      <c r="RK18" s="262">
        <v>62.7</v>
      </c>
      <c r="RL18" s="262">
        <v>289.92599999999999</v>
      </c>
      <c r="RM18" s="263">
        <v>-0.78373791933114001</v>
      </c>
      <c r="RN18" s="262">
        <v>1696.07</v>
      </c>
      <c r="RO18" s="262">
        <v>792.74099999999999</v>
      </c>
      <c r="RP18" s="263">
        <v>1.13950079534173</v>
      </c>
      <c r="RQ18" s="262">
        <v>2911.232</v>
      </c>
      <c r="RR18" s="262">
        <v>1351.8340000000001</v>
      </c>
      <c r="RS18" s="263">
        <v>1.1535425207532899</v>
      </c>
      <c r="RT18" s="262">
        <v>980.14499999999998</v>
      </c>
      <c r="RU18" s="262">
        <v>1328.914</v>
      </c>
      <c r="RV18" s="263">
        <v>-0.26244662935299101</v>
      </c>
      <c r="RW18" s="262">
        <v>10064.728999999999</v>
      </c>
      <c r="RX18" s="262">
        <v>4723.4949999999999</v>
      </c>
      <c r="RY18" s="263">
        <v>1.1307800685721101</v>
      </c>
      <c r="RZ18" s="262">
        <v>14585.788</v>
      </c>
      <c r="SA18" s="262">
        <v>6490.2659999999996</v>
      </c>
      <c r="SB18" s="264">
        <v>1.2473328519971301</v>
      </c>
      <c r="SC18" s="262">
        <v>330874.06099999999</v>
      </c>
      <c r="SD18" s="262">
        <v>293494.87599999999</v>
      </c>
      <c r="SE18" s="263">
        <v>0.127358901488965</v>
      </c>
      <c r="SF18" s="262">
        <v>2904131.2609999999</v>
      </c>
      <c r="SG18" s="262">
        <v>2759335.7239999999</v>
      </c>
      <c r="SH18" s="263">
        <v>5.2474780701965797E-2</v>
      </c>
      <c r="SI18" s="262">
        <v>3825306.818</v>
      </c>
      <c r="SJ18" s="262">
        <v>3516562.6839999999</v>
      </c>
      <c r="SK18" s="263">
        <v>8.7797136506269094E-2</v>
      </c>
      <c r="SL18" s="262">
        <v>0</v>
      </c>
      <c r="SM18" s="262">
        <v>0</v>
      </c>
      <c r="SN18" s="263">
        <v>0</v>
      </c>
      <c r="SO18" s="262">
        <v>0</v>
      </c>
      <c r="SP18" s="262">
        <v>0</v>
      </c>
      <c r="SQ18" s="263">
        <v>0</v>
      </c>
      <c r="SR18" s="262">
        <v>0</v>
      </c>
      <c r="SS18" s="262">
        <v>0</v>
      </c>
      <c r="ST18" s="263">
        <v>0</v>
      </c>
      <c r="SU18" s="262">
        <v>0</v>
      </c>
      <c r="SV18" s="262">
        <v>0</v>
      </c>
      <c r="SW18" s="263">
        <v>0</v>
      </c>
      <c r="SX18" s="262">
        <v>0</v>
      </c>
      <c r="SY18" s="262">
        <v>0</v>
      </c>
      <c r="SZ18" s="263">
        <v>0</v>
      </c>
      <c r="TA18" s="262">
        <v>0</v>
      </c>
      <c r="TB18" s="262">
        <v>0</v>
      </c>
      <c r="TC18" s="263">
        <v>0</v>
      </c>
      <c r="TD18" s="262">
        <v>163.19</v>
      </c>
      <c r="TE18" s="262">
        <v>364.81299999999999</v>
      </c>
      <c r="TF18" s="263">
        <v>-0.55267493208849505</v>
      </c>
      <c r="TG18" s="262">
        <v>1859.26</v>
      </c>
      <c r="TH18" s="262">
        <v>1157.5540000000001</v>
      </c>
      <c r="TI18" s="263">
        <v>0.60619720548674205</v>
      </c>
      <c r="TJ18" s="262">
        <v>2709.6089999999999</v>
      </c>
      <c r="TK18" s="262">
        <v>1575.366</v>
      </c>
      <c r="TL18" s="263">
        <v>0.71998697445546</v>
      </c>
      <c r="TM18" s="262">
        <v>360.74599999999998</v>
      </c>
      <c r="TN18" s="262">
        <v>1110.175</v>
      </c>
      <c r="TO18" s="263">
        <v>-0.67505483369739006</v>
      </c>
      <c r="TP18" s="262">
        <v>10425.475</v>
      </c>
      <c r="TQ18" s="262">
        <v>5833.67</v>
      </c>
      <c r="TR18" s="263">
        <v>0.78712114329401595</v>
      </c>
      <c r="TS18" s="262">
        <v>13836.359</v>
      </c>
      <c r="TT18" s="262">
        <v>7228.3239999999996</v>
      </c>
      <c r="TU18" s="264">
        <v>0.91418633143727401</v>
      </c>
      <c r="TV18" s="262">
        <v>328824.46500000003</v>
      </c>
      <c r="TW18" s="262">
        <v>275041.72200000001</v>
      </c>
      <c r="TX18" s="263">
        <v>0.195543943693023</v>
      </c>
      <c r="TY18" s="262">
        <v>3232955.7259999998</v>
      </c>
      <c r="TZ18" s="262">
        <v>3034377.446</v>
      </c>
      <c r="UA18" s="263">
        <v>6.5442840758578702E-2</v>
      </c>
      <c r="UB18" s="262">
        <v>3879089.5610000002</v>
      </c>
      <c r="UC18" s="262">
        <v>3528648.094</v>
      </c>
      <c r="UD18" s="263">
        <v>9.9313237722933906E-2</v>
      </c>
      <c r="UE18" s="262">
        <v>0</v>
      </c>
      <c r="UF18" s="262">
        <v>0</v>
      </c>
      <c r="UG18" s="263">
        <v>0</v>
      </c>
      <c r="UH18" s="262">
        <v>0</v>
      </c>
      <c r="UI18" s="262">
        <v>0</v>
      </c>
      <c r="UJ18" s="263">
        <v>0</v>
      </c>
      <c r="UK18" s="262">
        <v>0</v>
      </c>
      <c r="UL18" s="262">
        <v>0</v>
      </c>
      <c r="UM18" s="263">
        <v>0</v>
      </c>
      <c r="UN18" s="262">
        <v>0</v>
      </c>
      <c r="UO18" s="262">
        <v>0</v>
      </c>
      <c r="UP18" s="263">
        <v>0</v>
      </c>
      <c r="UQ18" s="262">
        <v>0</v>
      </c>
      <c r="UR18" s="262">
        <v>0</v>
      </c>
      <c r="US18" s="263">
        <v>0</v>
      </c>
      <c r="UT18" s="262">
        <v>0</v>
      </c>
      <c r="UU18" s="262">
        <v>0</v>
      </c>
      <c r="UV18" s="263">
        <v>0</v>
      </c>
      <c r="UW18" s="262">
        <v>786.101</v>
      </c>
      <c r="UX18" s="262">
        <v>349.95</v>
      </c>
      <c r="UY18" s="263">
        <v>1.2463237605372199</v>
      </c>
      <c r="UZ18" s="262">
        <v>2645.3609999999999</v>
      </c>
      <c r="VA18" s="262">
        <v>1507.5039999999999</v>
      </c>
      <c r="VB18" s="263">
        <v>0.75479534382661695</v>
      </c>
      <c r="VC18" s="262">
        <v>3145.76</v>
      </c>
      <c r="VD18" s="262">
        <v>1777.3009999999999</v>
      </c>
      <c r="VE18" s="263">
        <v>0.76996468240326199</v>
      </c>
      <c r="VF18" s="262">
        <v>370.61399999999998</v>
      </c>
      <c r="VG18" s="262">
        <v>1102.847</v>
      </c>
      <c r="VH18" s="263">
        <v>-0.66394794563525095</v>
      </c>
      <c r="VI18" s="262">
        <v>10796.089</v>
      </c>
      <c r="VJ18" s="262">
        <v>6936.5169999999998</v>
      </c>
      <c r="VK18" s="263">
        <v>0.55641354299283097</v>
      </c>
      <c r="VL18" s="262">
        <v>13104.126</v>
      </c>
      <c r="VM18" s="262">
        <v>7806.4380000000001</v>
      </c>
      <c r="VN18" s="264">
        <v>0.67863063794268297</v>
      </c>
    </row>
    <row r="19" spans="1:586">
      <c r="A19" s="268" t="s">
        <v>9</v>
      </c>
      <c r="B19" s="262">
        <v>1224063.7609999999</v>
      </c>
      <c r="C19" s="262">
        <v>1267523.233</v>
      </c>
      <c r="D19" s="263">
        <v>-3.4286923401900302E-2</v>
      </c>
      <c r="E19" s="262">
        <v>13324090.512</v>
      </c>
      <c r="F19" s="262">
        <v>15124773.642000001</v>
      </c>
      <c r="G19" s="263">
        <v>-0.119055211841299</v>
      </c>
      <c r="H19" s="262">
        <v>15491993.414000001</v>
      </c>
      <c r="I19" s="262">
        <v>17670347.620000001</v>
      </c>
      <c r="J19" s="263">
        <v>-0.123277382700409</v>
      </c>
      <c r="K19" s="262">
        <v>0</v>
      </c>
      <c r="L19" s="262">
        <v>0</v>
      </c>
      <c r="M19" s="263">
        <v>0</v>
      </c>
      <c r="N19" s="262">
        <v>0</v>
      </c>
      <c r="O19" s="262">
        <v>0</v>
      </c>
      <c r="P19" s="263">
        <v>0</v>
      </c>
      <c r="Q19" s="262">
        <v>0</v>
      </c>
      <c r="R19" s="262">
        <v>0</v>
      </c>
      <c r="S19" s="263">
        <v>0</v>
      </c>
      <c r="T19" s="262">
        <v>0</v>
      </c>
      <c r="U19" s="262">
        <v>0</v>
      </c>
      <c r="V19" s="263">
        <v>0</v>
      </c>
      <c r="W19" s="262">
        <v>0</v>
      </c>
      <c r="X19" s="262">
        <v>0</v>
      </c>
      <c r="Y19" s="263">
        <v>0</v>
      </c>
      <c r="Z19" s="262">
        <v>0</v>
      </c>
      <c r="AA19" s="262">
        <v>0</v>
      </c>
      <c r="AB19" s="263">
        <v>0</v>
      </c>
      <c r="AC19" s="262">
        <v>2285.203</v>
      </c>
      <c r="AD19" s="262">
        <v>1621.069</v>
      </c>
      <c r="AE19" s="263">
        <v>0.40968891515413602</v>
      </c>
      <c r="AF19" s="262">
        <v>31538.066999999999</v>
      </c>
      <c r="AG19" s="262">
        <v>31855.481</v>
      </c>
      <c r="AH19" s="263">
        <v>-9.9641879524593295E-3</v>
      </c>
      <c r="AI19" s="262">
        <v>36691.144999999997</v>
      </c>
      <c r="AJ19" s="262">
        <v>37270.862999999998</v>
      </c>
      <c r="AK19" s="263">
        <v>-1.5554187731043201E-2</v>
      </c>
      <c r="AL19" s="262">
        <v>0</v>
      </c>
      <c r="AM19" s="262">
        <v>0</v>
      </c>
      <c r="AN19" s="263">
        <v>0</v>
      </c>
      <c r="AO19" s="262">
        <v>0</v>
      </c>
      <c r="AP19" s="262">
        <v>0</v>
      </c>
      <c r="AQ19" s="263">
        <v>0</v>
      </c>
      <c r="AR19" s="262">
        <v>0</v>
      </c>
      <c r="AS19" s="262">
        <v>0</v>
      </c>
      <c r="AT19" s="264">
        <v>0</v>
      </c>
      <c r="AU19" s="262">
        <v>1543212.72</v>
      </c>
      <c r="AV19" s="262">
        <v>995962.38300000003</v>
      </c>
      <c r="AW19" s="263">
        <v>0.54946888189852405</v>
      </c>
      <c r="AX19" s="262">
        <v>14867303.232000001</v>
      </c>
      <c r="AY19" s="262">
        <v>16120736.025</v>
      </c>
      <c r="AZ19" s="263">
        <v>-7.7752826611401496E-2</v>
      </c>
      <c r="BA19" s="262">
        <v>16039243.751</v>
      </c>
      <c r="BB19" s="262">
        <v>17217227.431000002</v>
      </c>
      <c r="BC19" s="263">
        <v>-6.8418895244365299E-2</v>
      </c>
      <c r="BD19" s="262">
        <v>0</v>
      </c>
      <c r="BE19" s="262">
        <v>0</v>
      </c>
      <c r="BF19" s="263">
        <v>0</v>
      </c>
      <c r="BG19" s="262">
        <v>0</v>
      </c>
      <c r="BH19" s="262">
        <v>0</v>
      </c>
      <c r="BI19" s="263">
        <v>0</v>
      </c>
      <c r="BJ19" s="262">
        <v>0</v>
      </c>
      <c r="BK19" s="262">
        <v>0</v>
      </c>
      <c r="BL19" s="263">
        <v>0</v>
      </c>
      <c r="BM19" s="262">
        <v>0</v>
      </c>
      <c r="BN19" s="262">
        <v>0</v>
      </c>
      <c r="BO19" s="263">
        <v>0</v>
      </c>
      <c r="BP19" s="262">
        <v>0</v>
      </c>
      <c r="BQ19" s="262">
        <v>0</v>
      </c>
      <c r="BR19" s="263">
        <v>0</v>
      </c>
      <c r="BS19" s="262">
        <v>0</v>
      </c>
      <c r="BT19" s="262">
        <v>0</v>
      </c>
      <c r="BU19" s="263">
        <v>0</v>
      </c>
      <c r="BV19" s="262">
        <v>1879.075</v>
      </c>
      <c r="BW19" s="262">
        <v>1996.5530000000001</v>
      </c>
      <c r="BX19" s="263">
        <v>-5.8840411449132601E-2</v>
      </c>
      <c r="BY19" s="262">
        <v>33417.142</v>
      </c>
      <c r="BZ19" s="262">
        <v>33852.034</v>
      </c>
      <c r="CA19" s="263">
        <v>-1.28468499115888E-2</v>
      </c>
      <c r="CB19" s="262">
        <v>36573.667000000001</v>
      </c>
      <c r="CC19" s="262">
        <v>36725.273000000001</v>
      </c>
      <c r="CD19" s="263">
        <v>-4.1281109060782098E-3</v>
      </c>
      <c r="CE19" s="262">
        <v>0</v>
      </c>
      <c r="CF19" s="262">
        <v>0</v>
      </c>
      <c r="CG19" s="263">
        <v>0</v>
      </c>
      <c r="CH19" s="262">
        <v>0</v>
      </c>
      <c r="CI19" s="262">
        <v>0</v>
      </c>
      <c r="CJ19" s="263">
        <v>0</v>
      </c>
      <c r="CK19" s="262">
        <v>0</v>
      </c>
      <c r="CL19" s="262">
        <v>0</v>
      </c>
      <c r="CM19" s="264">
        <v>0</v>
      </c>
      <c r="CN19" s="262">
        <v>1506837.5819999999</v>
      </c>
      <c r="CO19" s="262">
        <v>1171940.5190000001</v>
      </c>
      <c r="CP19" s="263">
        <v>0.28576285022192299</v>
      </c>
      <c r="CQ19" s="262">
        <v>16374140.813999999</v>
      </c>
      <c r="CR19" s="262">
        <v>17292676.544</v>
      </c>
      <c r="CS19" s="263">
        <v>-5.3117036432321602E-2</v>
      </c>
      <c r="CT19" s="262">
        <v>16374140.813999999</v>
      </c>
      <c r="CU19" s="262">
        <v>17292676.544</v>
      </c>
      <c r="CV19" s="263">
        <v>-5.3117036432321602E-2</v>
      </c>
      <c r="CW19" s="262">
        <v>0</v>
      </c>
      <c r="CX19" s="262">
        <v>0</v>
      </c>
      <c r="CY19" s="263">
        <v>0</v>
      </c>
      <c r="CZ19" s="262">
        <v>0</v>
      </c>
      <c r="DA19" s="262">
        <v>0</v>
      </c>
      <c r="DB19" s="263">
        <v>0</v>
      </c>
      <c r="DC19" s="262">
        <v>0</v>
      </c>
      <c r="DD19" s="262">
        <v>0</v>
      </c>
      <c r="DE19" s="263">
        <v>0</v>
      </c>
      <c r="DF19" s="262">
        <v>0</v>
      </c>
      <c r="DG19" s="262">
        <v>0</v>
      </c>
      <c r="DH19" s="263">
        <v>0</v>
      </c>
      <c r="DI19" s="262">
        <v>0</v>
      </c>
      <c r="DJ19" s="262">
        <v>0</v>
      </c>
      <c r="DK19" s="263">
        <v>0</v>
      </c>
      <c r="DL19" s="262">
        <v>0</v>
      </c>
      <c r="DM19" s="262">
        <v>0</v>
      </c>
      <c r="DN19" s="263">
        <v>0</v>
      </c>
      <c r="DO19" s="262">
        <v>3266.8629999999998</v>
      </c>
      <c r="DP19" s="262">
        <v>3156.5250000000001</v>
      </c>
      <c r="DQ19" s="263">
        <v>3.4955528627208902E-2</v>
      </c>
      <c r="DR19" s="262">
        <v>36684.004999999997</v>
      </c>
      <c r="DS19" s="262">
        <v>37008.559000000001</v>
      </c>
      <c r="DT19" s="263">
        <v>-8.7697010845517193E-3</v>
      </c>
      <c r="DU19" s="262">
        <v>36684.004999999997</v>
      </c>
      <c r="DV19" s="262">
        <v>37008.559000000001</v>
      </c>
      <c r="DW19" s="263">
        <v>-8.7697010845517193E-3</v>
      </c>
      <c r="DX19" s="262">
        <v>0</v>
      </c>
      <c r="DY19" s="262">
        <v>0</v>
      </c>
      <c r="DZ19" s="263">
        <v>0</v>
      </c>
      <c r="EA19" s="262">
        <v>0</v>
      </c>
      <c r="EB19" s="262">
        <v>0</v>
      </c>
      <c r="EC19" s="263">
        <v>0</v>
      </c>
      <c r="ED19" s="262">
        <v>0</v>
      </c>
      <c r="EE19" s="262">
        <v>0</v>
      </c>
      <c r="EF19" s="264">
        <v>0</v>
      </c>
      <c r="EG19" s="262">
        <v>1428380.8419999999</v>
      </c>
      <c r="EH19" s="262">
        <v>1696480.54</v>
      </c>
      <c r="EI19" s="263">
        <v>-0.158032875520046</v>
      </c>
      <c r="EJ19" s="262">
        <v>1428380.8419999999</v>
      </c>
      <c r="EK19" s="262">
        <v>1696480.54</v>
      </c>
      <c r="EL19" s="263">
        <v>-0.158032875520046</v>
      </c>
      <c r="EM19" s="262">
        <v>16106041.116</v>
      </c>
      <c r="EN19" s="262">
        <v>17780606.333999999</v>
      </c>
      <c r="EO19" s="263">
        <v>-9.4179308992286798E-2</v>
      </c>
      <c r="EP19" s="262">
        <v>0</v>
      </c>
      <c r="EQ19" s="262">
        <v>0</v>
      </c>
      <c r="ER19" s="263">
        <v>0</v>
      </c>
      <c r="ES19" s="262">
        <v>0</v>
      </c>
      <c r="ET19" s="262">
        <v>0</v>
      </c>
      <c r="EU19" s="263">
        <v>0</v>
      </c>
      <c r="EV19" s="262">
        <v>0</v>
      </c>
      <c r="EW19" s="262">
        <v>0</v>
      </c>
      <c r="EX19" s="263">
        <v>0</v>
      </c>
      <c r="EY19" s="262">
        <v>0</v>
      </c>
      <c r="EZ19" s="262">
        <v>0</v>
      </c>
      <c r="FA19" s="263">
        <v>0</v>
      </c>
      <c r="FB19" s="262">
        <v>0</v>
      </c>
      <c r="FC19" s="262">
        <v>0</v>
      </c>
      <c r="FD19" s="263">
        <v>0</v>
      </c>
      <c r="FE19" s="262">
        <v>0</v>
      </c>
      <c r="FF19" s="262">
        <v>0</v>
      </c>
      <c r="FG19" s="263">
        <v>0</v>
      </c>
      <c r="FH19" s="262">
        <v>3686.3090000000002</v>
      </c>
      <c r="FI19" s="262">
        <v>3937.018</v>
      </c>
      <c r="FJ19" s="263">
        <v>-6.3679922215240006E-2</v>
      </c>
      <c r="FK19" s="262">
        <v>3686.3090000000002</v>
      </c>
      <c r="FL19" s="262">
        <v>3937.018</v>
      </c>
      <c r="FM19" s="263">
        <v>-6.3679922215240006E-2</v>
      </c>
      <c r="FN19" s="262">
        <v>36433.296000000002</v>
      </c>
      <c r="FO19" s="262">
        <v>37907.165000000001</v>
      </c>
      <c r="FP19" s="263">
        <v>-3.8881013655334001E-2</v>
      </c>
      <c r="FQ19" s="262">
        <v>0</v>
      </c>
      <c r="FR19" s="262">
        <v>0</v>
      </c>
      <c r="FS19" s="263">
        <v>0</v>
      </c>
      <c r="FT19" s="262">
        <v>0</v>
      </c>
      <c r="FU19" s="262">
        <v>0</v>
      </c>
      <c r="FV19" s="263">
        <v>0</v>
      </c>
      <c r="FW19" s="262">
        <v>0</v>
      </c>
      <c r="FX19" s="262">
        <v>0</v>
      </c>
      <c r="FY19" s="264">
        <v>0</v>
      </c>
      <c r="FZ19" s="262">
        <v>1374131.0619999999</v>
      </c>
      <c r="GA19" s="262">
        <v>1369532.702</v>
      </c>
      <c r="GB19" s="263">
        <v>3.35761241282128E-3</v>
      </c>
      <c r="GC19" s="262">
        <v>2802511.9040000001</v>
      </c>
      <c r="GD19" s="262">
        <v>3066013.2420000001</v>
      </c>
      <c r="GE19" s="263">
        <v>-8.5942661430945005E-2</v>
      </c>
      <c r="GF19" s="262">
        <v>16110639.476</v>
      </c>
      <c r="GG19" s="262">
        <v>17432922.098000001</v>
      </c>
      <c r="GH19" s="263">
        <v>-7.5849740770177601E-2</v>
      </c>
      <c r="GI19" s="262">
        <v>0</v>
      </c>
      <c r="GJ19" s="262">
        <v>0</v>
      </c>
      <c r="GK19" s="263">
        <v>0</v>
      </c>
      <c r="GL19" s="262">
        <v>0</v>
      </c>
      <c r="GM19" s="262">
        <v>0</v>
      </c>
      <c r="GN19" s="263">
        <v>0</v>
      </c>
      <c r="GO19" s="262">
        <v>0</v>
      </c>
      <c r="GP19" s="262">
        <v>0</v>
      </c>
      <c r="GQ19" s="263">
        <v>0</v>
      </c>
      <c r="GR19" s="262">
        <v>0</v>
      </c>
      <c r="GS19" s="262">
        <v>0</v>
      </c>
      <c r="GT19" s="263">
        <v>0</v>
      </c>
      <c r="GU19" s="262">
        <v>0</v>
      </c>
      <c r="GV19" s="262">
        <v>0</v>
      </c>
      <c r="GW19" s="263">
        <v>0</v>
      </c>
      <c r="GX19" s="262">
        <v>0</v>
      </c>
      <c r="GY19" s="262">
        <v>0</v>
      </c>
      <c r="GZ19" s="263">
        <v>0</v>
      </c>
      <c r="HA19" s="262">
        <v>3272.4650000000001</v>
      </c>
      <c r="HB19" s="262">
        <v>3739.7489999999998</v>
      </c>
      <c r="HC19" s="263">
        <v>-0.124950631713519</v>
      </c>
      <c r="HD19" s="262">
        <v>6958.7740000000003</v>
      </c>
      <c r="HE19" s="262">
        <v>7676.7669999999998</v>
      </c>
      <c r="HF19" s="263">
        <v>-9.35280437715513E-2</v>
      </c>
      <c r="HG19" s="262">
        <v>35966.012000000002</v>
      </c>
      <c r="HH19" s="262">
        <v>38619.088000000003</v>
      </c>
      <c r="HI19" s="263">
        <v>-6.8698566884852194E-2</v>
      </c>
      <c r="HJ19" s="262">
        <v>0</v>
      </c>
      <c r="HK19" s="262">
        <v>0</v>
      </c>
      <c r="HL19" s="263">
        <v>0</v>
      </c>
      <c r="HM19" s="262">
        <v>0</v>
      </c>
      <c r="HN19" s="262">
        <v>0</v>
      </c>
      <c r="HO19" s="263">
        <v>0</v>
      </c>
      <c r="HP19" s="262">
        <v>0</v>
      </c>
      <c r="HQ19" s="262">
        <v>0</v>
      </c>
      <c r="HR19" s="264">
        <v>0</v>
      </c>
      <c r="HS19" s="262">
        <v>1152948.8689999999</v>
      </c>
      <c r="HT19" s="262">
        <v>1170906.9339999999</v>
      </c>
      <c r="HU19" s="263">
        <v>-1.5336885006439101E-2</v>
      </c>
      <c r="HV19" s="262">
        <v>3955460.773</v>
      </c>
      <c r="HW19" s="262">
        <v>4236920.176</v>
      </c>
      <c r="HX19" s="263">
        <v>-6.6430187803472096E-2</v>
      </c>
      <c r="HY19" s="262">
        <v>16092681.411</v>
      </c>
      <c r="HZ19" s="262">
        <v>16863210.197000001</v>
      </c>
      <c r="IA19" s="263">
        <v>-4.5692888661085403E-2</v>
      </c>
      <c r="IB19" s="262">
        <v>0</v>
      </c>
      <c r="IC19" s="262">
        <v>0</v>
      </c>
      <c r="ID19" s="263">
        <v>0</v>
      </c>
      <c r="IE19" s="262">
        <v>0</v>
      </c>
      <c r="IF19" s="262">
        <v>0</v>
      </c>
      <c r="IG19" s="263">
        <v>0</v>
      </c>
      <c r="IH19" s="262">
        <v>0</v>
      </c>
      <c r="II19" s="262">
        <v>0</v>
      </c>
      <c r="IJ19" s="263">
        <v>0</v>
      </c>
      <c r="IK19" s="262">
        <v>0</v>
      </c>
      <c r="IL19" s="262">
        <v>0</v>
      </c>
      <c r="IM19" s="263">
        <v>0</v>
      </c>
      <c r="IN19" s="262">
        <v>0</v>
      </c>
      <c r="IO19" s="262">
        <v>0</v>
      </c>
      <c r="IP19" s="263">
        <v>0</v>
      </c>
      <c r="IQ19" s="262">
        <v>0</v>
      </c>
      <c r="IR19" s="262">
        <v>0</v>
      </c>
      <c r="IS19" s="263">
        <v>0</v>
      </c>
      <c r="IT19" s="262">
        <v>2608.7359999999999</v>
      </c>
      <c r="IU19" s="262">
        <v>3485.1179999999999</v>
      </c>
      <c r="IV19" s="263">
        <v>-0.25146408242131302</v>
      </c>
      <c r="IW19" s="262">
        <v>9567.51</v>
      </c>
      <c r="IX19" s="262">
        <v>11161.885</v>
      </c>
      <c r="IY19" s="263">
        <v>-0.14284101654872799</v>
      </c>
      <c r="IZ19" s="262">
        <v>35089.629999999997</v>
      </c>
      <c r="JA19" s="262">
        <v>38577.936999999998</v>
      </c>
      <c r="JB19" s="263">
        <v>-9.0422331292624794E-2</v>
      </c>
      <c r="JC19" s="262">
        <v>0</v>
      </c>
      <c r="JD19" s="262">
        <v>0</v>
      </c>
      <c r="JE19" s="263">
        <v>0</v>
      </c>
      <c r="JF19" s="262">
        <v>0</v>
      </c>
      <c r="JG19" s="262">
        <v>0</v>
      </c>
      <c r="JH19" s="263">
        <v>0</v>
      </c>
      <c r="JI19" s="262">
        <v>0</v>
      </c>
      <c r="JJ19" s="262">
        <v>0</v>
      </c>
      <c r="JK19" s="264">
        <v>0</v>
      </c>
      <c r="JL19" s="262">
        <v>1135329.423</v>
      </c>
      <c r="JM19" s="262">
        <v>905964.68900000001</v>
      </c>
      <c r="JN19" s="263">
        <v>0.25317182533148402</v>
      </c>
      <c r="JO19" s="262">
        <v>5090790.1960000005</v>
      </c>
      <c r="JP19" s="262">
        <v>5142884.8650000002</v>
      </c>
      <c r="JQ19" s="263">
        <v>-1.01294643701886E-2</v>
      </c>
      <c r="JR19" s="262">
        <v>16322046.145</v>
      </c>
      <c r="JS19" s="262">
        <v>16198143.078</v>
      </c>
      <c r="JT19" s="263">
        <v>7.6492142589038104E-3</v>
      </c>
      <c r="JU19" s="262">
        <v>0</v>
      </c>
      <c r="JV19" s="262">
        <v>0</v>
      </c>
      <c r="JW19" s="263">
        <v>0</v>
      </c>
      <c r="JX19" s="262">
        <v>0</v>
      </c>
      <c r="JY19" s="262">
        <v>0</v>
      </c>
      <c r="JZ19" s="263">
        <v>0</v>
      </c>
      <c r="KA19" s="262">
        <v>0</v>
      </c>
      <c r="KB19" s="262">
        <v>0</v>
      </c>
      <c r="KC19" s="263">
        <v>0</v>
      </c>
      <c r="KD19" s="262">
        <v>0</v>
      </c>
      <c r="KE19" s="262">
        <v>0</v>
      </c>
      <c r="KF19" s="263">
        <v>0</v>
      </c>
      <c r="KG19" s="262">
        <v>0</v>
      </c>
      <c r="KH19" s="262">
        <v>0</v>
      </c>
      <c r="KI19" s="263">
        <v>0</v>
      </c>
      <c r="KJ19" s="262">
        <v>0</v>
      </c>
      <c r="KK19" s="262">
        <v>0</v>
      </c>
      <c r="KL19" s="263">
        <v>0</v>
      </c>
      <c r="KM19" s="262">
        <v>2443.7060000000001</v>
      </c>
      <c r="KN19" s="262">
        <v>1909.5409999999999</v>
      </c>
      <c r="KO19" s="263">
        <v>0.279734763485047</v>
      </c>
      <c r="KP19" s="262">
        <v>12011.216</v>
      </c>
      <c r="KQ19" s="262">
        <v>13071.425999999999</v>
      </c>
      <c r="KR19" s="263">
        <v>-8.1108977704498306E-2</v>
      </c>
      <c r="KS19" s="262">
        <v>35623.794999999998</v>
      </c>
      <c r="KT19" s="262">
        <v>36891.006999999998</v>
      </c>
      <c r="KU19" s="263">
        <v>-3.4350160189446699E-2</v>
      </c>
      <c r="KV19" s="262">
        <v>0</v>
      </c>
      <c r="KW19" s="262">
        <v>0</v>
      </c>
      <c r="KX19" s="263">
        <v>0</v>
      </c>
      <c r="KY19" s="262">
        <v>0</v>
      </c>
      <c r="KZ19" s="262">
        <v>0</v>
      </c>
      <c r="LA19" s="263">
        <v>0</v>
      </c>
      <c r="LB19" s="262">
        <v>0</v>
      </c>
      <c r="LC19" s="262">
        <v>0</v>
      </c>
      <c r="LD19" s="264">
        <v>0</v>
      </c>
      <c r="LE19" s="262">
        <v>1158463.0870000001</v>
      </c>
      <c r="LF19" s="262">
        <v>1326339.0819999999</v>
      </c>
      <c r="LG19" s="263">
        <v>-0.126570948016444</v>
      </c>
      <c r="LH19" s="262">
        <v>6249253.2829999998</v>
      </c>
      <c r="LI19" s="262">
        <v>6469223.9469999997</v>
      </c>
      <c r="LJ19" s="263">
        <v>-3.40026355250862E-2</v>
      </c>
      <c r="LK19" s="262">
        <v>16154170.15</v>
      </c>
      <c r="LL19" s="262">
        <v>15832442.602</v>
      </c>
      <c r="LM19" s="263">
        <v>2.0320777790747001E-2</v>
      </c>
      <c r="LN19" s="262">
        <v>0</v>
      </c>
      <c r="LO19" s="262">
        <v>0</v>
      </c>
      <c r="LP19" s="263">
        <v>0</v>
      </c>
      <c r="LQ19" s="262">
        <v>0</v>
      </c>
      <c r="LR19" s="262">
        <v>0</v>
      </c>
      <c r="LS19" s="263">
        <v>0</v>
      </c>
      <c r="LT19" s="262">
        <v>0</v>
      </c>
      <c r="LU19" s="262">
        <v>0</v>
      </c>
      <c r="LV19" s="263">
        <v>0</v>
      </c>
      <c r="LW19" s="262">
        <v>0</v>
      </c>
      <c r="LX19" s="262">
        <v>0</v>
      </c>
      <c r="LY19" s="263">
        <v>0</v>
      </c>
      <c r="LZ19" s="262">
        <v>0</v>
      </c>
      <c r="MA19" s="262">
        <v>0</v>
      </c>
      <c r="MB19" s="263">
        <v>0</v>
      </c>
      <c r="MC19" s="262">
        <v>0</v>
      </c>
      <c r="MD19" s="262">
        <v>0</v>
      </c>
      <c r="ME19" s="263">
        <v>0</v>
      </c>
      <c r="MF19" s="262">
        <v>3266.893</v>
      </c>
      <c r="MG19" s="262">
        <v>3539.7620000000002</v>
      </c>
      <c r="MH19" s="263">
        <v>-7.7086821091361502E-2</v>
      </c>
      <c r="MI19" s="262">
        <v>15278.109</v>
      </c>
      <c r="MJ19" s="262">
        <v>16611.187999999998</v>
      </c>
      <c r="MK19" s="263">
        <v>-8.0251876024761207E-2</v>
      </c>
      <c r="ML19" s="262">
        <v>35350.925999999999</v>
      </c>
      <c r="MM19" s="262">
        <v>36967.709000000003</v>
      </c>
      <c r="MN19" s="263">
        <v>-4.3735006678396103E-2</v>
      </c>
      <c r="MO19" s="262">
        <v>0</v>
      </c>
      <c r="MP19" s="262">
        <v>0</v>
      </c>
      <c r="MQ19" s="263">
        <v>0</v>
      </c>
      <c r="MR19" s="262">
        <v>0</v>
      </c>
      <c r="MS19" s="262">
        <v>0</v>
      </c>
      <c r="MT19" s="263">
        <v>0</v>
      </c>
      <c r="MU19" s="262">
        <v>0</v>
      </c>
      <c r="MV19" s="262">
        <v>0</v>
      </c>
      <c r="MW19" s="264">
        <v>0</v>
      </c>
      <c r="MX19" s="262">
        <v>1365643.943</v>
      </c>
      <c r="MY19" s="262">
        <v>1441042.9339999999</v>
      </c>
      <c r="MZ19" s="263">
        <v>-5.2322515326250603E-2</v>
      </c>
      <c r="NA19" s="262">
        <v>7614897.2259999998</v>
      </c>
      <c r="NB19" s="262">
        <v>7910266.8810000001</v>
      </c>
      <c r="NC19" s="263">
        <v>-3.7340036618671003E-2</v>
      </c>
      <c r="ND19" s="262">
        <v>16078771.159</v>
      </c>
      <c r="NE19" s="262">
        <v>15546855.966</v>
      </c>
      <c r="NF19" s="263">
        <v>3.4213682442499303E-2</v>
      </c>
      <c r="NG19" s="262">
        <v>0</v>
      </c>
      <c r="NH19" s="262">
        <v>0</v>
      </c>
      <c r="NI19" s="263">
        <v>0</v>
      </c>
      <c r="NJ19" s="262">
        <v>0</v>
      </c>
      <c r="NK19" s="262">
        <v>0</v>
      </c>
      <c r="NL19" s="263">
        <v>0</v>
      </c>
      <c r="NM19" s="262">
        <v>0</v>
      </c>
      <c r="NN19" s="262">
        <v>0</v>
      </c>
      <c r="NO19" s="263">
        <v>0</v>
      </c>
      <c r="NP19" s="262">
        <v>0</v>
      </c>
      <c r="NQ19" s="262">
        <v>0</v>
      </c>
      <c r="NR19" s="263">
        <v>0</v>
      </c>
      <c r="NS19" s="262">
        <v>0</v>
      </c>
      <c r="NT19" s="262">
        <v>0</v>
      </c>
      <c r="NU19" s="263">
        <v>0</v>
      </c>
      <c r="NV19" s="262">
        <v>0</v>
      </c>
      <c r="NW19" s="262">
        <v>0</v>
      </c>
      <c r="NX19" s="263">
        <v>0</v>
      </c>
      <c r="NY19" s="262">
        <v>4120.8810000000003</v>
      </c>
      <c r="NZ19" s="262">
        <v>3460.9560000000001</v>
      </c>
      <c r="OA19" s="263">
        <v>0.19067708459743499</v>
      </c>
      <c r="OB19" s="262">
        <v>19398.990000000002</v>
      </c>
      <c r="OC19" s="262">
        <v>20072.144</v>
      </c>
      <c r="OD19" s="263">
        <v>-3.3536726320815703E-2</v>
      </c>
      <c r="OE19" s="262">
        <v>36010.851000000002</v>
      </c>
      <c r="OF19" s="262">
        <v>36695.716</v>
      </c>
      <c r="OG19" s="263">
        <v>-1.8663350239575799E-2</v>
      </c>
      <c r="OH19" s="262">
        <v>0</v>
      </c>
      <c r="OI19" s="262">
        <v>0</v>
      </c>
      <c r="OJ19" s="263">
        <v>0</v>
      </c>
      <c r="OK19" s="262">
        <v>0</v>
      </c>
      <c r="OL19" s="262">
        <v>0</v>
      </c>
      <c r="OM19" s="263">
        <v>0</v>
      </c>
      <c r="ON19" s="262">
        <v>0</v>
      </c>
      <c r="OO19" s="262">
        <v>0</v>
      </c>
      <c r="OP19" s="264">
        <v>0</v>
      </c>
      <c r="OQ19" s="262">
        <v>1299381.5290000001</v>
      </c>
      <c r="OR19" s="262">
        <v>1476158.2150000001</v>
      </c>
      <c r="OS19" s="263">
        <v>-0.11975456573941801</v>
      </c>
      <c r="OT19" s="262">
        <v>8914278.7550000008</v>
      </c>
      <c r="OU19" s="262">
        <v>9386425.0960000008</v>
      </c>
      <c r="OV19" s="263">
        <v>-5.0300975735821499E-2</v>
      </c>
      <c r="OW19" s="262">
        <v>15901994.472999999</v>
      </c>
      <c r="OX19" s="262">
        <v>15550252.682</v>
      </c>
      <c r="OY19" s="263">
        <v>2.2619683306314101E-2</v>
      </c>
      <c r="OZ19" s="262">
        <v>0</v>
      </c>
      <c r="PA19" s="262">
        <v>0</v>
      </c>
      <c r="PB19" s="263">
        <v>0</v>
      </c>
      <c r="PC19" s="262">
        <v>0</v>
      </c>
      <c r="PD19" s="262">
        <v>0</v>
      </c>
      <c r="PE19" s="263">
        <v>0</v>
      </c>
      <c r="PF19" s="262">
        <v>0</v>
      </c>
      <c r="PG19" s="262">
        <v>0</v>
      </c>
      <c r="PH19" s="263">
        <v>0</v>
      </c>
      <c r="PI19" s="262">
        <v>0</v>
      </c>
      <c r="PJ19" s="262">
        <v>0</v>
      </c>
      <c r="PK19" s="263">
        <v>0</v>
      </c>
      <c r="PL19" s="262">
        <v>0</v>
      </c>
      <c r="PM19" s="262">
        <v>0</v>
      </c>
      <c r="PN19" s="263">
        <v>0</v>
      </c>
      <c r="PO19" s="262">
        <v>0</v>
      </c>
      <c r="PP19" s="262">
        <v>0</v>
      </c>
      <c r="PQ19" s="263">
        <v>0</v>
      </c>
      <c r="PR19" s="262">
        <v>3573.1179999999999</v>
      </c>
      <c r="PS19" s="262">
        <v>3277.4670000000001</v>
      </c>
      <c r="PT19" s="263">
        <v>9.0207163031694806E-2</v>
      </c>
      <c r="PU19" s="262">
        <v>22972.108</v>
      </c>
      <c r="PV19" s="262">
        <v>23349.611000000001</v>
      </c>
      <c r="PW19" s="263">
        <v>-1.6167421375885001E-2</v>
      </c>
      <c r="PX19" s="262">
        <v>36306.502</v>
      </c>
      <c r="PY19" s="262">
        <v>36793.629999999997</v>
      </c>
      <c r="PZ19" s="263">
        <v>-1.3239465635763699E-2</v>
      </c>
      <c r="QA19" s="262">
        <v>0</v>
      </c>
      <c r="QB19" s="262">
        <v>0</v>
      </c>
      <c r="QC19" s="263">
        <v>0</v>
      </c>
      <c r="QD19" s="262">
        <v>0</v>
      </c>
      <c r="QE19" s="262">
        <v>0</v>
      </c>
      <c r="QF19" s="263">
        <v>0</v>
      </c>
      <c r="QG19" s="262">
        <v>0</v>
      </c>
      <c r="QH19" s="262">
        <v>0</v>
      </c>
      <c r="QI19" s="264">
        <v>0</v>
      </c>
      <c r="QJ19" s="262">
        <v>1208567.993</v>
      </c>
      <c r="QK19" s="262">
        <v>1402103.4469999999</v>
      </c>
      <c r="QL19" s="263">
        <v>-0.13803222181223199</v>
      </c>
      <c r="QM19" s="262">
        <v>10122846.748</v>
      </c>
      <c r="QN19" s="262">
        <v>10788528.543</v>
      </c>
      <c r="QO19" s="263">
        <v>-6.17027421623609E-2</v>
      </c>
      <c r="QP19" s="262">
        <v>15708459.018999999</v>
      </c>
      <c r="QQ19" s="262">
        <v>15666426.938999999</v>
      </c>
      <c r="QR19" s="263">
        <v>2.68293977712081E-3</v>
      </c>
      <c r="QS19" s="262">
        <v>0</v>
      </c>
      <c r="QT19" s="262">
        <v>0</v>
      </c>
      <c r="QU19" s="263">
        <v>0</v>
      </c>
      <c r="QV19" s="262">
        <v>0</v>
      </c>
      <c r="QW19" s="262">
        <v>0</v>
      </c>
      <c r="QX19" s="263">
        <v>0</v>
      </c>
      <c r="QY19" s="262">
        <v>0</v>
      </c>
      <c r="QZ19" s="262">
        <v>0</v>
      </c>
      <c r="RA19" s="263">
        <v>0</v>
      </c>
      <c r="RB19" s="262">
        <v>0</v>
      </c>
      <c r="RC19" s="262">
        <v>0</v>
      </c>
      <c r="RD19" s="263">
        <v>0</v>
      </c>
      <c r="RE19" s="262">
        <v>0</v>
      </c>
      <c r="RF19" s="262">
        <v>0</v>
      </c>
      <c r="RG19" s="263">
        <v>0</v>
      </c>
      <c r="RH19" s="262">
        <v>0</v>
      </c>
      <c r="RI19" s="262">
        <v>0</v>
      </c>
      <c r="RJ19" s="263">
        <v>0</v>
      </c>
      <c r="RK19" s="262">
        <v>3165.9009999999998</v>
      </c>
      <c r="RL19" s="262">
        <v>3124.3510000000001</v>
      </c>
      <c r="RM19" s="263">
        <v>1.3298761886868699E-2</v>
      </c>
      <c r="RN19" s="262">
        <v>26138.008999999998</v>
      </c>
      <c r="RO19" s="262">
        <v>26473.962</v>
      </c>
      <c r="RP19" s="263">
        <v>-1.26899404025737E-2</v>
      </c>
      <c r="RQ19" s="262">
        <v>36348.052000000003</v>
      </c>
      <c r="RR19" s="262">
        <v>36243.35</v>
      </c>
      <c r="RS19" s="263">
        <v>2.8888609910506999E-3</v>
      </c>
      <c r="RT19" s="262">
        <v>0</v>
      </c>
      <c r="RU19" s="262">
        <v>0</v>
      </c>
      <c r="RV19" s="263">
        <v>0</v>
      </c>
      <c r="RW19" s="262">
        <v>0</v>
      </c>
      <c r="RX19" s="262">
        <v>0</v>
      </c>
      <c r="RY19" s="263">
        <v>0</v>
      </c>
      <c r="RZ19" s="262">
        <v>0</v>
      </c>
      <c r="SA19" s="262">
        <v>0</v>
      </c>
      <c r="SB19" s="264">
        <v>0</v>
      </c>
      <c r="SC19" s="262">
        <v>1248618.4850000001</v>
      </c>
      <c r="SD19" s="262">
        <v>1311498.2080000001</v>
      </c>
      <c r="SE19" s="263">
        <v>-4.79449553315743E-2</v>
      </c>
      <c r="SF19" s="262">
        <v>11371465.232999999</v>
      </c>
      <c r="SG19" s="262">
        <v>12100026.751</v>
      </c>
      <c r="SH19" s="263">
        <v>-6.0211562585164302E-2</v>
      </c>
      <c r="SI19" s="262">
        <v>15645579.296</v>
      </c>
      <c r="SJ19" s="262">
        <v>15535452.886</v>
      </c>
      <c r="SK19" s="263">
        <v>7.0887157785559096E-3</v>
      </c>
      <c r="SL19" s="262">
        <v>0</v>
      </c>
      <c r="SM19" s="262">
        <v>0</v>
      </c>
      <c r="SN19" s="263">
        <v>0</v>
      </c>
      <c r="SO19" s="262">
        <v>0</v>
      </c>
      <c r="SP19" s="262">
        <v>0</v>
      </c>
      <c r="SQ19" s="263">
        <v>0</v>
      </c>
      <c r="SR19" s="262">
        <v>0</v>
      </c>
      <c r="SS19" s="262">
        <v>0</v>
      </c>
      <c r="ST19" s="263">
        <v>0</v>
      </c>
      <c r="SU19" s="262">
        <v>0</v>
      </c>
      <c r="SV19" s="262">
        <v>0</v>
      </c>
      <c r="SW19" s="263">
        <v>0</v>
      </c>
      <c r="SX19" s="262">
        <v>0</v>
      </c>
      <c r="SY19" s="262">
        <v>0</v>
      </c>
      <c r="SZ19" s="263">
        <v>0</v>
      </c>
      <c r="TA19" s="262">
        <v>0</v>
      </c>
      <c r="TB19" s="262">
        <v>0</v>
      </c>
      <c r="TC19" s="263">
        <v>0</v>
      </c>
      <c r="TD19" s="262">
        <v>2336.1950000000002</v>
      </c>
      <c r="TE19" s="262">
        <v>2778.902</v>
      </c>
      <c r="TF19" s="263">
        <v>-0.159310044038977</v>
      </c>
      <c r="TG19" s="262">
        <v>28474.204000000002</v>
      </c>
      <c r="TH19" s="262">
        <v>29252.864000000001</v>
      </c>
      <c r="TI19" s="263">
        <v>-2.6618248387576801E-2</v>
      </c>
      <c r="TJ19" s="262">
        <v>35905.345000000001</v>
      </c>
      <c r="TK19" s="262">
        <v>36027.010999999999</v>
      </c>
      <c r="TL19" s="263">
        <v>-3.3770772712728601E-3</v>
      </c>
      <c r="TM19" s="262">
        <v>0</v>
      </c>
      <c r="TN19" s="262">
        <v>0</v>
      </c>
      <c r="TO19" s="263">
        <v>0</v>
      </c>
      <c r="TP19" s="262">
        <v>0</v>
      </c>
      <c r="TQ19" s="262">
        <v>0</v>
      </c>
      <c r="TR19" s="263">
        <v>0</v>
      </c>
      <c r="TS19" s="262">
        <v>0</v>
      </c>
      <c r="TT19" s="262">
        <v>0</v>
      </c>
      <c r="TU19" s="264">
        <v>0</v>
      </c>
      <c r="TV19" s="262">
        <v>1356977.0009999999</v>
      </c>
      <c r="TW19" s="262">
        <v>1224063.7609999999</v>
      </c>
      <c r="TX19" s="263">
        <v>0.108583591994764</v>
      </c>
      <c r="TY19" s="262">
        <v>12728442.233999999</v>
      </c>
      <c r="TZ19" s="262">
        <v>13324090.512</v>
      </c>
      <c r="UA19" s="263">
        <v>-4.4704610604644597E-2</v>
      </c>
      <c r="UB19" s="262">
        <v>15778492.536</v>
      </c>
      <c r="UC19" s="262">
        <v>15491993.414000001</v>
      </c>
      <c r="UD19" s="263">
        <v>1.8493367144159299E-2</v>
      </c>
      <c r="UE19" s="262">
        <v>0</v>
      </c>
      <c r="UF19" s="262">
        <v>0</v>
      </c>
      <c r="UG19" s="263">
        <v>0</v>
      </c>
      <c r="UH19" s="262">
        <v>0</v>
      </c>
      <c r="UI19" s="262">
        <v>0</v>
      </c>
      <c r="UJ19" s="263">
        <v>0</v>
      </c>
      <c r="UK19" s="262">
        <v>0</v>
      </c>
      <c r="UL19" s="262">
        <v>0</v>
      </c>
      <c r="UM19" s="263">
        <v>0</v>
      </c>
      <c r="UN19" s="262">
        <v>0</v>
      </c>
      <c r="UO19" s="262">
        <v>0</v>
      </c>
      <c r="UP19" s="263">
        <v>0</v>
      </c>
      <c r="UQ19" s="262">
        <v>0</v>
      </c>
      <c r="UR19" s="262">
        <v>0</v>
      </c>
      <c r="US19" s="263">
        <v>0</v>
      </c>
      <c r="UT19" s="262">
        <v>0</v>
      </c>
      <c r="UU19" s="262">
        <v>0</v>
      </c>
      <c r="UV19" s="263">
        <v>0</v>
      </c>
      <c r="UW19" s="262">
        <v>3073.5369999999998</v>
      </c>
      <c r="UX19" s="262">
        <v>2285.203</v>
      </c>
      <c r="UY19" s="263">
        <v>0.34497329121307801</v>
      </c>
      <c r="UZ19" s="262">
        <v>31547.741000000002</v>
      </c>
      <c r="VA19" s="262">
        <v>31538.066999999999</v>
      </c>
      <c r="VB19" s="263">
        <v>3.0674042261358102E-4</v>
      </c>
      <c r="VC19" s="262">
        <v>36693.678999999996</v>
      </c>
      <c r="VD19" s="262">
        <v>36691.144999999997</v>
      </c>
      <c r="VE19" s="263">
        <v>6.9062985087883604E-5</v>
      </c>
      <c r="VF19" s="262">
        <v>0</v>
      </c>
      <c r="VG19" s="262">
        <v>0</v>
      </c>
      <c r="VH19" s="263">
        <v>0</v>
      </c>
      <c r="VI19" s="262">
        <v>0</v>
      </c>
      <c r="VJ19" s="262">
        <v>0</v>
      </c>
      <c r="VK19" s="263">
        <v>0</v>
      </c>
      <c r="VL19" s="262">
        <v>0</v>
      </c>
      <c r="VM19" s="262">
        <v>0</v>
      </c>
      <c r="VN19" s="264">
        <v>0</v>
      </c>
    </row>
    <row r="20" spans="1:586">
      <c r="A20" s="268" t="s">
        <v>66</v>
      </c>
      <c r="B20" s="262">
        <v>56188.989000000001</v>
      </c>
      <c r="C20" s="262">
        <v>65383.654000000002</v>
      </c>
      <c r="D20" s="263">
        <v>-0.14062635593905501</v>
      </c>
      <c r="E20" s="262">
        <v>520580.45549999998</v>
      </c>
      <c r="F20" s="262">
        <v>589995.75150000001</v>
      </c>
      <c r="G20" s="263">
        <v>-0.11765389127552101</v>
      </c>
      <c r="H20" s="262">
        <v>638071.85649999999</v>
      </c>
      <c r="I20" s="262">
        <v>709325.02249999996</v>
      </c>
      <c r="J20" s="263">
        <v>-0.10045206885395</v>
      </c>
      <c r="K20" s="262">
        <v>0</v>
      </c>
      <c r="L20" s="262">
        <v>0</v>
      </c>
      <c r="M20" s="263">
        <v>0</v>
      </c>
      <c r="N20" s="262">
        <v>0</v>
      </c>
      <c r="O20" s="262">
        <v>0</v>
      </c>
      <c r="P20" s="263">
        <v>0</v>
      </c>
      <c r="Q20" s="262">
        <v>0</v>
      </c>
      <c r="R20" s="262">
        <v>0</v>
      </c>
      <c r="S20" s="263">
        <v>0</v>
      </c>
      <c r="T20" s="262">
        <v>529.25599999999997</v>
      </c>
      <c r="U20" s="262">
        <v>280.00349999999997</v>
      </c>
      <c r="V20" s="263">
        <v>0.89017637279534001</v>
      </c>
      <c r="W20" s="262">
        <v>5060.8545000000004</v>
      </c>
      <c r="X20" s="262">
        <v>4458.9865</v>
      </c>
      <c r="Y20" s="263">
        <v>0.13497865490285699</v>
      </c>
      <c r="Z20" s="262">
        <v>6015.643</v>
      </c>
      <c r="AA20" s="262">
        <v>5336.1319999999996</v>
      </c>
      <c r="AB20" s="263">
        <v>0.127341490053095</v>
      </c>
      <c r="AC20" s="262">
        <v>9242.7219999999998</v>
      </c>
      <c r="AD20" s="262">
        <v>10861.402</v>
      </c>
      <c r="AE20" s="263">
        <v>-0.149030484278181</v>
      </c>
      <c r="AF20" s="262">
        <v>123850.0165</v>
      </c>
      <c r="AG20" s="262">
        <v>113332.97100000001</v>
      </c>
      <c r="AH20" s="263">
        <v>9.2797756974005302E-2</v>
      </c>
      <c r="AI20" s="262">
        <v>143652.046</v>
      </c>
      <c r="AJ20" s="262">
        <v>133935.42449999999</v>
      </c>
      <c r="AK20" s="263">
        <v>7.2547061662540296E-2</v>
      </c>
      <c r="AL20" s="262">
        <v>0</v>
      </c>
      <c r="AM20" s="262">
        <v>0</v>
      </c>
      <c r="AN20" s="263">
        <v>0</v>
      </c>
      <c r="AO20" s="262">
        <v>0</v>
      </c>
      <c r="AP20" s="262">
        <v>0</v>
      </c>
      <c r="AQ20" s="263">
        <v>0</v>
      </c>
      <c r="AR20" s="262">
        <v>0</v>
      </c>
      <c r="AS20" s="262">
        <v>0</v>
      </c>
      <c r="AT20" s="264">
        <v>0</v>
      </c>
      <c r="AU20" s="262">
        <v>64965.262000000002</v>
      </c>
      <c r="AV20" s="262">
        <v>52408.154999999999</v>
      </c>
      <c r="AW20" s="263">
        <v>0.23960215733601001</v>
      </c>
      <c r="AX20" s="262">
        <v>585545.71750000003</v>
      </c>
      <c r="AY20" s="262">
        <v>642403.90650000004</v>
      </c>
      <c r="AZ20" s="263">
        <v>-8.8508473290238296E-2</v>
      </c>
      <c r="BA20" s="262">
        <v>650628.96349999995</v>
      </c>
      <c r="BB20" s="262">
        <v>704773.723</v>
      </c>
      <c r="BC20" s="263">
        <v>-7.6825735314765803E-2</v>
      </c>
      <c r="BD20" s="262">
        <v>0</v>
      </c>
      <c r="BE20" s="262">
        <v>0</v>
      </c>
      <c r="BF20" s="263">
        <v>0</v>
      </c>
      <c r="BG20" s="262">
        <v>0</v>
      </c>
      <c r="BH20" s="262">
        <v>0</v>
      </c>
      <c r="BI20" s="263">
        <v>0</v>
      </c>
      <c r="BJ20" s="262">
        <v>0</v>
      </c>
      <c r="BK20" s="262">
        <v>0</v>
      </c>
      <c r="BL20" s="263">
        <v>0</v>
      </c>
      <c r="BM20" s="262">
        <v>233.876</v>
      </c>
      <c r="BN20" s="262">
        <v>304.34199999999998</v>
      </c>
      <c r="BO20" s="263">
        <v>-0.231535575109581</v>
      </c>
      <c r="BP20" s="262">
        <v>5294.7304999999997</v>
      </c>
      <c r="BQ20" s="262">
        <v>4763.3284999999996</v>
      </c>
      <c r="BR20" s="263">
        <v>0.111561064915006</v>
      </c>
      <c r="BS20" s="262">
        <v>5945.1769999999997</v>
      </c>
      <c r="BT20" s="262">
        <v>5253.0420000000004</v>
      </c>
      <c r="BU20" s="263">
        <v>0.131758893227962</v>
      </c>
      <c r="BV20" s="262">
        <v>9512.2355000000007</v>
      </c>
      <c r="BW20" s="262">
        <v>10810.194</v>
      </c>
      <c r="BX20" s="263">
        <v>-0.120068011730409</v>
      </c>
      <c r="BY20" s="262">
        <v>133362.25200000001</v>
      </c>
      <c r="BZ20" s="262">
        <v>124143.16499999999</v>
      </c>
      <c r="CA20" s="263">
        <v>7.4261736439537498E-2</v>
      </c>
      <c r="CB20" s="262">
        <v>142354.08749999999</v>
      </c>
      <c r="CC20" s="262">
        <v>134556.7905</v>
      </c>
      <c r="CD20" s="263">
        <v>5.79480007736956E-2</v>
      </c>
      <c r="CE20" s="262">
        <v>0</v>
      </c>
      <c r="CF20" s="262">
        <v>0</v>
      </c>
      <c r="CG20" s="263">
        <v>0</v>
      </c>
      <c r="CH20" s="262">
        <v>0</v>
      </c>
      <c r="CI20" s="262">
        <v>0</v>
      </c>
      <c r="CJ20" s="263">
        <v>0</v>
      </c>
      <c r="CK20" s="262">
        <v>0</v>
      </c>
      <c r="CL20" s="262">
        <v>0</v>
      </c>
      <c r="CM20" s="264">
        <v>0</v>
      </c>
      <c r="CN20" s="262">
        <v>68042.446500000005</v>
      </c>
      <c r="CO20" s="262">
        <v>65083.245999999999</v>
      </c>
      <c r="CP20" s="263">
        <v>4.5467930410231901E-2</v>
      </c>
      <c r="CQ20" s="262">
        <v>653588.16399999999</v>
      </c>
      <c r="CR20" s="262">
        <v>707487.15249999997</v>
      </c>
      <c r="CS20" s="263">
        <v>-7.6183699321663606E-2</v>
      </c>
      <c r="CT20" s="262">
        <v>653588.16399999999</v>
      </c>
      <c r="CU20" s="262">
        <v>707487.15249999997</v>
      </c>
      <c r="CV20" s="263">
        <v>-7.6183699321663606E-2</v>
      </c>
      <c r="CW20" s="262">
        <v>0</v>
      </c>
      <c r="CX20" s="262">
        <v>0</v>
      </c>
      <c r="CY20" s="263">
        <v>0</v>
      </c>
      <c r="CZ20" s="262">
        <v>0</v>
      </c>
      <c r="DA20" s="262">
        <v>0</v>
      </c>
      <c r="DB20" s="263">
        <v>0</v>
      </c>
      <c r="DC20" s="262">
        <v>0</v>
      </c>
      <c r="DD20" s="262">
        <v>0</v>
      </c>
      <c r="DE20" s="263">
        <v>0</v>
      </c>
      <c r="DF20" s="262">
        <v>394.67200000000003</v>
      </c>
      <c r="DG20" s="262">
        <v>650.44650000000001</v>
      </c>
      <c r="DH20" s="263">
        <v>-0.39322911261725602</v>
      </c>
      <c r="DI20" s="262">
        <v>5689.4025000000001</v>
      </c>
      <c r="DJ20" s="262">
        <v>5413.7749999999996</v>
      </c>
      <c r="DK20" s="263">
        <v>5.09122562352518E-2</v>
      </c>
      <c r="DL20" s="262">
        <v>5689.4025000000001</v>
      </c>
      <c r="DM20" s="262">
        <v>5413.7749999999996</v>
      </c>
      <c r="DN20" s="263">
        <v>5.09122562352518E-2</v>
      </c>
      <c r="DO20" s="262">
        <v>12261.645</v>
      </c>
      <c r="DP20" s="262">
        <v>8991.8354999999992</v>
      </c>
      <c r="DQ20" s="263">
        <v>0.36364205061358201</v>
      </c>
      <c r="DR20" s="262">
        <v>145623.897</v>
      </c>
      <c r="DS20" s="262">
        <v>133135.00049999999</v>
      </c>
      <c r="DT20" s="263">
        <v>9.3806260210289399E-2</v>
      </c>
      <c r="DU20" s="262">
        <v>145623.897</v>
      </c>
      <c r="DV20" s="262">
        <v>133135.00049999999</v>
      </c>
      <c r="DW20" s="263">
        <v>9.3806260210289399E-2</v>
      </c>
      <c r="DX20" s="262">
        <v>0</v>
      </c>
      <c r="DY20" s="262">
        <v>0</v>
      </c>
      <c r="DZ20" s="263">
        <v>0</v>
      </c>
      <c r="EA20" s="262">
        <v>0</v>
      </c>
      <c r="EB20" s="262">
        <v>0</v>
      </c>
      <c r="EC20" s="263">
        <v>0</v>
      </c>
      <c r="ED20" s="262">
        <v>0</v>
      </c>
      <c r="EE20" s="262">
        <v>0</v>
      </c>
      <c r="EF20" s="264">
        <v>0</v>
      </c>
      <c r="EG20" s="262">
        <v>55944.6005</v>
      </c>
      <c r="EH20" s="262">
        <v>58132.978499999997</v>
      </c>
      <c r="EI20" s="263">
        <v>-3.7644346745453597E-2</v>
      </c>
      <c r="EJ20" s="262">
        <v>55944.6005</v>
      </c>
      <c r="EK20" s="262">
        <v>58132.978499999997</v>
      </c>
      <c r="EL20" s="263">
        <v>-3.7644346745453597E-2</v>
      </c>
      <c r="EM20" s="262">
        <v>651399.78599999996</v>
      </c>
      <c r="EN20" s="262">
        <v>705316.88049999997</v>
      </c>
      <c r="EO20" s="263">
        <v>-7.64437885873058E-2</v>
      </c>
      <c r="EP20" s="262">
        <v>0</v>
      </c>
      <c r="EQ20" s="262">
        <v>0</v>
      </c>
      <c r="ER20" s="263">
        <v>0</v>
      </c>
      <c r="ES20" s="262">
        <v>0</v>
      </c>
      <c r="ET20" s="262">
        <v>0</v>
      </c>
      <c r="EU20" s="263">
        <v>0</v>
      </c>
      <c r="EV20" s="262">
        <v>0</v>
      </c>
      <c r="EW20" s="262">
        <v>0</v>
      </c>
      <c r="EX20" s="263">
        <v>0</v>
      </c>
      <c r="EY20" s="262">
        <v>593.255</v>
      </c>
      <c r="EZ20" s="262">
        <v>625.11249999999995</v>
      </c>
      <c r="FA20" s="263">
        <v>-5.0962826691195499E-2</v>
      </c>
      <c r="FB20" s="262">
        <v>593.255</v>
      </c>
      <c r="FC20" s="262">
        <v>625.11249999999995</v>
      </c>
      <c r="FD20" s="263">
        <v>-5.0962826691195499E-2</v>
      </c>
      <c r="FE20" s="262">
        <v>5657.5450000000001</v>
      </c>
      <c r="FF20" s="262">
        <v>5575.1244999999999</v>
      </c>
      <c r="FG20" s="263">
        <v>1.4783616043014E-2</v>
      </c>
      <c r="FH20" s="262">
        <v>10134.332</v>
      </c>
      <c r="FI20" s="262">
        <v>10485.035</v>
      </c>
      <c r="FJ20" s="263">
        <v>-3.3447957016833903E-2</v>
      </c>
      <c r="FK20" s="262">
        <v>10134.332</v>
      </c>
      <c r="FL20" s="262">
        <v>10485.035</v>
      </c>
      <c r="FM20" s="263">
        <v>-3.3447957016833903E-2</v>
      </c>
      <c r="FN20" s="262">
        <v>145273.19399999999</v>
      </c>
      <c r="FO20" s="262">
        <v>136258.21100000001</v>
      </c>
      <c r="FP20" s="263">
        <v>6.6161025701416104E-2</v>
      </c>
      <c r="FQ20" s="262">
        <v>0</v>
      </c>
      <c r="FR20" s="262">
        <v>0</v>
      </c>
      <c r="FS20" s="263">
        <v>0</v>
      </c>
      <c r="FT20" s="262">
        <v>0</v>
      </c>
      <c r="FU20" s="262">
        <v>0</v>
      </c>
      <c r="FV20" s="263">
        <v>0</v>
      </c>
      <c r="FW20" s="262">
        <v>0</v>
      </c>
      <c r="FX20" s="262">
        <v>0</v>
      </c>
      <c r="FY20" s="264">
        <v>0</v>
      </c>
      <c r="FZ20" s="262">
        <v>53965.262999999999</v>
      </c>
      <c r="GA20" s="262">
        <v>53101.936999999998</v>
      </c>
      <c r="GB20" s="263">
        <v>1.62579003474017E-2</v>
      </c>
      <c r="GC20" s="262">
        <v>109909.86350000001</v>
      </c>
      <c r="GD20" s="262">
        <v>111234.9155</v>
      </c>
      <c r="GE20" s="263">
        <v>-1.19121949618418E-2</v>
      </c>
      <c r="GF20" s="262">
        <v>652263.11199999996</v>
      </c>
      <c r="GG20" s="262">
        <v>696731.08349999995</v>
      </c>
      <c r="GH20" s="263">
        <v>-6.38237227433818E-2</v>
      </c>
      <c r="GI20" s="262">
        <v>0</v>
      </c>
      <c r="GJ20" s="262">
        <v>0</v>
      </c>
      <c r="GK20" s="263">
        <v>0</v>
      </c>
      <c r="GL20" s="262">
        <v>0</v>
      </c>
      <c r="GM20" s="262">
        <v>0</v>
      </c>
      <c r="GN20" s="263">
        <v>0</v>
      </c>
      <c r="GO20" s="262">
        <v>0</v>
      </c>
      <c r="GP20" s="262">
        <v>0</v>
      </c>
      <c r="GQ20" s="263">
        <v>0</v>
      </c>
      <c r="GR20" s="262">
        <v>506.63900000000001</v>
      </c>
      <c r="GS20" s="262">
        <v>325.40249999999997</v>
      </c>
      <c r="GT20" s="263">
        <v>0.55696099446070602</v>
      </c>
      <c r="GU20" s="262">
        <v>1099.894</v>
      </c>
      <c r="GV20" s="262">
        <v>950.51499999999999</v>
      </c>
      <c r="GW20" s="263">
        <v>0.15715585761403</v>
      </c>
      <c r="GX20" s="262">
        <v>5838.7815000000001</v>
      </c>
      <c r="GY20" s="262">
        <v>5455.6544999999996</v>
      </c>
      <c r="GZ20" s="263">
        <v>7.0225671365369696E-2</v>
      </c>
      <c r="HA20" s="262">
        <v>8892.5329999999994</v>
      </c>
      <c r="HB20" s="262">
        <v>5608.5469999999996</v>
      </c>
      <c r="HC20" s="263">
        <v>0.585532402599105</v>
      </c>
      <c r="HD20" s="262">
        <v>19026.865000000002</v>
      </c>
      <c r="HE20" s="262">
        <v>16093.582</v>
      </c>
      <c r="HF20" s="263">
        <v>0.18226414728554499</v>
      </c>
      <c r="HG20" s="262">
        <v>148557.18</v>
      </c>
      <c r="HH20" s="262">
        <v>132036.872</v>
      </c>
      <c r="HI20" s="263">
        <v>0.125118898605838</v>
      </c>
      <c r="HJ20" s="262">
        <v>0</v>
      </c>
      <c r="HK20" s="262">
        <v>0</v>
      </c>
      <c r="HL20" s="263">
        <v>0</v>
      </c>
      <c r="HM20" s="262">
        <v>0</v>
      </c>
      <c r="HN20" s="262">
        <v>0</v>
      </c>
      <c r="HO20" s="263">
        <v>0</v>
      </c>
      <c r="HP20" s="262">
        <v>0</v>
      </c>
      <c r="HQ20" s="262">
        <v>0</v>
      </c>
      <c r="HR20" s="264">
        <v>0</v>
      </c>
      <c r="HS20" s="262">
        <v>51637.243000000002</v>
      </c>
      <c r="HT20" s="262">
        <v>40449.7045</v>
      </c>
      <c r="HU20" s="263">
        <v>0.27657899206655501</v>
      </c>
      <c r="HV20" s="262">
        <v>161547.10649999999</v>
      </c>
      <c r="HW20" s="262">
        <v>151684.62</v>
      </c>
      <c r="HX20" s="263">
        <v>6.5019686900359405E-2</v>
      </c>
      <c r="HY20" s="262">
        <v>663450.65049999999</v>
      </c>
      <c r="HZ20" s="262">
        <v>675012.37450000003</v>
      </c>
      <c r="IA20" s="263">
        <v>-1.7128165996311E-2</v>
      </c>
      <c r="IB20" s="262">
        <v>0</v>
      </c>
      <c r="IC20" s="262">
        <v>0</v>
      </c>
      <c r="ID20" s="263">
        <v>0</v>
      </c>
      <c r="IE20" s="262">
        <v>0</v>
      </c>
      <c r="IF20" s="262">
        <v>0</v>
      </c>
      <c r="IG20" s="263">
        <v>0</v>
      </c>
      <c r="IH20" s="262">
        <v>0</v>
      </c>
      <c r="II20" s="262">
        <v>0</v>
      </c>
      <c r="IJ20" s="263">
        <v>0</v>
      </c>
      <c r="IK20" s="262">
        <v>561.95100000000002</v>
      </c>
      <c r="IL20" s="262">
        <v>504.22449999999998</v>
      </c>
      <c r="IM20" s="263">
        <v>0.114485710234231</v>
      </c>
      <c r="IN20" s="262">
        <v>1661.845</v>
      </c>
      <c r="IO20" s="262">
        <v>1454.7394999999999</v>
      </c>
      <c r="IP20" s="263">
        <v>0.14236603873064599</v>
      </c>
      <c r="IQ20" s="262">
        <v>5896.5079999999998</v>
      </c>
      <c r="IR20" s="262">
        <v>5515.9780000000001</v>
      </c>
      <c r="IS20" s="263">
        <v>6.8986859628519095E-2</v>
      </c>
      <c r="IT20" s="262">
        <v>9891.5329999999994</v>
      </c>
      <c r="IU20" s="262">
        <v>12829.401</v>
      </c>
      <c r="IV20" s="263">
        <v>-0.228994946841244</v>
      </c>
      <c r="IW20" s="262">
        <v>28918.398000000001</v>
      </c>
      <c r="IX20" s="262">
        <v>28922.983</v>
      </c>
      <c r="IY20" s="263">
        <v>-1.58524450953041E-4</v>
      </c>
      <c r="IZ20" s="262">
        <v>145619.31200000001</v>
      </c>
      <c r="JA20" s="262">
        <v>135228.391</v>
      </c>
      <c r="JB20" s="263">
        <v>7.6839788768913203E-2</v>
      </c>
      <c r="JC20" s="262">
        <v>0</v>
      </c>
      <c r="JD20" s="262">
        <v>0</v>
      </c>
      <c r="JE20" s="263">
        <v>0</v>
      </c>
      <c r="JF20" s="262">
        <v>0</v>
      </c>
      <c r="JG20" s="262">
        <v>0</v>
      </c>
      <c r="JH20" s="263">
        <v>0</v>
      </c>
      <c r="JI20" s="262">
        <v>0</v>
      </c>
      <c r="JJ20" s="262">
        <v>0</v>
      </c>
      <c r="JK20" s="264">
        <v>0</v>
      </c>
      <c r="JL20" s="262">
        <v>37148.092499999999</v>
      </c>
      <c r="JM20" s="262">
        <v>38443.152000000002</v>
      </c>
      <c r="JN20" s="263">
        <v>-3.3687651314335598E-2</v>
      </c>
      <c r="JO20" s="262">
        <v>198695.19899999999</v>
      </c>
      <c r="JP20" s="262">
        <v>190127.772</v>
      </c>
      <c r="JQ20" s="263">
        <v>4.5061417960549202E-2</v>
      </c>
      <c r="JR20" s="262">
        <v>662155.59100000001</v>
      </c>
      <c r="JS20" s="262">
        <v>666710.05599999998</v>
      </c>
      <c r="JT20" s="263">
        <v>-6.8312528947365499E-3</v>
      </c>
      <c r="JU20" s="262">
        <v>0</v>
      </c>
      <c r="JV20" s="262">
        <v>0</v>
      </c>
      <c r="JW20" s="263">
        <v>0</v>
      </c>
      <c r="JX20" s="262">
        <v>0</v>
      </c>
      <c r="JY20" s="262">
        <v>0</v>
      </c>
      <c r="JZ20" s="263">
        <v>0</v>
      </c>
      <c r="KA20" s="262">
        <v>0</v>
      </c>
      <c r="KB20" s="262">
        <v>0</v>
      </c>
      <c r="KC20" s="263">
        <v>0</v>
      </c>
      <c r="KD20" s="262">
        <v>577.69150000000002</v>
      </c>
      <c r="KE20" s="262">
        <v>514.53150000000005</v>
      </c>
      <c r="KF20" s="263">
        <v>0.12275244567145099</v>
      </c>
      <c r="KG20" s="262">
        <v>2239.5365000000002</v>
      </c>
      <c r="KH20" s="262">
        <v>1969.271</v>
      </c>
      <c r="KI20" s="263">
        <v>0.13724139541993</v>
      </c>
      <c r="KJ20" s="262">
        <v>5959.6679999999997</v>
      </c>
      <c r="KK20" s="262">
        <v>5506.3810000000003</v>
      </c>
      <c r="KL20" s="263">
        <v>8.2320311652971198E-2</v>
      </c>
      <c r="KM20" s="262">
        <v>12984.986999999999</v>
      </c>
      <c r="KN20" s="262">
        <v>11323.398999999999</v>
      </c>
      <c r="KO20" s="263">
        <v>0.14673933153817201</v>
      </c>
      <c r="KP20" s="262">
        <v>41903.385000000002</v>
      </c>
      <c r="KQ20" s="262">
        <v>40246.381999999998</v>
      </c>
      <c r="KR20" s="263">
        <v>4.1171477227443798E-2</v>
      </c>
      <c r="KS20" s="262">
        <v>147280.9</v>
      </c>
      <c r="KT20" s="262">
        <v>135894.46</v>
      </c>
      <c r="KU20" s="263">
        <v>8.3788846138393006E-2</v>
      </c>
      <c r="KV20" s="262">
        <v>0</v>
      </c>
      <c r="KW20" s="262">
        <v>0</v>
      </c>
      <c r="KX20" s="263">
        <v>0</v>
      </c>
      <c r="KY20" s="262">
        <v>0</v>
      </c>
      <c r="KZ20" s="262">
        <v>0</v>
      </c>
      <c r="LA20" s="263">
        <v>0</v>
      </c>
      <c r="LB20" s="262">
        <v>0</v>
      </c>
      <c r="LC20" s="262">
        <v>0</v>
      </c>
      <c r="LD20" s="264">
        <v>0</v>
      </c>
      <c r="LE20" s="262">
        <v>29418.555</v>
      </c>
      <c r="LF20" s="262">
        <v>36579.356</v>
      </c>
      <c r="LG20" s="263">
        <v>-0.19576071814932999</v>
      </c>
      <c r="LH20" s="262">
        <v>228113.75399999999</v>
      </c>
      <c r="LI20" s="262">
        <v>226707.128</v>
      </c>
      <c r="LJ20" s="263">
        <v>6.2045953844026896E-3</v>
      </c>
      <c r="LK20" s="262">
        <v>654994.79</v>
      </c>
      <c r="LL20" s="262">
        <v>670550.81949999998</v>
      </c>
      <c r="LM20" s="263">
        <v>-2.31988822437043E-2</v>
      </c>
      <c r="LN20" s="262">
        <v>0</v>
      </c>
      <c r="LO20" s="262">
        <v>0</v>
      </c>
      <c r="LP20" s="263">
        <v>0</v>
      </c>
      <c r="LQ20" s="262">
        <v>0</v>
      </c>
      <c r="LR20" s="262">
        <v>0</v>
      </c>
      <c r="LS20" s="263">
        <v>0</v>
      </c>
      <c r="LT20" s="262">
        <v>0</v>
      </c>
      <c r="LU20" s="262">
        <v>0</v>
      </c>
      <c r="LV20" s="263">
        <v>0</v>
      </c>
      <c r="LW20" s="262">
        <v>609.53150000000005</v>
      </c>
      <c r="LX20" s="262">
        <v>547.97500000000002</v>
      </c>
      <c r="LY20" s="263">
        <v>0.11233450431132801</v>
      </c>
      <c r="LZ20" s="262">
        <v>2849.0680000000002</v>
      </c>
      <c r="MA20" s="262">
        <v>2517.2460000000001</v>
      </c>
      <c r="MB20" s="263">
        <v>0.131819456660176</v>
      </c>
      <c r="MC20" s="262">
        <v>6021.2245000000003</v>
      </c>
      <c r="MD20" s="262">
        <v>5597.5630000000001</v>
      </c>
      <c r="ME20" s="263">
        <v>7.5686776549009002E-2</v>
      </c>
      <c r="MF20" s="262">
        <v>10486.427</v>
      </c>
      <c r="MG20" s="262">
        <v>12275.0895</v>
      </c>
      <c r="MH20" s="263">
        <v>-0.14571482350495299</v>
      </c>
      <c r="MI20" s="262">
        <v>52389.811999999998</v>
      </c>
      <c r="MJ20" s="262">
        <v>52521.4715</v>
      </c>
      <c r="MK20" s="263">
        <v>-2.5067747768643799E-3</v>
      </c>
      <c r="ML20" s="262">
        <v>145492.23749999999</v>
      </c>
      <c r="MM20" s="262">
        <v>135940.94899999999</v>
      </c>
      <c r="MN20" s="263">
        <v>7.0260569535968098E-2</v>
      </c>
      <c r="MO20" s="262">
        <v>0</v>
      </c>
      <c r="MP20" s="262">
        <v>0</v>
      </c>
      <c r="MQ20" s="263">
        <v>0</v>
      </c>
      <c r="MR20" s="262">
        <v>0</v>
      </c>
      <c r="MS20" s="262">
        <v>0</v>
      </c>
      <c r="MT20" s="263">
        <v>0</v>
      </c>
      <c r="MU20" s="262">
        <v>0</v>
      </c>
      <c r="MV20" s="262">
        <v>0</v>
      </c>
      <c r="MW20" s="264">
        <v>0</v>
      </c>
      <c r="MX20" s="262">
        <v>23718.671999999999</v>
      </c>
      <c r="MY20" s="262">
        <v>53415.584499999997</v>
      </c>
      <c r="MZ20" s="263">
        <v>-0.55595970310874299</v>
      </c>
      <c r="NA20" s="262">
        <v>251832.42600000001</v>
      </c>
      <c r="NB20" s="262">
        <v>280122.71250000002</v>
      </c>
      <c r="NC20" s="263">
        <v>-0.100992476645392</v>
      </c>
      <c r="ND20" s="262">
        <v>625297.87749999994</v>
      </c>
      <c r="NE20" s="262">
        <v>658944.66899999999</v>
      </c>
      <c r="NF20" s="263">
        <v>-5.1061633977647403E-2</v>
      </c>
      <c r="NG20" s="262">
        <v>0</v>
      </c>
      <c r="NH20" s="262">
        <v>0</v>
      </c>
      <c r="NI20" s="263">
        <v>0</v>
      </c>
      <c r="NJ20" s="262">
        <v>0</v>
      </c>
      <c r="NK20" s="262">
        <v>0</v>
      </c>
      <c r="NL20" s="263">
        <v>0</v>
      </c>
      <c r="NM20" s="262">
        <v>0</v>
      </c>
      <c r="NN20" s="262">
        <v>0</v>
      </c>
      <c r="NO20" s="263">
        <v>0</v>
      </c>
      <c r="NP20" s="262">
        <v>496.51600000000002</v>
      </c>
      <c r="NQ20" s="262">
        <v>479.77949999999998</v>
      </c>
      <c r="NR20" s="263">
        <v>3.4883733048202401E-2</v>
      </c>
      <c r="NS20" s="262">
        <v>3345.5839999999998</v>
      </c>
      <c r="NT20" s="262">
        <v>2997.0255000000002</v>
      </c>
      <c r="NU20" s="263">
        <v>0.116301479583674</v>
      </c>
      <c r="NV20" s="262">
        <v>6037.9610000000002</v>
      </c>
      <c r="NW20" s="262">
        <v>5612.893</v>
      </c>
      <c r="NX20" s="263">
        <v>7.5730643716172802E-2</v>
      </c>
      <c r="NY20" s="262">
        <v>14345.347</v>
      </c>
      <c r="NZ20" s="262">
        <v>16584.269499999999</v>
      </c>
      <c r="OA20" s="263">
        <v>-0.13500278079779099</v>
      </c>
      <c r="OB20" s="262">
        <v>66735.159</v>
      </c>
      <c r="OC20" s="262">
        <v>69105.740999999995</v>
      </c>
      <c r="OD20" s="263">
        <v>-3.4303691208520497E-2</v>
      </c>
      <c r="OE20" s="262">
        <v>143253.315</v>
      </c>
      <c r="OF20" s="262">
        <v>136927.565</v>
      </c>
      <c r="OG20" s="263">
        <v>4.6197783477709503E-2</v>
      </c>
      <c r="OH20" s="262">
        <v>0</v>
      </c>
      <c r="OI20" s="262">
        <v>0</v>
      </c>
      <c r="OJ20" s="263">
        <v>0</v>
      </c>
      <c r="OK20" s="262">
        <v>0</v>
      </c>
      <c r="OL20" s="262">
        <v>0</v>
      </c>
      <c r="OM20" s="263">
        <v>0</v>
      </c>
      <c r="ON20" s="262">
        <v>0</v>
      </c>
      <c r="OO20" s="262">
        <v>0</v>
      </c>
      <c r="OP20" s="264">
        <v>0</v>
      </c>
      <c r="OQ20" s="262">
        <v>52036.873</v>
      </c>
      <c r="OR20" s="262">
        <v>62396.6495</v>
      </c>
      <c r="OS20" s="263">
        <v>-0.166030974147097</v>
      </c>
      <c r="OT20" s="262">
        <v>303869.299</v>
      </c>
      <c r="OU20" s="262">
        <v>342519.36200000002</v>
      </c>
      <c r="OV20" s="263">
        <v>-0.11284052023897</v>
      </c>
      <c r="OW20" s="262">
        <v>614938.10100000002</v>
      </c>
      <c r="OX20" s="262">
        <v>650784.69350000005</v>
      </c>
      <c r="OY20" s="263">
        <v>-5.5082107581868101E-2</v>
      </c>
      <c r="OZ20" s="262">
        <v>0</v>
      </c>
      <c r="PA20" s="262">
        <v>0</v>
      </c>
      <c r="PB20" s="263">
        <v>0</v>
      </c>
      <c r="PC20" s="262">
        <v>0</v>
      </c>
      <c r="PD20" s="262">
        <v>0</v>
      </c>
      <c r="PE20" s="263">
        <v>0</v>
      </c>
      <c r="PF20" s="262">
        <v>0</v>
      </c>
      <c r="PG20" s="262">
        <v>0</v>
      </c>
      <c r="PH20" s="263">
        <v>0</v>
      </c>
      <c r="PI20" s="262">
        <v>430.61149999999998</v>
      </c>
      <c r="PJ20" s="262">
        <v>573.66099999999994</v>
      </c>
      <c r="PK20" s="263">
        <v>-0.24936242833311001</v>
      </c>
      <c r="PL20" s="262">
        <v>3776.1954999999998</v>
      </c>
      <c r="PM20" s="262">
        <v>3570.6864999999998</v>
      </c>
      <c r="PN20" s="263">
        <v>5.7554478669578003E-2</v>
      </c>
      <c r="PO20" s="262">
        <v>5894.9115000000002</v>
      </c>
      <c r="PP20" s="262">
        <v>5762.96</v>
      </c>
      <c r="PQ20" s="263">
        <v>2.2896480280966702E-2</v>
      </c>
      <c r="PR20" s="262">
        <v>9478.5565000000006</v>
      </c>
      <c r="PS20" s="262">
        <v>15726.691000000001</v>
      </c>
      <c r="PT20" s="263">
        <v>-0.397294923642869</v>
      </c>
      <c r="PU20" s="262">
        <v>76213.715500000006</v>
      </c>
      <c r="PV20" s="262">
        <v>84832.432000000001</v>
      </c>
      <c r="PW20" s="263">
        <v>-0.10159695174128699</v>
      </c>
      <c r="PX20" s="262">
        <v>137005.18049999999</v>
      </c>
      <c r="PY20" s="262">
        <v>140113.06</v>
      </c>
      <c r="PZ20" s="263">
        <v>-2.2181226361054501E-2</v>
      </c>
      <c r="QA20" s="262">
        <v>0</v>
      </c>
      <c r="QB20" s="262">
        <v>0</v>
      </c>
      <c r="QC20" s="263">
        <v>0</v>
      </c>
      <c r="QD20" s="262">
        <v>0</v>
      </c>
      <c r="QE20" s="262">
        <v>0</v>
      </c>
      <c r="QF20" s="263">
        <v>0</v>
      </c>
      <c r="QG20" s="262">
        <v>0</v>
      </c>
      <c r="QH20" s="262">
        <v>0</v>
      </c>
      <c r="QI20" s="264">
        <v>0</v>
      </c>
      <c r="QJ20" s="262">
        <v>59049.389499999997</v>
      </c>
      <c r="QK20" s="262">
        <v>62179.3</v>
      </c>
      <c r="QL20" s="263">
        <v>-5.0336856477959803E-2</v>
      </c>
      <c r="QM20" s="262">
        <v>362918.68849999999</v>
      </c>
      <c r="QN20" s="262">
        <v>404698.66200000001</v>
      </c>
      <c r="QO20" s="263">
        <v>-0.103237241491053</v>
      </c>
      <c r="QP20" s="262">
        <v>611808.19050000003</v>
      </c>
      <c r="QQ20" s="262">
        <v>650857.43350000004</v>
      </c>
      <c r="QR20" s="263">
        <v>-5.9996615218807399E-2</v>
      </c>
      <c r="QS20" s="262">
        <v>0</v>
      </c>
      <c r="QT20" s="262">
        <v>0</v>
      </c>
      <c r="QU20" s="263">
        <v>0</v>
      </c>
      <c r="QV20" s="262">
        <v>0</v>
      </c>
      <c r="QW20" s="262">
        <v>0</v>
      </c>
      <c r="QX20" s="263">
        <v>0</v>
      </c>
      <c r="QY20" s="262">
        <v>0</v>
      </c>
      <c r="QZ20" s="262">
        <v>0</v>
      </c>
      <c r="RA20" s="263">
        <v>0</v>
      </c>
      <c r="RB20" s="262">
        <v>569.72400000000005</v>
      </c>
      <c r="RC20" s="262">
        <v>493.64699999999999</v>
      </c>
      <c r="RD20" s="263">
        <v>0.15411214896474601</v>
      </c>
      <c r="RE20" s="262">
        <v>4345.9195</v>
      </c>
      <c r="RF20" s="262">
        <v>4064.3335000000002</v>
      </c>
      <c r="RG20" s="263">
        <v>6.9282208263667294E-2</v>
      </c>
      <c r="RH20" s="262">
        <v>5970.9885000000004</v>
      </c>
      <c r="RI20" s="262">
        <v>5730.5045</v>
      </c>
      <c r="RJ20" s="263">
        <v>4.1965589591631998E-2</v>
      </c>
      <c r="RK20" s="262">
        <v>11851.8485</v>
      </c>
      <c r="RL20" s="262">
        <v>15578.734</v>
      </c>
      <c r="RM20" s="263">
        <v>-0.23922903491387701</v>
      </c>
      <c r="RN20" s="262">
        <v>88065.563999999998</v>
      </c>
      <c r="RO20" s="262">
        <v>100411.166</v>
      </c>
      <c r="RP20" s="263">
        <v>-0.12295048939079101</v>
      </c>
      <c r="RQ20" s="262">
        <v>133278.29500000001</v>
      </c>
      <c r="RR20" s="262">
        <v>141008.68</v>
      </c>
      <c r="RS20" s="263">
        <v>-5.4822050670923099E-2</v>
      </c>
      <c r="RT20" s="262">
        <v>0</v>
      </c>
      <c r="RU20" s="262">
        <v>0</v>
      </c>
      <c r="RV20" s="263">
        <v>0</v>
      </c>
      <c r="RW20" s="262">
        <v>0</v>
      </c>
      <c r="RX20" s="262">
        <v>0</v>
      </c>
      <c r="RY20" s="263">
        <v>0</v>
      </c>
      <c r="RZ20" s="262">
        <v>0</v>
      </c>
      <c r="SA20" s="262">
        <v>0</v>
      </c>
      <c r="SB20" s="264">
        <v>0</v>
      </c>
      <c r="SC20" s="262">
        <v>45211.659</v>
      </c>
      <c r="SD20" s="262">
        <v>59692.804499999998</v>
      </c>
      <c r="SE20" s="263">
        <v>-0.24259449059727101</v>
      </c>
      <c r="SF20" s="262">
        <v>408130.34749999997</v>
      </c>
      <c r="SG20" s="262">
        <v>464391.46649999998</v>
      </c>
      <c r="SH20" s="263">
        <v>-0.121150199903598</v>
      </c>
      <c r="SI20" s="262">
        <v>597327.04500000004</v>
      </c>
      <c r="SJ20" s="262">
        <v>647266.52150000003</v>
      </c>
      <c r="SK20" s="263">
        <v>-7.7154425327403506E-2</v>
      </c>
      <c r="SL20" s="262">
        <v>0</v>
      </c>
      <c r="SM20" s="262">
        <v>0</v>
      </c>
      <c r="SN20" s="263">
        <v>0</v>
      </c>
      <c r="SO20" s="262">
        <v>0</v>
      </c>
      <c r="SP20" s="262">
        <v>0</v>
      </c>
      <c r="SQ20" s="263">
        <v>0</v>
      </c>
      <c r="SR20" s="262">
        <v>0</v>
      </c>
      <c r="SS20" s="262">
        <v>0</v>
      </c>
      <c r="ST20" s="263">
        <v>0</v>
      </c>
      <c r="SU20" s="262">
        <v>343.99549999999999</v>
      </c>
      <c r="SV20" s="262">
        <v>467.26499999999999</v>
      </c>
      <c r="SW20" s="263">
        <v>-0.26381068558526699</v>
      </c>
      <c r="SX20" s="262">
        <v>4689.915</v>
      </c>
      <c r="SY20" s="262">
        <v>4531.5985000000001</v>
      </c>
      <c r="SZ20" s="263">
        <v>3.4936126843540902E-2</v>
      </c>
      <c r="TA20" s="262">
        <v>5847.7190000000001</v>
      </c>
      <c r="TB20" s="262">
        <v>5766.3905000000004</v>
      </c>
      <c r="TC20" s="263">
        <v>1.41038835299135E-2</v>
      </c>
      <c r="TD20" s="262">
        <v>13929.98</v>
      </c>
      <c r="TE20" s="262">
        <v>14196.128500000001</v>
      </c>
      <c r="TF20" s="263">
        <v>-1.8747963573308098E-2</v>
      </c>
      <c r="TG20" s="262">
        <v>101995.54399999999</v>
      </c>
      <c r="TH20" s="262">
        <v>114607.2945</v>
      </c>
      <c r="TI20" s="263">
        <v>-0.110043174433369</v>
      </c>
      <c r="TJ20" s="262">
        <v>133012.1465</v>
      </c>
      <c r="TK20" s="262">
        <v>145270.726</v>
      </c>
      <c r="TL20" s="263">
        <v>-8.43843755554715E-2</v>
      </c>
      <c r="TM20" s="262">
        <v>0</v>
      </c>
      <c r="TN20" s="262">
        <v>0</v>
      </c>
      <c r="TO20" s="263">
        <v>0</v>
      </c>
      <c r="TP20" s="262">
        <v>0</v>
      </c>
      <c r="TQ20" s="262">
        <v>0</v>
      </c>
      <c r="TR20" s="263">
        <v>0</v>
      </c>
      <c r="TS20" s="262">
        <v>0</v>
      </c>
      <c r="TT20" s="262">
        <v>0</v>
      </c>
      <c r="TU20" s="264">
        <v>0</v>
      </c>
      <c r="TV20" s="262">
        <v>51785.544000000002</v>
      </c>
      <c r="TW20" s="262">
        <v>56188.989000000001</v>
      </c>
      <c r="TX20" s="263">
        <v>-7.8368468242060702E-2</v>
      </c>
      <c r="TY20" s="262">
        <v>459915.89150000003</v>
      </c>
      <c r="TZ20" s="262">
        <v>520580.45549999998</v>
      </c>
      <c r="UA20" s="263">
        <v>-0.11653254239392</v>
      </c>
      <c r="UB20" s="262">
        <v>592923.6</v>
      </c>
      <c r="UC20" s="262">
        <v>638071.85649999999</v>
      </c>
      <c r="UD20" s="263">
        <v>-7.0757323082153503E-2</v>
      </c>
      <c r="UE20" s="262">
        <v>0</v>
      </c>
      <c r="UF20" s="262">
        <v>0</v>
      </c>
      <c r="UG20" s="263">
        <v>0</v>
      </c>
      <c r="UH20" s="262">
        <v>0</v>
      </c>
      <c r="UI20" s="262">
        <v>0</v>
      </c>
      <c r="UJ20" s="263">
        <v>0</v>
      </c>
      <c r="UK20" s="262">
        <v>0</v>
      </c>
      <c r="UL20" s="262">
        <v>0</v>
      </c>
      <c r="UM20" s="263">
        <v>0</v>
      </c>
      <c r="UN20" s="262">
        <v>484.06549999999999</v>
      </c>
      <c r="UO20" s="262">
        <v>529.25599999999997</v>
      </c>
      <c r="UP20" s="263">
        <v>-8.5384955484680405E-2</v>
      </c>
      <c r="UQ20" s="262">
        <v>5173.9804999999997</v>
      </c>
      <c r="UR20" s="262">
        <v>5060.8545000000004</v>
      </c>
      <c r="US20" s="263">
        <v>2.2353142142300102E-2</v>
      </c>
      <c r="UT20" s="262">
        <v>5802.5285000000003</v>
      </c>
      <c r="UU20" s="262">
        <v>6015.643</v>
      </c>
      <c r="UV20" s="263">
        <v>-3.5426719969918398E-2</v>
      </c>
      <c r="UW20" s="262">
        <v>8644.0889999999999</v>
      </c>
      <c r="UX20" s="262">
        <v>9242.7219999999998</v>
      </c>
      <c r="UY20" s="263">
        <v>-6.4768041276152197E-2</v>
      </c>
      <c r="UZ20" s="262">
        <v>110639.633</v>
      </c>
      <c r="VA20" s="262">
        <v>123850.0165</v>
      </c>
      <c r="VB20" s="263">
        <v>-0.106664366088316</v>
      </c>
      <c r="VC20" s="262">
        <v>132413.5135</v>
      </c>
      <c r="VD20" s="262">
        <v>143652.046</v>
      </c>
      <c r="VE20" s="263">
        <v>-7.8234406073130397E-2</v>
      </c>
      <c r="VF20" s="262">
        <v>0</v>
      </c>
      <c r="VG20" s="262">
        <v>0</v>
      </c>
      <c r="VH20" s="263">
        <v>0</v>
      </c>
      <c r="VI20" s="262">
        <v>0</v>
      </c>
      <c r="VJ20" s="262">
        <v>0</v>
      </c>
      <c r="VK20" s="263">
        <v>0</v>
      </c>
      <c r="VL20" s="262">
        <v>0</v>
      </c>
      <c r="VM20" s="262">
        <v>0</v>
      </c>
      <c r="VN20" s="264">
        <v>0</v>
      </c>
    </row>
    <row r="21" spans="1:586">
      <c r="A21" s="268" t="s">
        <v>67</v>
      </c>
      <c r="B21" s="262">
        <v>120829.299</v>
      </c>
      <c r="C21" s="262">
        <v>109192.247</v>
      </c>
      <c r="D21" s="263">
        <v>0.106573976813574</v>
      </c>
      <c r="E21" s="262">
        <v>968001.14850000001</v>
      </c>
      <c r="F21" s="262">
        <v>990222.76650000003</v>
      </c>
      <c r="G21" s="263">
        <v>-2.24410291822956E-2</v>
      </c>
      <c r="H21" s="262">
        <v>1163096.6195</v>
      </c>
      <c r="I21" s="262">
        <v>1231001.7435000001</v>
      </c>
      <c r="J21" s="263">
        <v>-5.5162492139882099E-2</v>
      </c>
      <c r="K21" s="262">
        <v>0</v>
      </c>
      <c r="L21" s="262">
        <v>0</v>
      </c>
      <c r="M21" s="263">
        <v>0</v>
      </c>
      <c r="N21" s="262">
        <v>0</v>
      </c>
      <c r="O21" s="262">
        <v>0</v>
      </c>
      <c r="P21" s="263">
        <v>0</v>
      </c>
      <c r="Q21" s="262">
        <v>0</v>
      </c>
      <c r="R21" s="262">
        <v>0</v>
      </c>
      <c r="S21" s="263">
        <v>0</v>
      </c>
      <c r="T21" s="262">
        <v>529.25599999999997</v>
      </c>
      <c r="U21" s="262">
        <v>280.00349999999997</v>
      </c>
      <c r="V21" s="263">
        <v>0.89017637279534001</v>
      </c>
      <c r="W21" s="262">
        <v>5060.8545000000004</v>
      </c>
      <c r="X21" s="262">
        <v>4458.9865</v>
      </c>
      <c r="Y21" s="263">
        <v>0.13497865490285699</v>
      </c>
      <c r="Z21" s="262">
        <v>6015.643</v>
      </c>
      <c r="AA21" s="262">
        <v>5336.1319999999996</v>
      </c>
      <c r="AB21" s="263">
        <v>0.127341490053095</v>
      </c>
      <c r="AC21" s="262">
        <v>9242.7219999999998</v>
      </c>
      <c r="AD21" s="262">
        <v>10861.402</v>
      </c>
      <c r="AE21" s="263">
        <v>-0.149030484278181</v>
      </c>
      <c r="AF21" s="262">
        <v>123850.0165</v>
      </c>
      <c r="AG21" s="262">
        <v>113332.97100000001</v>
      </c>
      <c r="AH21" s="263">
        <v>9.2797756974005302E-2</v>
      </c>
      <c r="AI21" s="262">
        <v>143652.046</v>
      </c>
      <c r="AJ21" s="262">
        <v>133935.42449999999</v>
      </c>
      <c r="AK21" s="263">
        <v>7.2547061662540296E-2</v>
      </c>
      <c r="AL21" s="262">
        <v>0</v>
      </c>
      <c r="AM21" s="262">
        <v>0</v>
      </c>
      <c r="AN21" s="263">
        <v>0</v>
      </c>
      <c r="AO21" s="262">
        <v>0</v>
      </c>
      <c r="AP21" s="262">
        <v>0</v>
      </c>
      <c r="AQ21" s="263">
        <v>0</v>
      </c>
      <c r="AR21" s="262">
        <v>0</v>
      </c>
      <c r="AS21" s="262">
        <v>0</v>
      </c>
      <c r="AT21" s="264">
        <v>0</v>
      </c>
      <c r="AU21" s="262">
        <v>115758.39599999999</v>
      </c>
      <c r="AV21" s="262">
        <v>89926.467999999993</v>
      </c>
      <c r="AW21" s="263">
        <v>0.28725611685316099</v>
      </c>
      <c r="AX21" s="262">
        <v>1083759.5445000001</v>
      </c>
      <c r="AY21" s="262">
        <v>1080149.2345</v>
      </c>
      <c r="AZ21" s="263">
        <v>3.3424177740321798E-3</v>
      </c>
      <c r="BA21" s="262">
        <v>1188928.5475000001</v>
      </c>
      <c r="BB21" s="262">
        <v>1203913.9280000001</v>
      </c>
      <c r="BC21" s="263">
        <v>-1.2447219150371201E-2</v>
      </c>
      <c r="BD21" s="262">
        <v>0</v>
      </c>
      <c r="BE21" s="262">
        <v>0</v>
      </c>
      <c r="BF21" s="263">
        <v>0</v>
      </c>
      <c r="BG21" s="262">
        <v>0</v>
      </c>
      <c r="BH21" s="262">
        <v>0</v>
      </c>
      <c r="BI21" s="263">
        <v>0</v>
      </c>
      <c r="BJ21" s="262">
        <v>0</v>
      </c>
      <c r="BK21" s="262">
        <v>0</v>
      </c>
      <c r="BL21" s="263">
        <v>0</v>
      </c>
      <c r="BM21" s="262">
        <v>233.876</v>
      </c>
      <c r="BN21" s="262">
        <v>304.34199999999998</v>
      </c>
      <c r="BO21" s="263">
        <v>-0.231535575109581</v>
      </c>
      <c r="BP21" s="262">
        <v>5294.7304999999997</v>
      </c>
      <c r="BQ21" s="262">
        <v>4763.3284999999996</v>
      </c>
      <c r="BR21" s="263">
        <v>0.111561064915006</v>
      </c>
      <c r="BS21" s="262">
        <v>5945.1769999999997</v>
      </c>
      <c r="BT21" s="262">
        <v>5253.0420000000004</v>
      </c>
      <c r="BU21" s="263">
        <v>0.131758893227962</v>
      </c>
      <c r="BV21" s="262">
        <v>9512.2355000000007</v>
      </c>
      <c r="BW21" s="262">
        <v>10810.194</v>
      </c>
      <c r="BX21" s="263">
        <v>-0.120068011730409</v>
      </c>
      <c r="BY21" s="262">
        <v>133362.25200000001</v>
      </c>
      <c r="BZ21" s="262">
        <v>124143.16499999999</v>
      </c>
      <c r="CA21" s="263">
        <v>7.4261736439537498E-2</v>
      </c>
      <c r="CB21" s="262">
        <v>142354.08749999999</v>
      </c>
      <c r="CC21" s="262">
        <v>134556.7905</v>
      </c>
      <c r="CD21" s="263">
        <v>5.79480007736956E-2</v>
      </c>
      <c r="CE21" s="262">
        <v>0</v>
      </c>
      <c r="CF21" s="262">
        <v>0</v>
      </c>
      <c r="CG21" s="263">
        <v>0</v>
      </c>
      <c r="CH21" s="262">
        <v>0</v>
      </c>
      <c r="CI21" s="262">
        <v>0</v>
      </c>
      <c r="CJ21" s="263">
        <v>0</v>
      </c>
      <c r="CK21" s="262">
        <v>0</v>
      </c>
      <c r="CL21" s="262">
        <v>0</v>
      </c>
      <c r="CM21" s="264">
        <v>0</v>
      </c>
      <c r="CN21" s="262">
        <v>111305.7175</v>
      </c>
      <c r="CO21" s="262">
        <v>105169.003</v>
      </c>
      <c r="CP21" s="263">
        <v>5.8350981039536898E-2</v>
      </c>
      <c r="CQ21" s="262">
        <v>1195065.2620000001</v>
      </c>
      <c r="CR21" s="262">
        <v>1185318.2375</v>
      </c>
      <c r="CS21" s="263">
        <v>8.22312876966938E-3</v>
      </c>
      <c r="CT21" s="262">
        <v>1195065.2620000001</v>
      </c>
      <c r="CU21" s="262">
        <v>1185318.2375</v>
      </c>
      <c r="CV21" s="263">
        <v>8.22312876966938E-3</v>
      </c>
      <c r="CW21" s="262">
        <v>0</v>
      </c>
      <c r="CX21" s="262">
        <v>0</v>
      </c>
      <c r="CY21" s="263">
        <v>0</v>
      </c>
      <c r="CZ21" s="262">
        <v>0</v>
      </c>
      <c r="DA21" s="262">
        <v>0</v>
      </c>
      <c r="DB21" s="263">
        <v>0</v>
      </c>
      <c r="DC21" s="262">
        <v>0</v>
      </c>
      <c r="DD21" s="262">
        <v>0</v>
      </c>
      <c r="DE21" s="263">
        <v>0</v>
      </c>
      <c r="DF21" s="262">
        <v>394.67200000000003</v>
      </c>
      <c r="DG21" s="262">
        <v>650.44650000000001</v>
      </c>
      <c r="DH21" s="263">
        <v>-0.39322911261725602</v>
      </c>
      <c r="DI21" s="262">
        <v>5689.4025000000001</v>
      </c>
      <c r="DJ21" s="262">
        <v>5413.7749999999996</v>
      </c>
      <c r="DK21" s="263">
        <v>5.09122562352518E-2</v>
      </c>
      <c r="DL21" s="262">
        <v>5689.4025000000001</v>
      </c>
      <c r="DM21" s="262">
        <v>5413.7749999999996</v>
      </c>
      <c r="DN21" s="263">
        <v>5.09122562352518E-2</v>
      </c>
      <c r="DO21" s="262">
        <v>12261.645</v>
      </c>
      <c r="DP21" s="262">
        <v>8991.8354999999992</v>
      </c>
      <c r="DQ21" s="263">
        <v>0.36364205061358201</v>
      </c>
      <c r="DR21" s="262">
        <v>145623.897</v>
      </c>
      <c r="DS21" s="262">
        <v>133135.00049999999</v>
      </c>
      <c r="DT21" s="263">
        <v>9.3806260210289399E-2</v>
      </c>
      <c r="DU21" s="262">
        <v>145623.897</v>
      </c>
      <c r="DV21" s="262">
        <v>133135.00049999999</v>
      </c>
      <c r="DW21" s="263">
        <v>9.3806260210289399E-2</v>
      </c>
      <c r="DX21" s="262">
        <v>0</v>
      </c>
      <c r="DY21" s="262">
        <v>0</v>
      </c>
      <c r="DZ21" s="263">
        <v>0</v>
      </c>
      <c r="EA21" s="262">
        <v>0</v>
      </c>
      <c r="EB21" s="262">
        <v>0</v>
      </c>
      <c r="EC21" s="263">
        <v>0</v>
      </c>
      <c r="ED21" s="262">
        <v>0</v>
      </c>
      <c r="EE21" s="262">
        <v>0</v>
      </c>
      <c r="EF21" s="264">
        <v>0</v>
      </c>
      <c r="EG21" s="262">
        <v>91833.926500000001</v>
      </c>
      <c r="EH21" s="262">
        <v>99461.145499999999</v>
      </c>
      <c r="EI21" s="263">
        <v>-7.6685412797703995E-2</v>
      </c>
      <c r="EJ21" s="262">
        <v>91833.926500000001</v>
      </c>
      <c r="EK21" s="262">
        <v>99461.145499999999</v>
      </c>
      <c r="EL21" s="263">
        <v>-7.6685412797703995E-2</v>
      </c>
      <c r="EM21" s="262">
        <v>1187438.0430000001</v>
      </c>
      <c r="EN21" s="262">
        <v>1189200.9424999999</v>
      </c>
      <c r="EO21" s="263">
        <v>-1.4824235644261799E-3</v>
      </c>
      <c r="EP21" s="262">
        <v>0</v>
      </c>
      <c r="EQ21" s="262">
        <v>0</v>
      </c>
      <c r="ER21" s="263">
        <v>0</v>
      </c>
      <c r="ES21" s="262">
        <v>0</v>
      </c>
      <c r="ET21" s="262">
        <v>0</v>
      </c>
      <c r="EU21" s="263">
        <v>0</v>
      </c>
      <c r="EV21" s="262">
        <v>0</v>
      </c>
      <c r="EW21" s="262">
        <v>0</v>
      </c>
      <c r="EX21" s="263">
        <v>0</v>
      </c>
      <c r="EY21" s="262">
        <v>593.255</v>
      </c>
      <c r="EZ21" s="262">
        <v>625.11249999999995</v>
      </c>
      <c r="FA21" s="263">
        <v>-5.0962826691195499E-2</v>
      </c>
      <c r="FB21" s="262">
        <v>593.255</v>
      </c>
      <c r="FC21" s="262">
        <v>625.11249999999995</v>
      </c>
      <c r="FD21" s="263">
        <v>-5.0962826691195499E-2</v>
      </c>
      <c r="FE21" s="262">
        <v>5657.5450000000001</v>
      </c>
      <c r="FF21" s="262">
        <v>5575.1244999999999</v>
      </c>
      <c r="FG21" s="263">
        <v>1.4783616043014E-2</v>
      </c>
      <c r="FH21" s="262">
        <v>10134.332</v>
      </c>
      <c r="FI21" s="262">
        <v>10485.035</v>
      </c>
      <c r="FJ21" s="263">
        <v>-3.3447957016833903E-2</v>
      </c>
      <c r="FK21" s="262">
        <v>10134.332</v>
      </c>
      <c r="FL21" s="262">
        <v>10485.035</v>
      </c>
      <c r="FM21" s="263">
        <v>-3.3447957016833903E-2</v>
      </c>
      <c r="FN21" s="262">
        <v>145273.19399999999</v>
      </c>
      <c r="FO21" s="262">
        <v>136258.21100000001</v>
      </c>
      <c r="FP21" s="263">
        <v>6.6161025701416104E-2</v>
      </c>
      <c r="FQ21" s="262">
        <v>0</v>
      </c>
      <c r="FR21" s="262">
        <v>0</v>
      </c>
      <c r="FS21" s="263">
        <v>0</v>
      </c>
      <c r="FT21" s="262">
        <v>0</v>
      </c>
      <c r="FU21" s="262">
        <v>0</v>
      </c>
      <c r="FV21" s="263">
        <v>0</v>
      </c>
      <c r="FW21" s="262">
        <v>0</v>
      </c>
      <c r="FX21" s="262">
        <v>0</v>
      </c>
      <c r="FY21" s="264">
        <v>0</v>
      </c>
      <c r="FZ21" s="262">
        <v>88809.292000000001</v>
      </c>
      <c r="GA21" s="262">
        <v>84220.971999999994</v>
      </c>
      <c r="GB21" s="263">
        <v>5.4479542221384097E-2</v>
      </c>
      <c r="GC21" s="262">
        <v>180643.21849999999</v>
      </c>
      <c r="GD21" s="262">
        <v>183682.11749999999</v>
      </c>
      <c r="GE21" s="263">
        <v>-1.6544337801419201E-2</v>
      </c>
      <c r="GF21" s="262">
        <v>1192026.3629999999</v>
      </c>
      <c r="GG21" s="262">
        <v>1168306.0795</v>
      </c>
      <c r="GH21" s="263">
        <v>2.03031413738354E-2</v>
      </c>
      <c r="GI21" s="262">
        <v>0</v>
      </c>
      <c r="GJ21" s="262">
        <v>0</v>
      </c>
      <c r="GK21" s="263">
        <v>0</v>
      </c>
      <c r="GL21" s="262">
        <v>0</v>
      </c>
      <c r="GM21" s="262">
        <v>0</v>
      </c>
      <c r="GN21" s="263">
        <v>0</v>
      </c>
      <c r="GO21" s="262">
        <v>0</v>
      </c>
      <c r="GP21" s="262">
        <v>0</v>
      </c>
      <c r="GQ21" s="263">
        <v>0</v>
      </c>
      <c r="GR21" s="262">
        <v>506.63900000000001</v>
      </c>
      <c r="GS21" s="262">
        <v>325.40249999999997</v>
      </c>
      <c r="GT21" s="263">
        <v>0.55696099446070602</v>
      </c>
      <c r="GU21" s="262">
        <v>1099.894</v>
      </c>
      <c r="GV21" s="262">
        <v>950.51499999999999</v>
      </c>
      <c r="GW21" s="263">
        <v>0.15715585761403</v>
      </c>
      <c r="GX21" s="262">
        <v>5838.7815000000001</v>
      </c>
      <c r="GY21" s="262">
        <v>5455.6544999999996</v>
      </c>
      <c r="GZ21" s="263">
        <v>7.0225671365369696E-2</v>
      </c>
      <c r="HA21" s="262">
        <v>8892.5329999999994</v>
      </c>
      <c r="HB21" s="262">
        <v>5608.5469999999996</v>
      </c>
      <c r="HC21" s="263">
        <v>0.585532402599105</v>
      </c>
      <c r="HD21" s="262">
        <v>19026.865000000002</v>
      </c>
      <c r="HE21" s="262">
        <v>16093.582</v>
      </c>
      <c r="HF21" s="263">
        <v>0.18226414728554499</v>
      </c>
      <c r="HG21" s="262">
        <v>148557.18</v>
      </c>
      <c r="HH21" s="262">
        <v>132036.872</v>
      </c>
      <c r="HI21" s="263">
        <v>0.125118898605838</v>
      </c>
      <c r="HJ21" s="262">
        <v>0</v>
      </c>
      <c r="HK21" s="262">
        <v>0</v>
      </c>
      <c r="HL21" s="263">
        <v>0</v>
      </c>
      <c r="HM21" s="262">
        <v>0</v>
      </c>
      <c r="HN21" s="262">
        <v>0</v>
      </c>
      <c r="HO21" s="263">
        <v>0</v>
      </c>
      <c r="HP21" s="262">
        <v>0</v>
      </c>
      <c r="HQ21" s="262">
        <v>0</v>
      </c>
      <c r="HR21" s="264">
        <v>0</v>
      </c>
      <c r="HS21" s="262">
        <v>76525.303</v>
      </c>
      <c r="HT21" s="262">
        <v>63313.068500000001</v>
      </c>
      <c r="HU21" s="263">
        <v>0.208681000826867</v>
      </c>
      <c r="HV21" s="262">
        <v>257168.5215</v>
      </c>
      <c r="HW21" s="262">
        <v>246995.18599999999</v>
      </c>
      <c r="HX21" s="263">
        <v>4.11883958742418E-2</v>
      </c>
      <c r="HY21" s="262">
        <v>1205238.5974999999</v>
      </c>
      <c r="HZ21" s="262">
        <v>1121263.1055000001</v>
      </c>
      <c r="IA21" s="263">
        <v>7.48936548327373E-2</v>
      </c>
      <c r="IB21" s="262">
        <v>0</v>
      </c>
      <c r="IC21" s="262">
        <v>0</v>
      </c>
      <c r="ID21" s="263">
        <v>0</v>
      </c>
      <c r="IE21" s="262">
        <v>0</v>
      </c>
      <c r="IF21" s="262">
        <v>0</v>
      </c>
      <c r="IG21" s="263">
        <v>0</v>
      </c>
      <c r="IH21" s="262">
        <v>0</v>
      </c>
      <c r="II21" s="262">
        <v>0</v>
      </c>
      <c r="IJ21" s="263">
        <v>0</v>
      </c>
      <c r="IK21" s="262">
        <v>561.95100000000002</v>
      </c>
      <c r="IL21" s="262">
        <v>504.22449999999998</v>
      </c>
      <c r="IM21" s="263">
        <v>0.114485710234231</v>
      </c>
      <c r="IN21" s="262">
        <v>1661.845</v>
      </c>
      <c r="IO21" s="262">
        <v>1454.7394999999999</v>
      </c>
      <c r="IP21" s="263">
        <v>0.14236603873064599</v>
      </c>
      <c r="IQ21" s="262">
        <v>5896.5079999999998</v>
      </c>
      <c r="IR21" s="262">
        <v>5515.9780000000001</v>
      </c>
      <c r="IS21" s="263">
        <v>6.8986859628519095E-2</v>
      </c>
      <c r="IT21" s="262">
        <v>9891.5329999999994</v>
      </c>
      <c r="IU21" s="262">
        <v>12829.401</v>
      </c>
      <c r="IV21" s="263">
        <v>-0.228994946841244</v>
      </c>
      <c r="IW21" s="262">
        <v>28918.398000000001</v>
      </c>
      <c r="IX21" s="262">
        <v>28922.983</v>
      </c>
      <c r="IY21" s="263">
        <v>-1.58524450953041E-4</v>
      </c>
      <c r="IZ21" s="262">
        <v>145619.31200000001</v>
      </c>
      <c r="JA21" s="262">
        <v>135228.391</v>
      </c>
      <c r="JB21" s="263">
        <v>7.6839788768913203E-2</v>
      </c>
      <c r="JC21" s="262">
        <v>0</v>
      </c>
      <c r="JD21" s="262">
        <v>0</v>
      </c>
      <c r="JE21" s="263">
        <v>0</v>
      </c>
      <c r="JF21" s="262">
        <v>0</v>
      </c>
      <c r="JG21" s="262">
        <v>0</v>
      </c>
      <c r="JH21" s="263">
        <v>0</v>
      </c>
      <c r="JI21" s="262">
        <v>0</v>
      </c>
      <c r="JJ21" s="262">
        <v>0</v>
      </c>
      <c r="JK21" s="264">
        <v>0</v>
      </c>
      <c r="JL21" s="262">
        <v>55897.608500000002</v>
      </c>
      <c r="JM21" s="262">
        <v>59505.023999999998</v>
      </c>
      <c r="JN21" s="263">
        <v>-6.0623713049842702E-2</v>
      </c>
      <c r="JO21" s="262">
        <v>313066.13</v>
      </c>
      <c r="JP21" s="262">
        <v>306500.21000000002</v>
      </c>
      <c r="JQ21" s="263">
        <v>2.1422236545939E-2</v>
      </c>
      <c r="JR21" s="262">
        <v>1201631.182</v>
      </c>
      <c r="JS21" s="262">
        <v>1100703.78</v>
      </c>
      <c r="JT21" s="263">
        <v>9.1693518123468307E-2</v>
      </c>
      <c r="JU21" s="262">
        <v>0</v>
      </c>
      <c r="JV21" s="262">
        <v>0</v>
      </c>
      <c r="JW21" s="263">
        <v>0</v>
      </c>
      <c r="JX21" s="262">
        <v>0</v>
      </c>
      <c r="JY21" s="262">
        <v>0</v>
      </c>
      <c r="JZ21" s="263">
        <v>0</v>
      </c>
      <c r="KA21" s="262">
        <v>0</v>
      </c>
      <c r="KB21" s="262">
        <v>0</v>
      </c>
      <c r="KC21" s="263">
        <v>0</v>
      </c>
      <c r="KD21" s="262">
        <v>577.69150000000002</v>
      </c>
      <c r="KE21" s="262">
        <v>514.53150000000005</v>
      </c>
      <c r="KF21" s="263">
        <v>0.12275244567145099</v>
      </c>
      <c r="KG21" s="262">
        <v>2239.5365000000002</v>
      </c>
      <c r="KH21" s="262">
        <v>1969.271</v>
      </c>
      <c r="KI21" s="263">
        <v>0.13724139541993</v>
      </c>
      <c r="KJ21" s="262">
        <v>5959.6679999999997</v>
      </c>
      <c r="KK21" s="262">
        <v>5506.3810000000003</v>
      </c>
      <c r="KL21" s="263">
        <v>8.2320311652971198E-2</v>
      </c>
      <c r="KM21" s="262">
        <v>12984.986999999999</v>
      </c>
      <c r="KN21" s="262">
        <v>11323.398999999999</v>
      </c>
      <c r="KO21" s="263">
        <v>0.14673933153817201</v>
      </c>
      <c r="KP21" s="262">
        <v>41903.385000000002</v>
      </c>
      <c r="KQ21" s="262">
        <v>40246.381999999998</v>
      </c>
      <c r="KR21" s="263">
        <v>4.1171477227443798E-2</v>
      </c>
      <c r="KS21" s="262">
        <v>147280.9</v>
      </c>
      <c r="KT21" s="262">
        <v>135894.46</v>
      </c>
      <c r="KU21" s="263">
        <v>8.3788846138393006E-2</v>
      </c>
      <c r="KV21" s="262">
        <v>0</v>
      </c>
      <c r="KW21" s="262">
        <v>0</v>
      </c>
      <c r="KX21" s="263">
        <v>0</v>
      </c>
      <c r="KY21" s="262">
        <v>0</v>
      </c>
      <c r="KZ21" s="262">
        <v>0</v>
      </c>
      <c r="LA21" s="263">
        <v>0</v>
      </c>
      <c r="LB21" s="262">
        <v>0</v>
      </c>
      <c r="LC21" s="262">
        <v>0</v>
      </c>
      <c r="LD21" s="264">
        <v>0</v>
      </c>
      <c r="LE21" s="262">
        <v>41967.688999999998</v>
      </c>
      <c r="LF21" s="262">
        <v>67609.149999999994</v>
      </c>
      <c r="LG21" s="263">
        <v>-0.379260218476345</v>
      </c>
      <c r="LH21" s="262">
        <v>355033.81900000002</v>
      </c>
      <c r="LI21" s="262">
        <v>374109.36</v>
      </c>
      <c r="LJ21" s="263">
        <v>-5.0989210748429201E-2</v>
      </c>
      <c r="LK21" s="262">
        <v>1175989.7209999999</v>
      </c>
      <c r="LL21" s="262">
        <v>1109640.7075</v>
      </c>
      <c r="LM21" s="263">
        <v>5.9793240326846901E-2</v>
      </c>
      <c r="LN21" s="262">
        <v>0</v>
      </c>
      <c r="LO21" s="262">
        <v>0</v>
      </c>
      <c r="LP21" s="263">
        <v>0</v>
      </c>
      <c r="LQ21" s="262">
        <v>0</v>
      </c>
      <c r="LR21" s="262">
        <v>0</v>
      </c>
      <c r="LS21" s="263">
        <v>0</v>
      </c>
      <c r="LT21" s="262">
        <v>0</v>
      </c>
      <c r="LU21" s="262">
        <v>0</v>
      </c>
      <c r="LV21" s="263">
        <v>0</v>
      </c>
      <c r="LW21" s="262">
        <v>609.53150000000005</v>
      </c>
      <c r="LX21" s="262">
        <v>547.97500000000002</v>
      </c>
      <c r="LY21" s="263">
        <v>0.11233450431132801</v>
      </c>
      <c r="LZ21" s="262">
        <v>2849.0680000000002</v>
      </c>
      <c r="MA21" s="262">
        <v>2517.2460000000001</v>
      </c>
      <c r="MB21" s="263">
        <v>0.131819456660176</v>
      </c>
      <c r="MC21" s="262">
        <v>6021.2245000000003</v>
      </c>
      <c r="MD21" s="262">
        <v>5597.5630000000001</v>
      </c>
      <c r="ME21" s="263">
        <v>7.5686776549009002E-2</v>
      </c>
      <c r="MF21" s="262">
        <v>10486.427</v>
      </c>
      <c r="MG21" s="262">
        <v>12275.0895</v>
      </c>
      <c r="MH21" s="263">
        <v>-0.14571482350495299</v>
      </c>
      <c r="MI21" s="262">
        <v>52389.811999999998</v>
      </c>
      <c r="MJ21" s="262">
        <v>52521.4715</v>
      </c>
      <c r="MK21" s="263">
        <v>-2.5067747768643799E-3</v>
      </c>
      <c r="ML21" s="262">
        <v>145492.23749999999</v>
      </c>
      <c r="MM21" s="262">
        <v>135940.94899999999</v>
      </c>
      <c r="MN21" s="263">
        <v>7.0260569535968098E-2</v>
      </c>
      <c r="MO21" s="262">
        <v>0</v>
      </c>
      <c r="MP21" s="262">
        <v>0</v>
      </c>
      <c r="MQ21" s="263">
        <v>0</v>
      </c>
      <c r="MR21" s="262">
        <v>0</v>
      </c>
      <c r="MS21" s="262">
        <v>0</v>
      </c>
      <c r="MT21" s="263">
        <v>0</v>
      </c>
      <c r="MU21" s="262">
        <v>0</v>
      </c>
      <c r="MV21" s="262">
        <v>0</v>
      </c>
      <c r="MW21" s="264">
        <v>0</v>
      </c>
      <c r="MX21" s="262">
        <v>59118.400999999998</v>
      </c>
      <c r="MY21" s="262">
        <v>92371.871499999994</v>
      </c>
      <c r="MZ21" s="263">
        <v>-0.35999563460181699</v>
      </c>
      <c r="NA21" s="262">
        <v>414152.22</v>
      </c>
      <c r="NB21" s="262">
        <v>466481.23149999999</v>
      </c>
      <c r="NC21" s="263">
        <v>-0.11217817130977099</v>
      </c>
      <c r="ND21" s="262">
        <v>1142736.2505000001</v>
      </c>
      <c r="NE21" s="262">
        <v>1095149.1189999999</v>
      </c>
      <c r="NF21" s="263">
        <v>4.34526501226178E-2</v>
      </c>
      <c r="NG21" s="262">
        <v>0</v>
      </c>
      <c r="NH21" s="262">
        <v>0</v>
      </c>
      <c r="NI21" s="263">
        <v>0</v>
      </c>
      <c r="NJ21" s="262">
        <v>0</v>
      </c>
      <c r="NK21" s="262">
        <v>0</v>
      </c>
      <c r="NL21" s="263">
        <v>0</v>
      </c>
      <c r="NM21" s="262">
        <v>0</v>
      </c>
      <c r="NN21" s="262">
        <v>0</v>
      </c>
      <c r="NO21" s="263">
        <v>0</v>
      </c>
      <c r="NP21" s="262">
        <v>496.51600000000002</v>
      </c>
      <c r="NQ21" s="262">
        <v>479.77949999999998</v>
      </c>
      <c r="NR21" s="263">
        <v>3.4883733048202401E-2</v>
      </c>
      <c r="NS21" s="262">
        <v>3345.5839999999998</v>
      </c>
      <c r="NT21" s="262">
        <v>2997.0255000000002</v>
      </c>
      <c r="NU21" s="263">
        <v>0.116301479583674</v>
      </c>
      <c r="NV21" s="262">
        <v>6037.9610000000002</v>
      </c>
      <c r="NW21" s="262">
        <v>5612.893</v>
      </c>
      <c r="NX21" s="263">
        <v>7.5730643716172802E-2</v>
      </c>
      <c r="NY21" s="262">
        <v>14345.347</v>
      </c>
      <c r="NZ21" s="262">
        <v>16584.269499999999</v>
      </c>
      <c r="OA21" s="263">
        <v>-0.13500278079779099</v>
      </c>
      <c r="OB21" s="262">
        <v>66735.159</v>
      </c>
      <c r="OC21" s="262">
        <v>69105.740999999995</v>
      </c>
      <c r="OD21" s="263">
        <v>-3.4303691208520497E-2</v>
      </c>
      <c r="OE21" s="262">
        <v>143253.315</v>
      </c>
      <c r="OF21" s="262">
        <v>136927.565</v>
      </c>
      <c r="OG21" s="263">
        <v>4.6197783477709503E-2</v>
      </c>
      <c r="OH21" s="262">
        <v>0</v>
      </c>
      <c r="OI21" s="262">
        <v>0</v>
      </c>
      <c r="OJ21" s="263">
        <v>0</v>
      </c>
      <c r="OK21" s="262">
        <v>0</v>
      </c>
      <c r="OL21" s="262">
        <v>0</v>
      </c>
      <c r="OM21" s="263">
        <v>0</v>
      </c>
      <c r="ON21" s="262">
        <v>0</v>
      </c>
      <c r="OO21" s="262">
        <v>0</v>
      </c>
      <c r="OP21" s="264">
        <v>0</v>
      </c>
      <c r="OQ21" s="262">
        <v>84448.240999999995</v>
      </c>
      <c r="OR21" s="262">
        <v>121095.00750000001</v>
      </c>
      <c r="OS21" s="263">
        <v>-0.30262821941689</v>
      </c>
      <c r="OT21" s="262">
        <v>498600.46100000001</v>
      </c>
      <c r="OU21" s="262">
        <v>587576.23899999994</v>
      </c>
      <c r="OV21" s="263">
        <v>-0.15142848211736501</v>
      </c>
      <c r="OW21" s="262">
        <v>1106089.4839999999</v>
      </c>
      <c r="OX21" s="262">
        <v>1102211.2694999999</v>
      </c>
      <c r="OY21" s="263">
        <v>3.5185763449499898E-3</v>
      </c>
      <c r="OZ21" s="262">
        <v>0</v>
      </c>
      <c r="PA21" s="262">
        <v>0</v>
      </c>
      <c r="PB21" s="263">
        <v>0</v>
      </c>
      <c r="PC21" s="262">
        <v>0</v>
      </c>
      <c r="PD21" s="262">
        <v>0</v>
      </c>
      <c r="PE21" s="263">
        <v>0</v>
      </c>
      <c r="PF21" s="262">
        <v>0</v>
      </c>
      <c r="PG21" s="262">
        <v>0</v>
      </c>
      <c r="PH21" s="263">
        <v>0</v>
      </c>
      <c r="PI21" s="262">
        <v>430.61149999999998</v>
      </c>
      <c r="PJ21" s="262">
        <v>573.66099999999994</v>
      </c>
      <c r="PK21" s="263">
        <v>-0.24936242833311001</v>
      </c>
      <c r="PL21" s="262">
        <v>3776.1954999999998</v>
      </c>
      <c r="PM21" s="262">
        <v>3570.6864999999998</v>
      </c>
      <c r="PN21" s="263">
        <v>5.7554478669578003E-2</v>
      </c>
      <c r="PO21" s="262">
        <v>5894.9115000000002</v>
      </c>
      <c r="PP21" s="262">
        <v>5762.96</v>
      </c>
      <c r="PQ21" s="263">
        <v>2.2896480280966702E-2</v>
      </c>
      <c r="PR21" s="262">
        <v>9478.5565000000006</v>
      </c>
      <c r="PS21" s="262">
        <v>15726.691000000001</v>
      </c>
      <c r="PT21" s="263">
        <v>-0.397294923642869</v>
      </c>
      <c r="PU21" s="262">
        <v>76213.715500000006</v>
      </c>
      <c r="PV21" s="262">
        <v>84832.432000000001</v>
      </c>
      <c r="PW21" s="263">
        <v>-0.10159695174128699</v>
      </c>
      <c r="PX21" s="262">
        <v>137005.18049999999</v>
      </c>
      <c r="PY21" s="262">
        <v>140113.06</v>
      </c>
      <c r="PZ21" s="263">
        <v>-2.2181226361054501E-2</v>
      </c>
      <c r="QA21" s="262">
        <v>0</v>
      </c>
      <c r="QB21" s="262">
        <v>0</v>
      </c>
      <c r="QC21" s="263">
        <v>0</v>
      </c>
      <c r="QD21" s="262">
        <v>0</v>
      </c>
      <c r="QE21" s="262">
        <v>0</v>
      </c>
      <c r="QF21" s="263">
        <v>0</v>
      </c>
      <c r="QG21" s="262">
        <v>0</v>
      </c>
      <c r="QH21" s="262">
        <v>0</v>
      </c>
      <c r="QI21" s="264">
        <v>0</v>
      </c>
      <c r="QJ21" s="262">
        <v>93167.946500000005</v>
      </c>
      <c r="QK21" s="262">
        <v>140658.54699999999</v>
      </c>
      <c r="QL21" s="263">
        <v>-0.33763039298280301</v>
      </c>
      <c r="QM21" s="262">
        <v>591768.40749999997</v>
      </c>
      <c r="QN21" s="262">
        <v>728234.78599999996</v>
      </c>
      <c r="QO21" s="263">
        <v>-0.187393380711149</v>
      </c>
      <c r="QP21" s="262">
        <v>1058598.8835</v>
      </c>
      <c r="QQ21" s="262">
        <v>1138573.2675000001</v>
      </c>
      <c r="QR21" s="263">
        <v>-7.0240876264030194E-2</v>
      </c>
      <c r="QS21" s="262">
        <v>0</v>
      </c>
      <c r="QT21" s="262">
        <v>0</v>
      </c>
      <c r="QU21" s="263">
        <v>0</v>
      </c>
      <c r="QV21" s="262">
        <v>0</v>
      </c>
      <c r="QW21" s="262">
        <v>0</v>
      </c>
      <c r="QX21" s="263">
        <v>0</v>
      </c>
      <c r="QY21" s="262">
        <v>0</v>
      </c>
      <c r="QZ21" s="262">
        <v>0</v>
      </c>
      <c r="RA21" s="263">
        <v>0</v>
      </c>
      <c r="RB21" s="262">
        <v>569.72400000000005</v>
      </c>
      <c r="RC21" s="262">
        <v>493.64699999999999</v>
      </c>
      <c r="RD21" s="263">
        <v>0.15411214896474601</v>
      </c>
      <c r="RE21" s="262">
        <v>4345.9195</v>
      </c>
      <c r="RF21" s="262">
        <v>4064.3335000000002</v>
      </c>
      <c r="RG21" s="263">
        <v>6.9282208263667294E-2</v>
      </c>
      <c r="RH21" s="262">
        <v>5970.9885000000004</v>
      </c>
      <c r="RI21" s="262">
        <v>5730.5045</v>
      </c>
      <c r="RJ21" s="263">
        <v>4.1965589591631998E-2</v>
      </c>
      <c r="RK21" s="262">
        <v>11851.8485</v>
      </c>
      <c r="RL21" s="262">
        <v>15578.734</v>
      </c>
      <c r="RM21" s="263">
        <v>-0.23922903491387701</v>
      </c>
      <c r="RN21" s="262">
        <v>88065.563999999998</v>
      </c>
      <c r="RO21" s="262">
        <v>100411.166</v>
      </c>
      <c r="RP21" s="263">
        <v>-0.12295048939079101</v>
      </c>
      <c r="RQ21" s="262">
        <v>133278.29500000001</v>
      </c>
      <c r="RR21" s="262">
        <v>141008.68</v>
      </c>
      <c r="RS21" s="263">
        <v>-5.4822050670923099E-2</v>
      </c>
      <c r="RT21" s="262">
        <v>0</v>
      </c>
      <c r="RU21" s="262">
        <v>0</v>
      </c>
      <c r="RV21" s="263">
        <v>0</v>
      </c>
      <c r="RW21" s="262">
        <v>0</v>
      </c>
      <c r="RX21" s="262">
        <v>0</v>
      </c>
      <c r="RY21" s="263">
        <v>0</v>
      </c>
      <c r="RZ21" s="262">
        <v>0</v>
      </c>
      <c r="SA21" s="262">
        <v>0</v>
      </c>
      <c r="SB21" s="264">
        <v>0</v>
      </c>
      <c r="SC21" s="262">
        <v>70060.862999999998</v>
      </c>
      <c r="SD21" s="262">
        <v>118937.0635</v>
      </c>
      <c r="SE21" s="263">
        <v>-0.410941712042521</v>
      </c>
      <c r="SF21" s="262">
        <v>661829.27049999998</v>
      </c>
      <c r="SG21" s="262">
        <v>847171.84950000001</v>
      </c>
      <c r="SH21" s="263">
        <v>-0.21877801901631799</v>
      </c>
      <c r="SI21" s="262">
        <v>1009722.683</v>
      </c>
      <c r="SJ21" s="262">
        <v>1151459.5674999999</v>
      </c>
      <c r="SK21" s="263">
        <v>-0.12309323618521199</v>
      </c>
      <c r="SL21" s="262">
        <v>0</v>
      </c>
      <c r="SM21" s="262">
        <v>0</v>
      </c>
      <c r="SN21" s="263">
        <v>0</v>
      </c>
      <c r="SO21" s="262">
        <v>0</v>
      </c>
      <c r="SP21" s="262">
        <v>0</v>
      </c>
      <c r="SQ21" s="263">
        <v>0</v>
      </c>
      <c r="SR21" s="262">
        <v>0</v>
      </c>
      <c r="SS21" s="262">
        <v>0</v>
      </c>
      <c r="ST21" s="263">
        <v>0</v>
      </c>
      <c r="SU21" s="262">
        <v>343.99549999999999</v>
      </c>
      <c r="SV21" s="262">
        <v>467.26499999999999</v>
      </c>
      <c r="SW21" s="263">
        <v>-0.26381068558526699</v>
      </c>
      <c r="SX21" s="262">
        <v>4689.915</v>
      </c>
      <c r="SY21" s="262">
        <v>4531.5985000000001</v>
      </c>
      <c r="SZ21" s="263">
        <v>3.4936126843540902E-2</v>
      </c>
      <c r="TA21" s="262">
        <v>5847.7190000000001</v>
      </c>
      <c r="TB21" s="262">
        <v>5766.3905000000004</v>
      </c>
      <c r="TC21" s="263">
        <v>1.41038835299135E-2</v>
      </c>
      <c r="TD21" s="262">
        <v>13929.98</v>
      </c>
      <c r="TE21" s="262">
        <v>14196.128500000001</v>
      </c>
      <c r="TF21" s="263">
        <v>-1.8747963573308098E-2</v>
      </c>
      <c r="TG21" s="262">
        <v>101995.54399999999</v>
      </c>
      <c r="TH21" s="262">
        <v>114607.2945</v>
      </c>
      <c r="TI21" s="263">
        <v>-0.110043174433369</v>
      </c>
      <c r="TJ21" s="262">
        <v>133012.1465</v>
      </c>
      <c r="TK21" s="262">
        <v>145270.726</v>
      </c>
      <c r="TL21" s="263">
        <v>-8.43843755554715E-2</v>
      </c>
      <c r="TM21" s="262">
        <v>0</v>
      </c>
      <c r="TN21" s="262">
        <v>0</v>
      </c>
      <c r="TO21" s="263">
        <v>0</v>
      </c>
      <c r="TP21" s="262">
        <v>0</v>
      </c>
      <c r="TQ21" s="262">
        <v>0</v>
      </c>
      <c r="TR21" s="263">
        <v>0</v>
      </c>
      <c r="TS21" s="262">
        <v>0</v>
      </c>
      <c r="TT21" s="262">
        <v>0</v>
      </c>
      <c r="TU21" s="264">
        <v>0</v>
      </c>
      <c r="TV21" s="262">
        <v>89153.630999999994</v>
      </c>
      <c r="TW21" s="262">
        <v>120829.299</v>
      </c>
      <c r="TX21" s="263">
        <v>-0.26215221193992</v>
      </c>
      <c r="TY21" s="262">
        <v>750982.90150000004</v>
      </c>
      <c r="TZ21" s="262">
        <v>968001.14850000001</v>
      </c>
      <c r="UA21" s="263">
        <v>-0.22419213792906001</v>
      </c>
      <c r="UB21" s="262">
        <v>978047.01500000001</v>
      </c>
      <c r="UC21" s="262">
        <v>1163096.6195</v>
      </c>
      <c r="UD21" s="263">
        <v>-0.15910080159939799</v>
      </c>
      <c r="UE21" s="262">
        <v>0</v>
      </c>
      <c r="UF21" s="262">
        <v>0</v>
      </c>
      <c r="UG21" s="263">
        <v>0</v>
      </c>
      <c r="UH21" s="262">
        <v>0</v>
      </c>
      <c r="UI21" s="262">
        <v>0</v>
      </c>
      <c r="UJ21" s="263">
        <v>0</v>
      </c>
      <c r="UK21" s="262">
        <v>0</v>
      </c>
      <c r="UL21" s="262">
        <v>0</v>
      </c>
      <c r="UM21" s="263">
        <v>0</v>
      </c>
      <c r="UN21" s="262">
        <v>484.06549999999999</v>
      </c>
      <c r="UO21" s="262">
        <v>529.25599999999997</v>
      </c>
      <c r="UP21" s="263">
        <v>-8.5384955484680405E-2</v>
      </c>
      <c r="UQ21" s="262">
        <v>5173.9804999999997</v>
      </c>
      <c r="UR21" s="262">
        <v>5060.8545000000004</v>
      </c>
      <c r="US21" s="263">
        <v>2.2353142142300102E-2</v>
      </c>
      <c r="UT21" s="262">
        <v>5802.5285000000003</v>
      </c>
      <c r="UU21" s="262">
        <v>6015.643</v>
      </c>
      <c r="UV21" s="263">
        <v>-3.5426719969918398E-2</v>
      </c>
      <c r="UW21" s="262">
        <v>8644.0889999999999</v>
      </c>
      <c r="UX21" s="262">
        <v>9242.7219999999998</v>
      </c>
      <c r="UY21" s="263">
        <v>-6.4768041276152197E-2</v>
      </c>
      <c r="UZ21" s="262">
        <v>110639.633</v>
      </c>
      <c r="VA21" s="262">
        <v>123850.0165</v>
      </c>
      <c r="VB21" s="263">
        <v>-0.106664366088316</v>
      </c>
      <c r="VC21" s="262">
        <v>132413.5135</v>
      </c>
      <c r="VD21" s="262">
        <v>143652.046</v>
      </c>
      <c r="VE21" s="263">
        <v>-7.8234406073130397E-2</v>
      </c>
      <c r="VF21" s="262">
        <v>0</v>
      </c>
      <c r="VG21" s="262">
        <v>0</v>
      </c>
      <c r="VH21" s="263">
        <v>0</v>
      </c>
      <c r="VI21" s="262">
        <v>0</v>
      </c>
      <c r="VJ21" s="262">
        <v>0</v>
      </c>
      <c r="VK21" s="263">
        <v>0</v>
      </c>
      <c r="VL21" s="262">
        <v>0</v>
      </c>
      <c r="VM21" s="262">
        <v>0</v>
      </c>
      <c r="VN21" s="264">
        <v>0</v>
      </c>
    </row>
    <row r="22" spans="1:586">
      <c r="A22" s="269" t="s">
        <v>10</v>
      </c>
      <c r="B22" s="265">
        <v>20239052.988747001</v>
      </c>
      <c r="C22" s="265">
        <v>19419911.213583</v>
      </c>
      <c r="D22" s="266">
        <v>4.2180510824944603E-2</v>
      </c>
      <c r="E22" s="265">
        <v>207957963.41430101</v>
      </c>
      <c r="F22" s="265">
        <v>208278906.37013701</v>
      </c>
      <c r="G22" s="266">
        <v>-1.54092875476153E-3</v>
      </c>
      <c r="H22" s="265">
        <v>249429328.53830999</v>
      </c>
      <c r="I22" s="265">
        <v>249070545.384873</v>
      </c>
      <c r="J22" s="266">
        <v>1.4404880869497601E-3</v>
      </c>
      <c r="K22" s="265">
        <v>15980.857</v>
      </c>
      <c r="L22" s="265">
        <v>15672.695</v>
      </c>
      <c r="M22" s="266">
        <v>1.96623490727026E-2</v>
      </c>
      <c r="N22" s="265">
        <v>157306.033</v>
      </c>
      <c r="O22" s="265">
        <v>156146.78700000001</v>
      </c>
      <c r="P22" s="266">
        <v>7.4240784730332902E-3</v>
      </c>
      <c r="Q22" s="265">
        <v>187389.13</v>
      </c>
      <c r="R22" s="265">
        <v>187039.462</v>
      </c>
      <c r="S22" s="266">
        <v>1.8694878410202901E-3</v>
      </c>
      <c r="T22" s="265">
        <v>16701.7</v>
      </c>
      <c r="U22" s="265">
        <v>16825.106</v>
      </c>
      <c r="V22" s="266">
        <v>-7.3346343256321302E-3</v>
      </c>
      <c r="W22" s="265">
        <v>171254.557</v>
      </c>
      <c r="X22" s="265">
        <v>170748.253</v>
      </c>
      <c r="Y22" s="266">
        <v>2.96520749761365E-3</v>
      </c>
      <c r="Z22" s="265">
        <v>202554.465</v>
      </c>
      <c r="AA22" s="265">
        <v>200656.91899999999</v>
      </c>
      <c r="AB22" s="266">
        <v>9.4566686733588406E-3</v>
      </c>
      <c r="AC22" s="265">
        <v>359961.63900000002</v>
      </c>
      <c r="AD22" s="265">
        <v>367220.72499999998</v>
      </c>
      <c r="AE22" s="266">
        <v>-1.9767637025388401E-2</v>
      </c>
      <c r="AF22" s="265">
        <v>3802762.844</v>
      </c>
      <c r="AG22" s="265">
        <v>4004413.673</v>
      </c>
      <c r="AH22" s="266">
        <v>-5.03571422602122E-2</v>
      </c>
      <c r="AI22" s="265">
        <v>4419484.1119999997</v>
      </c>
      <c r="AJ22" s="265">
        <v>4630088.9349999996</v>
      </c>
      <c r="AK22" s="266">
        <v>-4.54861290909521E-2</v>
      </c>
      <c r="AL22" s="265">
        <v>778087.39</v>
      </c>
      <c r="AM22" s="265">
        <v>812235.26300000004</v>
      </c>
      <c r="AN22" s="266">
        <v>-4.2041849887031899E-2</v>
      </c>
      <c r="AO22" s="265">
        <v>7390949.4939999999</v>
      </c>
      <c r="AP22" s="265">
        <v>7371051.2120000003</v>
      </c>
      <c r="AQ22" s="266">
        <v>2.6995175352474E-3</v>
      </c>
      <c r="AR22" s="265">
        <v>8872484.7980000004</v>
      </c>
      <c r="AS22" s="265">
        <v>8799316.3110000007</v>
      </c>
      <c r="AT22" s="267">
        <v>8.3152468230439508E-3</v>
      </c>
      <c r="AU22" s="265">
        <v>19356006.068163998</v>
      </c>
      <c r="AV22" s="265">
        <v>20244281.193650998</v>
      </c>
      <c r="AW22" s="266">
        <v>-4.3877829841919999E-2</v>
      </c>
      <c r="AX22" s="265">
        <v>227313969.482465</v>
      </c>
      <c r="AY22" s="265">
        <v>228523187.563788</v>
      </c>
      <c r="AZ22" s="266">
        <v>-5.29144588876964E-3</v>
      </c>
      <c r="BA22" s="265">
        <v>248541053.41282299</v>
      </c>
      <c r="BB22" s="265">
        <v>249199714.027592</v>
      </c>
      <c r="BC22" s="266">
        <v>-2.64310341341745E-3</v>
      </c>
      <c r="BD22" s="265">
        <v>14706.832</v>
      </c>
      <c r="BE22" s="265">
        <v>14659.133</v>
      </c>
      <c r="BF22" s="266">
        <v>3.2538759284059002E-3</v>
      </c>
      <c r="BG22" s="265">
        <v>172012.86499999999</v>
      </c>
      <c r="BH22" s="265">
        <v>170805.92</v>
      </c>
      <c r="BI22" s="266">
        <v>7.0661777999264097E-3</v>
      </c>
      <c r="BJ22" s="265">
        <v>187436.829</v>
      </c>
      <c r="BK22" s="265">
        <v>186540.83300000001</v>
      </c>
      <c r="BL22" s="266">
        <v>4.8032164625317402E-3</v>
      </c>
      <c r="BM22" s="265">
        <v>15365.933000000001</v>
      </c>
      <c r="BN22" s="265">
        <v>15214.311</v>
      </c>
      <c r="BO22" s="266">
        <v>9.9657486954224401E-3</v>
      </c>
      <c r="BP22" s="265">
        <v>186620.49</v>
      </c>
      <c r="BQ22" s="265">
        <v>185962.56400000001</v>
      </c>
      <c r="BR22" s="266">
        <v>3.5379486378774999E-3</v>
      </c>
      <c r="BS22" s="265">
        <v>202706.087</v>
      </c>
      <c r="BT22" s="265">
        <v>201147.93599999999</v>
      </c>
      <c r="BU22" s="266">
        <v>7.7462937526735698E-3</v>
      </c>
      <c r="BV22" s="265">
        <v>307022.82500000001</v>
      </c>
      <c r="BW22" s="265">
        <v>306746.027</v>
      </c>
      <c r="BX22" s="266">
        <v>9.0236865561753397E-4</v>
      </c>
      <c r="BY22" s="265">
        <v>4109785.6690000002</v>
      </c>
      <c r="BZ22" s="265">
        <v>4311159.7</v>
      </c>
      <c r="CA22" s="266">
        <v>-4.6709944658278497E-2</v>
      </c>
      <c r="CB22" s="265">
        <v>4419760.91</v>
      </c>
      <c r="CC22" s="265">
        <v>4630180.3420000002</v>
      </c>
      <c r="CD22" s="266">
        <v>-4.5445191430515598E-2</v>
      </c>
      <c r="CE22" s="265">
        <v>748315.21600000001</v>
      </c>
      <c r="CF22" s="265">
        <v>739605.37600000005</v>
      </c>
      <c r="CG22" s="266">
        <v>1.1776334086571199E-2</v>
      </c>
      <c r="CH22" s="265">
        <v>8139264.71</v>
      </c>
      <c r="CI22" s="265">
        <v>8110656.5880000005</v>
      </c>
      <c r="CJ22" s="266">
        <v>3.5272263952499301E-3</v>
      </c>
      <c r="CK22" s="265">
        <v>8881194.6380000003</v>
      </c>
      <c r="CL22" s="265">
        <v>8829609.4000000004</v>
      </c>
      <c r="CM22" s="267">
        <v>5.84230124607776E-3</v>
      </c>
      <c r="CN22" s="265">
        <v>21327671.111953001</v>
      </c>
      <c r="CO22" s="265">
        <v>21227083.930358</v>
      </c>
      <c r="CP22" s="266">
        <v>4.7386245762727E-3</v>
      </c>
      <c r="CQ22" s="265">
        <v>248641640.59441799</v>
      </c>
      <c r="CR22" s="265">
        <v>249750271.49414599</v>
      </c>
      <c r="CS22" s="266">
        <v>-4.4389577360441201E-3</v>
      </c>
      <c r="CT22" s="265">
        <v>248641640.59441799</v>
      </c>
      <c r="CU22" s="265">
        <v>249750271.49414599</v>
      </c>
      <c r="CV22" s="266">
        <v>-4.4389577360441201E-3</v>
      </c>
      <c r="CW22" s="265">
        <v>14502.299000000001</v>
      </c>
      <c r="CX22" s="265">
        <v>15423.964</v>
      </c>
      <c r="CY22" s="266">
        <v>-5.9755391026586897E-2</v>
      </c>
      <c r="CZ22" s="265">
        <v>186515.16399999999</v>
      </c>
      <c r="DA22" s="265">
        <v>186229.88399999999</v>
      </c>
      <c r="DB22" s="266">
        <v>1.53187014818754E-3</v>
      </c>
      <c r="DC22" s="265">
        <v>186515.16399999999</v>
      </c>
      <c r="DD22" s="265">
        <v>186229.88399999999</v>
      </c>
      <c r="DE22" s="266">
        <v>1.53187014818754E-3</v>
      </c>
      <c r="DF22" s="265">
        <v>16395.311000000002</v>
      </c>
      <c r="DG22" s="265">
        <v>16085.597</v>
      </c>
      <c r="DH22" s="266">
        <v>1.9254119073106299E-2</v>
      </c>
      <c r="DI22" s="265">
        <v>203015.80100000001</v>
      </c>
      <c r="DJ22" s="265">
        <v>202048.16099999999</v>
      </c>
      <c r="DK22" s="266">
        <v>4.7891551955279296E-3</v>
      </c>
      <c r="DL22" s="265">
        <v>203015.80100000001</v>
      </c>
      <c r="DM22" s="265">
        <v>202048.16099999999</v>
      </c>
      <c r="DN22" s="266">
        <v>4.7891551955279296E-3</v>
      </c>
      <c r="DO22" s="265">
        <v>374619.49800000002</v>
      </c>
      <c r="DP22" s="265">
        <v>309975.24099999998</v>
      </c>
      <c r="DQ22" s="266">
        <v>0.20854651742975799</v>
      </c>
      <c r="DR22" s="265">
        <v>4484405.1670000004</v>
      </c>
      <c r="DS22" s="265">
        <v>4621134.9409999996</v>
      </c>
      <c r="DT22" s="266">
        <v>-2.95879206614145E-2</v>
      </c>
      <c r="DU22" s="265">
        <v>4484405.1670000004</v>
      </c>
      <c r="DV22" s="265">
        <v>4621134.9409999996</v>
      </c>
      <c r="DW22" s="266">
        <v>-2.95879206614145E-2</v>
      </c>
      <c r="DX22" s="265">
        <v>757221.86800000002</v>
      </c>
      <c r="DY22" s="265">
        <v>741929.92799999996</v>
      </c>
      <c r="DZ22" s="266">
        <v>2.0611029994735498E-2</v>
      </c>
      <c r="EA22" s="265">
        <v>8896486.5779999997</v>
      </c>
      <c r="EB22" s="265">
        <v>8852586.5160000008</v>
      </c>
      <c r="EC22" s="266">
        <v>4.9590096544840099E-3</v>
      </c>
      <c r="ED22" s="265">
        <v>8896486.5779999997</v>
      </c>
      <c r="EE22" s="265">
        <v>8852586.5160000008</v>
      </c>
      <c r="EF22" s="267">
        <v>4.9590096544840099E-3</v>
      </c>
      <c r="EG22" s="265">
        <v>23200606.147907</v>
      </c>
      <c r="EH22" s="265">
        <v>22019077.911665</v>
      </c>
      <c r="EI22" s="266">
        <v>5.3659296769010802E-2</v>
      </c>
      <c r="EJ22" s="265">
        <v>23200606.147907</v>
      </c>
      <c r="EK22" s="265">
        <v>22019077.911665</v>
      </c>
      <c r="EL22" s="266">
        <v>5.3659296769010802E-2</v>
      </c>
      <c r="EM22" s="265">
        <v>249823168.83065999</v>
      </c>
      <c r="EN22" s="265">
        <v>249397687.99876499</v>
      </c>
      <c r="EO22" s="266">
        <v>1.7060335855926599E-3</v>
      </c>
      <c r="EP22" s="265">
        <v>17093.042000000001</v>
      </c>
      <c r="EQ22" s="265">
        <v>15948.752</v>
      </c>
      <c r="ER22" s="266">
        <v>7.1747933631421498E-2</v>
      </c>
      <c r="ES22" s="265">
        <v>17093.042000000001</v>
      </c>
      <c r="ET22" s="265">
        <v>15948.752</v>
      </c>
      <c r="EU22" s="266">
        <v>7.1747933631421498E-2</v>
      </c>
      <c r="EV22" s="265">
        <v>187659.454</v>
      </c>
      <c r="EW22" s="265">
        <v>185536.40400000001</v>
      </c>
      <c r="EX22" s="266">
        <v>1.1442767857029201E-2</v>
      </c>
      <c r="EY22" s="265">
        <v>18605.823</v>
      </c>
      <c r="EZ22" s="265">
        <v>16549.522000000001</v>
      </c>
      <c r="FA22" s="266">
        <v>0.12425138321215599</v>
      </c>
      <c r="FB22" s="265">
        <v>18605.823</v>
      </c>
      <c r="FC22" s="265">
        <v>16549.522000000001</v>
      </c>
      <c r="FD22" s="266">
        <v>0.12425138321215599</v>
      </c>
      <c r="FE22" s="265">
        <v>205072.10200000001</v>
      </c>
      <c r="FF22" s="265">
        <v>202339.40700000001</v>
      </c>
      <c r="FG22" s="266">
        <v>1.3505500685785699E-2</v>
      </c>
      <c r="FH22" s="265">
        <v>373384.17200000002</v>
      </c>
      <c r="FI22" s="265">
        <v>326574.63199999998</v>
      </c>
      <c r="FJ22" s="266">
        <v>0.14333489320137999</v>
      </c>
      <c r="FK22" s="265">
        <v>373384.17200000002</v>
      </c>
      <c r="FL22" s="265">
        <v>326574.63199999998</v>
      </c>
      <c r="FM22" s="266">
        <v>0.14333489320137999</v>
      </c>
      <c r="FN22" s="265">
        <v>4531214.7070000004</v>
      </c>
      <c r="FO22" s="265">
        <v>4617603.9570000004</v>
      </c>
      <c r="FP22" s="266">
        <v>-1.8708674629628899E-2</v>
      </c>
      <c r="FQ22" s="265">
        <v>756452.91500000004</v>
      </c>
      <c r="FR22" s="265">
        <v>749003.701</v>
      </c>
      <c r="FS22" s="266">
        <v>9.9454969181789806E-3</v>
      </c>
      <c r="FT22" s="265">
        <v>756452.91500000004</v>
      </c>
      <c r="FU22" s="265">
        <v>749003.701</v>
      </c>
      <c r="FV22" s="266">
        <v>9.9454969181789806E-3</v>
      </c>
      <c r="FW22" s="265">
        <v>8903935.7919999994</v>
      </c>
      <c r="FX22" s="265">
        <v>8873654.8780000005</v>
      </c>
      <c r="FY22" s="267">
        <v>3.4124511733124498E-3</v>
      </c>
      <c r="FZ22" s="265">
        <v>20550044.760343999</v>
      </c>
      <c r="GA22" s="265">
        <v>20758287.393748</v>
      </c>
      <c r="GB22" s="266">
        <v>-1.0031782943072699E-2</v>
      </c>
      <c r="GC22" s="265">
        <v>43750650.908251002</v>
      </c>
      <c r="GD22" s="265">
        <v>42777365.305413</v>
      </c>
      <c r="GE22" s="266">
        <v>2.2752350358399599E-2</v>
      </c>
      <c r="GF22" s="265">
        <v>249614926.197256</v>
      </c>
      <c r="GG22" s="265">
        <v>249567607.89502501</v>
      </c>
      <c r="GH22" s="266">
        <v>1.8960113706285799E-4</v>
      </c>
      <c r="GI22" s="265">
        <v>15508.661</v>
      </c>
      <c r="GJ22" s="265">
        <v>14658.486000000001</v>
      </c>
      <c r="GK22" s="266">
        <v>5.7998827436885302E-2</v>
      </c>
      <c r="GL22" s="265">
        <v>32601.703000000001</v>
      </c>
      <c r="GM22" s="265">
        <v>30607.238000000001</v>
      </c>
      <c r="GN22" s="266">
        <v>6.5163181336388307E-2</v>
      </c>
      <c r="GO22" s="265">
        <v>188509.62899999999</v>
      </c>
      <c r="GP22" s="265">
        <v>184494.647</v>
      </c>
      <c r="GQ22" s="266">
        <v>2.1762051448571199E-2</v>
      </c>
      <c r="GR22" s="265">
        <v>16301.544</v>
      </c>
      <c r="GS22" s="265">
        <v>15029.584000000001</v>
      </c>
      <c r="GT22" s="266">
        <v>8.4630419577814003E-2</v>
      </c>
      <c r="GU22" s="265">
        <v>34907.366999999998</v>
      </c>
      <c r="GV22" s="265">
        <v>31579.106</v>
      </c>
      <c r="GW22" s="266">
        <v>0.105394402235453</v>
      </c>
      <c r="GX22" s="265">
        <v>206344.06200000001</v>
      </c>
      <c r="GY22" s="265">
        <v>202468.32</v>
      </c>
      <c r="GZ22" s="266">
        <v>1.91424613984056E-2</v>
      </c>
      <c r="HA22" s="265">
        <v>329447.27299999999</v>
      </c>
      <c r="HB22" s="265">
        <v>295353.679</v>
      </c>
      <c r="HC22" s="266">
        <v>0.115433110958472</v>
      </c>
      <c r="HD22" s="265">
        <v>702831.44499999995</v>
      </c>
      <c r="HE22" s="265">
        <v>621928.31099999999</v>
      </c>
      <c r="HF22" s="266">
        <v>0.130084340219077</v>
      </c>
      <c r="HG22" s="265">
        <v>4565308.301</v>
      </c>
      <c r="HH22" s="265">
        <v>4568014.1040000003</v>
      </c>
      <c r="HI22" s="266">
        <v>-5.9233683136638302E-4</v>
      </c>
      <c r="HJ22" s="265">
        <v>677406.42799999996</v>
      </c>
      <c r="HK22" s="265">
        <v>697913.48699999996</v>
      </c>
      <c r="HL22" s="266">
        <v>-2.9383382585354601E-2</v>
      </c>
      <c r="HM22" s="265">
        <v>1433859.3430000001</v>
      </c>
      <c r="HN22" s="265">
        <v>1446917.1880000001</v>
      </c>
      <c r="HO22" s="266">
        <v>-9.0245973358358995E-3</v>
      </c>
      <c r="HP22" s="265">
        <v>8883428.7329999991</v>
      </c>
      <c r="HQ22" s="265">
        <v>8914048.7039999999</v>
      </c>
      <c r="HR22" s="267">
        <v>-3.4350239735911302E-3</v>
      </c>
      <c r="HS22" s="265">
        <v>22644361.689351998</v>
      </c>
      <c r="HT22" s="265">
        <v>20948431.478188001</v>
      </c>
      <c r="HU22" s="266">
        <v>8.0957383989815307E-2</v>
      </c>
      <c r="HV22" s="265">
        <v>66395012.597603001</v>
      </c>
      <c r="HW22" s="265">
        <v>63725796.783601001</v>
      </c>
      <c r="HX22" s="266">
        <v>4.1885954334413202E-2</v>
      </c>
      <c r="HY22" s="265">
        <v>251310856.40842</v>
      </c>
      <c r="HZ22" s="265">
        <v>248001015.51632401</v>
      </c>
      <c r="IA22" s="266">
        <v>1.33460779795806E-2</v>
      </c>
      <c r="IB22" s="265">
        <v>16984.402999999998</v>
      </c>
      <c r="IC22" s="265">
        <v>15348.767</v>
      </c>
      <c r="ID22" s="266">
        <v>0.106564651088912</v>
      </c>
      <c r="IE22" s="265">
        <v>49586.106</v>
      </c>
      <c r="IF22" s="265">
        <v>45956.004999999997</v>
      </c>
      <c r="IG22" s="266">
        <v>7.8990786949387798E-2</v>
      </c>
      <c r="IH22" s="265">
        <v>190145.26500000001</v>
      </c>
      <c r="II22" s="265">
        <v>184457.079</v>
      </c>
      <c r="IJ22" s="266">
        <v>3.0837450266682501E-2</v>
      </c>
      <c r="IK22" s="265">
        <v>17234.951000000001</v>
      </c>
      <c r="IL22" s="265">
        <v>15502.040999999999</v>
      </c>
      <c r="IM22" s="266">
        <v>0.111785925479103</v>
      </c>
      <c r="IN22" s="265">
        <v>52142.317999999999</v>
      </c>
      <c r="IO22" s="265">
        <v>47081.146999999997</v>
      </c>
      <c r="IP22" s="266">
        <v>0.10749888909885801</v>
      </c>
      <c r="IQ22" s="265">
        <v>208076.97200000001</v>
      </c>
      <c r="IR22" s="265">
        <v>202769.71400000001</v>
      </c>
      <c r="IS22" s="266">
        <v>2.6173820021268099E-2</v>
      </c>
      <c r="IT22" s="265">
        <v>341078.82400000002</v>
      </c>
      <c r="IU22" s="265">
        <v>320709.26</v>
      </c>
      <c r="IV22" s="266">
        <v>6.3514112439409798E-2</v>
      </c>
      <c r="IW22" s="265">
        <v>1043910.269</v>
      </c>
      <c r="IX22" s="265">
        <v>942637.571</v>
      </c>
      <c r="IY22" s="266">
        <v>0.107435456760507</v>
      </c>
      <c r="IZ22" s="265">
        <v>4585677.8650000002</v>
      </c>
      <c r="JA22" s="265">
        <v>4553612.7810000004</v>
      </c>
      <c r="JB22" s="266">
        <v>7.0416799895221E-3</v>
      </c>
      <c r="JC22" s="265">
        <v>737250.35600000003</v>
      </c>
      <c r="JD22" s="265">
        <v>732217.86800000002</v>
      </c>
      <c r="JE22" s="266">
        <v>6.8729379873587199E-3</v>
      </c>
      <c r="JF22" s="265">
        <v>2171109.699</v>
      </c>
      <c r="JG22" s="265">
        <v>2179135.0559999999</v>
      </c>
      <c r="JH22" s="266">
        <v>-3.6828176289041602E-3</v>
      </c>
      <c r="JI22" s="265">
        <v>8888461.2210000008</v>
      </c>
      <c r="JJ22" s="265">
        <v>8923987.4890000001</v>
      </c>
      <c r="JK22" s="267">
        <v>-3.9809858590445198E-3</v>
      </c>
      <c r="JL22" s="265">
        <v>19155121.391396001</v>
      </c>
      <c r="JM22" s="265">
        <v>19656570.479493</v>
      </c>
      <c r="JN22" s="266">
        <v>-2.55105074723051E-2</v>
      </c>
      <c r="JO22" s="265">
        <v>85550133.988998994</v>
      </c>
      <c r="JP22" s="265">
        <v>83382367.263093993</v>
      </c>
      <c r="JQ22" s="266">
        <v>2.5997903358453402E-2</v>
      </c>
      <c r="JR22" s="265">
        <v>250809407.32032299</v>
      </c>
      <c r="JS22" s="265">
        <v>247685075.51753399</v>
      </c>
      <c r="JT22" s="266">
        <v>1.26141302468901E-2</v>
      </c>
      <c r="JU22" s="265">
        <v>14961.291999999999</v>
      </c>
      <c r="JV22" s="265">
        <v>14360.009</v>
      </c>
      <c r="JW22" s="266">
        <v>4.1872048965986002E-2</v>
      </c>
      <c r="JX22" s="265">
        <v>64547.398000000001</v>
      </c>
      <c r="JY22" s="265">
        <v>60316.014000000003</v>
      </c>
      <c r="JZ22" s="266">
        <v>7.0153574803533902E-2</v>
      </c>
      <c r="KA22" s="265">
        <v>190746.54800000001</v>
      </c>
      <c r="KB22" s="265">
        <v>185036.133</v>
      </c>
      <c r="KC22" s="266">
        <v>3.0861080522040601E-2</v>
      </c>
      <c r="KD22" s="265">
        <v>15892.477999999999</v>
      </c>
      <c r="KE22" s="265">
        <v>14777.86</v>
      </c>
      <c r="KF22" s="266">
        <v>7.5424858538381101E-2</v>
      </c>
      <c r="KG22" s="265">
        <v>68034.796000000002</v>
      </c>
      <c r="KH22" s="265">
        <v>61859.006999999998</v>
      </c>
      <c r="KI22" s="266">
        <v>9.9836536334959203E-2</v>
      </c>
      <c r="KJ22" s="265">
        <v>209191.59</v>
      </c>
      <c r="KK22" s="265">
        <v>203086.23</v>
      </c>
      <c r="KL22" s="266">
        <v>3.0062894958461699E-2</v>
      </c>
      <c r="KM22" s="265">
        <v>342990.61599999998</v>
      </c>
      <c r="KN22" s="265">
        <v>324605.185</v>
      </c>
      <c r="KO22" s="266">
        <v>5.6639363292979999E-2</v>
      </c>
      <c r="KP22" s="265">
        <v>1386900.885</v>
      </c>
      <c r="KQ22" s="265">
        <v>1267242.7560000001</v>
      </c>
      <c r="KR22" s="266">
        <v>9.4423999216769E-2</v>
      </c>
      <c r="KS22" s="265">
        <v>4604063.2960000001</v>
      </c>
      <c r="KT22" s="265">
        <v>4568012.7719999999</v>
      </c>
      <c r="KU22" s="266">
        <v>7.8919490376591697E-3</v>
      </c>
      <c r="KV22" s="265">
        <v>697207.14300000004</v>
      </c>
      <c r="KW22" s="265">
        <v>712750.63500000001</v>
      </c>
      <c r="KX22" s="266">
        <v>-2.1807756088495101E-2</v>
      </c>
      <c r="KY22" s="265">
        <v>2868316.8420000002</v>
      </c>
      <c r="KZ22" s="265">
        <v>2891885.6910000001</v>
      </c>
      <c r="LA22" s="266">
        <v>-8.14999329791956E-3</v>
      </c>
      <c r="LB22" s="265">
        <v>8872917.7290000003</v>
      </c>
      <c r="LC22" s="265">
        <v>8953037.5730000008</v>
      </c>
      <c r="LD22" s="267">
        <v>-8.9489006771981908E-3</v>
      </c>
      <c r="LE22" s="265">
        <v>19678477.910208002</v>
      </c>
      <c r="LF22" s="265">
        <v>19758287.670164999</v>
      </c>
      <c r="LG22" s="266">
        <v>-4.0393054949548904E-3</v>
      </c>
      <c r="LH22" s="265">
        <v>105228611.899207</v>
      </c>
      <c r="LI22" s="265">
        <v>103140654.933259</v>
      </c>
      <c r="LJ22" s="266">
        <v>2.02437823116315E-2</v>
      </c>
      <c r="LK22" s="265">
        <v>250729597.560366</v>
      </c>
      <c r="LL22" s="265">
        <v>247365750.31562501</v>
      </c>
      <c r="LM22" s="266">
        <v>1.3598678234350899E-2</v>
      </c>
      <c r="LN22" s="265">
        <v>15775.602999999999</v>
      </c>
      <c r="LO22" s="265">
        <v>14826.504000000001</v>
      </c>
      <c r="LP22" s="266">
        <v>6.4013674430600798E-2</v>
      </c>
      <c r="LQ22" s="265">
        <v>80323.001000000004</v>
      </c>
      <c r="LR22" s="265">
        <v>75142.517999999996</v>
      </c>
      <c r="LS22" s="266">
        <v>6.8942100130315098E-2</v>
      </c>
      <c r="LT22" s="265">
        <v>191695.647</v>
      </c>
      <c r="LU22" s="265">
        <v>185690.12400000001</v>
      </c>
      <c r="LV22" s="266">
        <v>3.2341639235482403E-2</v>
      </c>
      <c r="LW22" s="265">
        <v>17155.358</v>
      </c>
      <c r="LX22" s="265">
        <v>15472.332</v>
      </c>
      <c r="LY22" s="266">
        <v>0.10877649212801301</v>
      </c>
      <c r="LZ22" s="265">
        <v>85190.153999999995</v>
      </c>
      <c r="MA22" s="265">
        <v>77331.339000000007</v>
      </c>
      <c r="MB22" s="266">
        <v>0.101625228550614</v>
      </c>
      <c r="MC22" s="265">
        <v>210874.61600000001</v>
      </c>
      <c r="MD22" s="265">
        <v>203054.57</v>
      </c>
      <c r="ME22" s="266">
        <v>3.8512041368977699E-2</v>
      </c>
      <c r="MF22" s="265">
        <v>365087.89199999999</v>
      </c>
      <c r="MG22" s="265">
        <v>361939.06699999998</v>
      </c>
      <c r="MH22" s="266">
        <v>8.6998759932152107E-3</v>
      </c>
      <c r="MI22" s="265">
        <v>1751988.777</v>
      </c>
      <c r="MJ22" s="265">
        <v>1629181.8230000001</v>
      </c>
      <c r="MK22" s="266">
        <v>7.5379526254388096E-2</v>
      </c>
      <c r="ML22" s="265">
        <v>4607212.1210000003</v>
      </c>
      <c r="MM22" s="265">
        <v>4584360.3590000002</v>
      </c>
      <c r="MN22" s="266">
        <v>4.98472201364726E-3</v>
      </c>
      <c r="MO22" s="265">
        <v>712152.76699999999</v>
      </c>
      <c r="MP22" s="265">
        <v>716142.71900000004</v>
      </c>
      <c r="MQ22" s="266">
        <v>-5.5714481124258296E-3</v>
      </c>
      <c r="MR22" s="265">
        <v>3580469.6090000002</v>
      </c>
      <c r="MS22" s="265">
        <v>3608028.41</v>
      </c>
      <c r="MT22" s="266">
        <v>-7.6381884698075303E-3</v>
      </c>
      <c r="MU22" s="265">
        <v>8868927.7770000007</v>
      </c>
      <c r="MV22" s="265">
        <v>8958414.5989999995</v>
      </c>
      <c r="MW22" s="267">
        <v>-9.9891360252502594E-3</v>
      </c>
      <c r="MX22" s="265">
        <v>21884838.442336001</v>
      </c>
      <c r="MY22" s="265">
        <v>20039046.519398998</v>
      </c>
      <c r="MZ22" s="266">
        <v>9.2109767854980595E-2</v>
      </c>
      <c r="NA22" s="265">
        <v>127113450.341543</v>
      </c>
      <c r="NB22" s="265">
        <v>123179701.452658</v>
      </c>
      <c r="NC22" s="266">
        <v>3.1935041589598798E-2</v>
      </c>
      <c r="ND22" s="265">
        <v>252575389.48330301</v>
      </c>
      <c r="NE22" s="265">
        <v>247431421.60160199</v>
      </c>
      <c r="NF22" s="266">
        <v>2.0789469051281099E-2</v>
      </c>
      <c r="NG22" s="265">
        <v>16861.954000000002</v>
      </c>
      <c r="NH22" s="265">
        <v>14871.231</v>
      </c>
      <c r="NI22" s="266">
        <v>0.13386403586898801</v>
      </c>
      <c r="NJ22" s="265">
        <v>97184.955000000002</v>
      </c>
      <c r="NK22" s="265">
        <v>90013.748999999996</v>
      </c>
      <c r="NL22" s="266">
        <v>7.9667896067744104E-2</v>
      </c>
      <c r="NM22" s="265">
        <v>193686.37</v>
      </c>
      <c r="NN22" s="265">
        <v>185562.05</v>
      </c>
      <c r="NO22" s="266">
        <v>4.3782228101058397E-2</v>
      </c>
      <c r="NP22" s="265">
        <v>20078.651999999998</v>
      </c>
      <c r="NQ22" s="265">
        <v>15852.468999999999</v>
      </c>
      <c r="NR22" s="266">
        <v>0.26659462320979799</v>
      </c>
      <c r="NS22" s="265">
        <v>105268.806</v>
      </c>
      <c r="NT22" s="265">
        <v>93183.808000000005</v>
      </c>
      <c r="NU22" s="266">
        <v>0.12968989204648099</v>
      </c>
      <c r="NV22" s="265">
        <v>215100.799</v>
      </c>
      <c r="NW22" s="265">
        <v>202260.092</v>
      </c>
      <c r="NX22" s="266">
        <v>6.3486112722622501E-2</v>
      </c>
      <c r="NY22" s="265">
        <v>452450.82900000003</v>
      </c>
      <c r="NZ22" s="265">
        <v>395725.54</v>
      </c>
      <c r="OA22" s="266">
        <v>0.14334502898144999</v>
      </c>
      <c r="OB22" s="265">
        <v>2204439.6060000001</v>
      </c>
      <c r="OC22" s="265">
        <v>2024907.3629999999</v>
      </c>
      <c r="OD22" s="266">
        <v>8.8661953766622795E-2</v>
      </c>
      <c r="OE22" s="265">
        <v>4663937.41</v>
      </c>
      <c r="OF22" s="265">
        <v>4553187.4759999998</v>
      </c>
      <c r="OG22" s="266">
        <v>2.43236050752942E-2</v>
      </c>
      <c r="OH22" s="265">
        <v>706361.01300000004</v>
      </c>
      <c r="OI22" s="265">
        <v>700510.81299999997</v>
      </c>
      <c r="OJ22" s="266">
        <v>8.3513343283682807E-3</v>
      </c>
      <c r="OK22" s="265">
        <v>4286830.6220000004</v>
      </c>
      <c r="OL22" s="265">
        <v>4308539.2230000002</v>
      </c>
      <c r="OM22" s="266">
        <v>-5.0385060635203399E-3</v>
      </c>
      <c r="ON22" s="265">
        <v>8874777.977</v>
      </c>
      <c r="OO22" s="265">
        <v>8936653.5739999991</v>
      </c>
      <c r="OP22" s="267">
        <v>-6.9237994387541003E-3</v>
      </c>
      <c r="OQ22" s="265">
        <v>23783934.456153002</v>
      </c>
      <c r="OR22" s="265">
        <v>22643097.116083</v>
      </c>
      <c r="OS22" s="266">
        <v>5.0383449499921899E-2</v>
      </c>
      <c r="OT22" s="265">
        <v>150897384.79769599</v>
      </c>
      <c r="OU22" s="265">
        <v>145822798.56874099</v>
      </c>
      <c r="OV22" s="266">
        <v>3.47996765852965E-2</v>
      </c>
      <c r="OW22" s="265">
        <v>253716226.82337299</v>
      </c>
      <c r="OX22" s="265">
        <v>247985516.494497</v>
      </c>
      <c r="OY22" s="266">
        <v>2.3109052536151701E-2</v>
      </c>
      <c r="OZ22" s="265">
        <v>19304.875</v>
      </c>
      <c r="PA22" s="265">
        <v>16901.150000000001</v>
      </c>
      <c r="PB22" s="266">
        <v>0.14222257065347599</v>
      </c>
      <c r="PC22" s="265">
        <v>116489.83</v>
      </c>
      <c r="PD22" s="265">
        <v>106914.899</v>
      </c>
      <c r="PE22" s="266">
        <v>8.9556564048196799E-2</v>
      </c>
      <c r="PF22" s="265">
        <v>196090.095</v>
      </c>
      <c r="PG22" s="265">
        <v>185436.48800000001</v>
      </c>
      <c r="PH22" s="266">
        <v>5.7451514073109403E-2</v>
      </c>
      <c r="PI22" s="265">
        <v>23595.456999999999</v>
      </c>
      <c r="PJ22" s="265">
        <v>20462.221000000001</v>
      </c>
      <c r="PK22" s="266">
        <v>0.15312296744327</v>
      </c>
      <c r="PL22" s="265">
        <v>128864.26300000001</v>
      </c>
      <c r="PM22" s="265">
        <v>113646.02899999999</v>
      </c>
      <c r="PN22" s="266">
        <v>0.13390906953730899</v>
      </c>
      <c r="PO22" s="265">
        <v>218234.035</v>
      </c>
      <c r="PP22" s="265">
        <v>200774.375</v>
      </c>
      <c r="PQ22" s="266">
        <v>8.6961595572144099E-2</v>
      </c>
      <c r="PR22" s="265">
        <v>534323.23600000003</v>
      </c>
      <c r="PS22" s="265">
        <v>476883.42300000001</v>
      </c>
      <c r="PT22" s="266">
        <v>0.12044833229608801</v>
      </c>
      <c r="PU22" s="265">
        <v>2738762.8420000002</v>
      </c>
      <c r="PV22" s="265">
        <v>2501790.7859999998</v>
      </c>
      <c r="PW22" s="266">
        <v>9.4720972403485496E-2</v>
      </c>
      <c r="PX22" s="265">
        <v>4721377.2230000002</v>
      </c>
      <c r="PY22" s="265">
        <v>4457016.9519999996</v>
      </c>
      <c r="PZ22" s="266">
        <v>5.9313274741163401E-2</v>
      </c>
      <c r="QA22" s="265">
        <v>781957.65300000005</v>
      </c>
      <c r="QB22" s="265">
        <v>768229.98100000003</v>
      </c>
      <c r="QC22" s="266">
        <v>1.78692218990603E-2</v>
      </c>
      <c r="QD22" s="265">
        <v>5068788.2750000004</v>
      </c>
      <c r="QE22" s="265">
        <v>5076769.2039999999</v>
      </c>
      <c r="QF22" s="266">
        <v>-1.5720488127985599E-3</v>
      </c>
      <c r="QG22" s="265">
        <v>8888505.6490000002</v>
      </c>
      <c r="QH22" s="265">
        <v>8933685.8330000006</v>
      </c>
      <c r="QI22" s="267">
        <v>-5.0572837286386304E-3</v>
      </c>
      <c r="QJ22" s="265">
        <v>22064428.919509999</v>
      </c>
      <c r="QK22" s="265">
        <v>21712831.533679999</v>
      </c>
      <c r="QL22" s="266">
        <v>1.6193069304877E-2</v>
      </c>
      <c r="QM22" s="265">
        <v>172961813.717206</v>
      </c>
      <c r="QN22" s="265">
        <v>167535630.10242099</v>
      </c>
      <c r="QO22" s="266">
        <v>3.2388236528956699E-2</v>
      </c>
      <c r="QP22" s="265">
        <v>254067824.209203</v>
      </c>
      <c r="QQ22" s="265">
        <v>247795183.08018899</v>
      </c>
      <c r="QR22" s="266">
        <v>2.5313813816082598E-2</v>
      </c>
      <c r="QS22" s="265">
        <v>19179.328000000001</v>
      </c>
      <c r="QT22" s="265">
        <v>18083.274000000001</v>
      </c>
      <c r="QU22" s="266">
        <v>6.0611479978681097E-2</v>
      </c>
      <c r="QV22" s="265">
        <v>135669.158</v>
      </c>
      <c r="QW22" s="265">
        <v>124998.173</v>
      </c>
      <c r="QX22" s="266">
        <v>8.5369127755171498E-2</v>
      </c>
      <c r="QY22" s="265">
        <v>197186.149</v>
      </c>
      <c r="QZ22" s="265">
        <v>186458.742</v>
      </c>
      <c r="RA22" s="266">
        <v>5.7532336027452197E-2</v>
      </c>
      <c r="RB22" s="265">
        <v>22996.899000000001</v>
      </c>
      <c r="RC22" s="265">
        <v>22526.546999999999</v>
      </c>
      <c r="RD22" s="266">
        <v>2.08798978378711E-2</v>
      </c>
      <c r="RE22" s="265">
        <v>151861.16200000001</v>
      </c>
      <c r="RF22" s="265">
        <v>136172.576</v>
      </c>
      <c r="RG22" s="266">
        <v>0.115211053949659</v>
      </c>
      <c r="RH22" s="265">
        <v>218704.38699999999</v>
      </c>
      <c r="RI22" s="265">
        <v>201507.61799999999</v>
      </c>
      <c r="RJ22" s="266">
        <v>8.5340540326371297E-2</v>
      </c>
      <c r="RK22" s="265">
        <v>519931.51799999998</v>
      </c>
      <c r="RL22" s="265">
        <v>545582.71699999995</v>
      </c>
      <c r="RM22" s="266">
        <v>-4.7016150256827101E-2</v>
      </c>
      <c r="RN22" s="265">
        <v>3258694.36</v>
      </c>
      <c r="RO22" s="265">
        <v>3047373.503</v>
      </c>
      <c r="RP22" s="266">
        <v>6.9345243302786699E-2</v>
      </c>
      <c r="RQ22" s="265">
        <v>4695726.0240000002</v>
      </c>
      <c r="RR22" s="265">
        <v>4469641.6380000003</v>
      </c>
      <c r="RS22" s="266">
        <v>5.0582217616256898E-2</v>
      </c>
      <c r="RT22" s="265">
        <v>817401.99300000002</v>
      </c>
      <c r="RU22" s="265">
        <v>790665.451</v>
      </c>
      <c r="RV22" s="266">
        <v>3.3815240018625702E-2</v>
      </c>
      <c r="RW22" s="265">
        <v>5886190.2680000002</v>
      </c>
      <c r="RX22" s="265">
        <v>5867434.6550000003</v>
      </c>
      <c r="RY22" s="266">
        <v>3.1965610360937102E-3</v>
      </c>
      <c r="RZ22" s="265">
        <v>8915242.1909999996</v>
      </c>
      <c r="SA22" s="265">
        <v>8913311.2469999995</v>
      </c>
      <c r="SB22" s="267">
        <v>2.1663598930756999E-4</v>
      </c>
      <c r="SC22" s="265">
        <v>20456424.645520002</v>
      </c>
      <c r="SD22" s="265">
        <v>20183280.323132999</v>
      </c>
      <c r="SE22" s="266">
        <v>1.35331976771851E-2</v>
      </c>
      <c r="SF22" s="265">
        <v>193418238.362726</v>
      </c>
      <c r="SG22" s="265">
        <v>187718910.42555401</v>
      </c>
      <c r="SH22" s="266">
        <v>3.0360968557998299E-2</v>
      </c>
      <c r="SI22" s="265">
        <v>254340968.53159001</v>
      </c>
      <c r="SJ22" s="265">
        <v>248610186.76314601</v>
      </c>
      <c r="SK22" s="266">
        <v>2.30512749419386E-2</v>
      </c>
      <c r="SL22" s="265">
        <v>17860.031999999999</v>
      </c>
      <c r="SM22" s="265">
        <v>16327.003000000001</v>
      </c>
      <c r="SN22" s="266">
        <v>9.3895309506588504E-2</v>
      </c>
      <c r="SO22" s="265">
        <v>153529.19</v>
      </c>
      <c r="SP22" s="265">
        <v>141325.17600000001</v>
      </c>
      <c r="SQ22" s="266">
        <v>8.6354139760632595E-2</v>
      </c>
      <c r="SR22" s="265">
        <v>198719.17800000001</v>
      </c>
      <c r="SS22" s="265">
        <v>187080.96799999999</v>
      </c>
      <c r="ST22" s="266">
        <v>6.2209481404864202E-2</v>
      </c>
      <c r="SU22" s="265">
        <v>20088.042000000001</v>
      </c>
      <c r="SV22" s="265">
        <v>18380.280999999999</v>
      </c>
      <c r="SW22" s="266">
        <v>9.2912670921625307E-2</v>
      </c>
      <c r="SX22" s="265">
        <v>171949.204</v>
      </c>
      <c r="SY22" s="265">
        <v>154552.85699999999</v>
      </c>
      <c r="SZ22" s="266">
        <v>0.11255920684791999</v>
      </c>
      <c r="TA22" s="265">
        <v>220412.14799999999</v>
      </c>
      <c r="TB22" s="265">
        <v>202677.87100000001</v>
      </c>
      <c r="TC22" s="266">
        <v>8.7499818862810094E-2</v>
      </c>
      <c r="TD22" s="265">
        <v>438014.98800000001</v>
      </c>
      <c r="TE22" s="265">
        <v>395427.70199999999</v>
      </c>
      <c r="TF22" s="266">
        <v>0.10769929821457</v>
      </c>
      <c r="TG22" s="265">
        <v>3696709.3480000002</v>
      </c>
      <c r="TH22" s="265">
        <v>3442801.2050000001</v>
      </c>
      <c r="TI22" s="266">
        <v>7.3750451414751297E-2</v>
      </c>
      <c r="TJ22" s="265">
        <v>4738313.3099999996</v>
      </c>
      <c r="TK22" s="265">
        <v>4426743.1979999999</v>
      </c>
      <c r="TL22" s="266">
        <v>7.0383597616588203E-2</v>
      </c>
      <c r="TM22" s="265">
        <v>782453.87899999996</v>
      </c>
      <c r="TN22" s="265">
        <v>745427.44900000002</v>
      </c>
      <c r="TO22" s="266">
        <v>4.9671406720629002E-2</v>
      </c>
      <c r="TP22" s="265">
        <v>6668644.1469999999</v>
      </c>
      <c r="TQ22" s="265">
        <v>6612862.1040000003</v>
      </c>
      <c r="TR22" s="266">
        <v>8.4353857864748194E-3</v>
      </c>
      <c r="TS22" s="265">
        <v>8952268.6209999993</v>
      </c>
      <c r="TT22" s="265">
        <v>8906632.6710000001</v>
      </c>
      <c r="TU22" s="267">
        <v>5.1238163384227002E-3</v>
      </c>
      <c r="TV22" s="265">
        <v>20637941.617947999</v>
      </c>
      <c r="TW22" s="265">
        <v>20239052.988747001</v>
      </c>
      <c r="TX22" s="266">
        <v>1.9708858384964102E-2</v>
      </c>
      <c r="TY22" s="265">
        <v>214056179.980674</v>
      </c>
      <c r="TZ22" s="265">
        <v>207957963.41430101</v>
      </c>
      <c r="UA22" s="266">
        <v>2.93242752826154E-2</v>
      </c>
      <c r="UB22" s="265">
        <v>254739857.16079101</v>
      </c>
      <c r="UC22" s="265">
        <v>249429328.53830999</v>
      </c>
      <c r="UD22" s="266">
        <v>2.1290714502586499E-2</v>
      </c>
      <c r="UE22" s="265">
        <v>17791.593000000001</v>
      </c>
      <c r="UF22" s="265">
        <v>15980.857</v>
      </c>
      <c r="UG22" s="266">
        <v>0.113306564222432</v>
      </c>
      <c r="UH22" s="265">
        <v>171320.783</v>
      </c>
      <c r="UI22" s="265">
        <v>157306.033</v>
      </c>
      <c r="UJ22" s="266">
        <v>8.9092260053369995E-2</v>
      </c>
      <c r="UK22" s="265">
        <v>200529.91399999999</v>
      </c>
      <c r="UL22" s="265">
        <v>187389.13</v>
      </c>
      <c r="UM22" s="266">
        <v>7.0125647095965596E-2</v>
      </c>
      <c r="UN22" s="265">
        <v>19175.146000000001</v>
      </c>
      <c r="UO22" s="265">
        <v>16701.7</v>
      </c>
      <c r="UP22" s="266">
        <v>0.14809546333606799</v>
      </c>
      <c r="UQ22" s="265">
        <v>191124.35</v>
      </c>
      <c r="UR22" s="265">
        <v>171254.557</v>
      </c>
      <c r="US22" s="266">
        <v>0.116024900873148</v>
      </c>
      <c r="UT22" s="265">
        <v>222885.59400000001</v>
      </c>
      <c r="UU22" s="265">
        <v>202554.465</v>
      </c>
      <c r="UV22" s="266">
        <v>0.100373640245353</v>
      </c>
      <c r="UW22" s="265">
        <v>382606.54800000001</v>
      </c>
      <c r="UX22" s="265">
        <v>359961.63900000002</v>
      </c>
      <c r="UY22" s="266">
        <v>6.2909228502540299E-2</v>
      </c>
      <c r="UZ22" s="265">
        <v>4079315.8960000002</v>
      </c>
      <c r="VA22" s="265">
        <v>3802762.844</v>
      </c>
      <c r="VB22" s="266">
        <v>7.2724243752498197E-2</v>
      </c>
      <c r="VC22" s="265">
        <v>4760958.2189999996</v>
      </c>
      <c r="VD22" s="265">
        <v>4419484.1119999997</v>
      </c>
      <c r="VE22" s="266">
        <v>7.7265603483630999E-2</v>
      </c>
      <c r="VF22" s="265">
        <v>790284.14300000004</v>
      </c>
      <c r="VG22" s="265">
        <v>778087.39</v>
      </c>
      <c r="VH22" s="266">
        <v>1.5675299660106001E-2</v>
      </c>
      <c r="VI22" s="265">
        <v>7458928.29</v>
      </c>
      <c r="VJ22" s="265">
        <v>7390949.4939999999</v>
      </c>
      <c r="VK22" s="266">
        <v>9.1975727956449295E-3</v>
      </c>
      <c r="VL22" s="265">
        <v>8964465.3739999998</v>
      </c>
      <c r="VM22" s="265">
        <v>8872484.7980000004</v>
      </c>
      <c r="VN22" s="267">
        <v>1.0366946587582001E-2</v>
      </c>
    </row>
    <row r="23" spans="1:586">
      <c r="A23" s="268" t="s">
        <v>78</v>
      </c>
      <c r="B23" s="262">
        <v>341078.52178100002</v>
      </c>
      <c r="C23" s="262">
        <v>495275.55392999999</v>
      </c>
      <c r="D23" s="263">
        <v>-0.311335843098756</v>
      </c>
      <c r="E23" s="262">
        <v>4829208.6556860004</v>
      </c>
      <c r="F23" s="262">
        <v>4308777.4203199996</v>
      </c>
      <c r="G23" s="263">
        <v>0.12078396830425001</v>
      </c>
      <c r="H23" s="262">
        <v>5725020.8861959996</v>
      </c>
      <c r="I23" s="262">
        <v>5155800.3464000002</v>
      </c>
      <c r="J23" s="263">
        <v>0.110403914339595</v>
      </c>
      <c r="K23" s="262">
        <v>0</v>
      </c>
      <c r="L23" s="262">
        <v>0</v>
      </c>
      <c r="M23" s="263">
        <v>0</v>
      </c>
      <c r="N23" s="262">
        <v>0</v>
      </c>
      <c r="O23" s="262">
        <v>0</v>
      </c>
      <c r="P23" s="263">
        <v>0</v>
      </c>
      <c r="Q23" s="262">
        <v>0</v>
      </c>
      <c r="R23" s="262">
        <v>0</v>
      </c>
      <c r="S23" s="263">
        <v>0</v>
      </c>
      <c r="T23" s="262">
        <v>0</v>
      </c>
      <c r="U23" s="262">
        <v>0</v>
      </c>
      <c r="V23" s="263">
        <v>0</v>
      </c>
      <c r="W23" s="262">
        <v>0</v>
      </c>
      <c r="X23" s="262">
        <v>0</v>
      </c>
      <c r="Y23" s="263">
        <v>0</v>
      </c>
      <c r="Z23" s="262">
        <v>0</v>
      </c>
      <c r="AA23" s="262">
        <v>0</v>
      </c>
      <c r="AB23" s="263">
        <v>0</v>
      </c>
      <c r="AC23" s="262">
        <v>0</v>
      </c>
      <c r="AD23" s="262">
        <v>0</v>
      </c>
      <c r="AE23" s="263">
        <v>0</v>
      </c>
      <c r="AF23" s="262">
        <v>0</v>
      </c>
      <c r="AG23" s="262">
        <v>0</v>
      </c>
      <c r="AH23" s="263">
        <v>0</v>
      </c>
      <c r="AI23" s="262">
        <v>0</v>
      </c>
      <c r="AJ23" s="262">
        <v>0</v>
      </c>
      <c r="AK23" s="263">
        <v>0</v>
      </c>
      <c r="AL23" s="262">
        <v>0</v>
      </c>
      <c r="AM23" s="262">
        <v>0</v>
      </c>
      <c r="AN23" s="263">
        <v>0</v>
      </c>
      <c r="AO23" s="262">
        <v>0</v>
      </c>
      <c r="AP23" s="262">
        <v>0</v>
      </c>
      <c r="AQ23" s="263">
        <v>0</v>
      </c>
      <c r="AR23" s="262">
        <v>0</v>
      </c>
      <c r="AS23" s="262">
        <v>0</v>
      </c>
      <c r="AT23" s="264">
        <v>0</v>
      </c>
      <c r="AU23" s="262">
        <v>269729.90306799999</v>
      </c>
      <c r="AV23" s="262">
        <v>450508.34118799999</v>
      </c>
      <c r="AW23" s="263">
        <v>-0.40127656159103198</v>
      </c>
      <c r="AX23" s="262">
        <v>5098938.5587539999</v>
      </c>
      <c r="AY23" s="262">
        <v>4759285.7615080001</v>
      </c>
      <c r="AZ23" s="263">
        <v>7.1366338199952806E-2</v>
      </c>
      <c r="BA23" s="262">
        <v>5544242.4480760004</v>
      </c>
      <c r="BB23" s="262">
        <v>5244644.8218959998</v>
      </c>
      <c r="BC23" s="263">
        <v>5.7124483421489798E-2</v>
      </c>
      <c r="BD23" s="262">
        <v>0</v>
      </c>
      <c r="BE23" s="262">
        <v>0</v>
      </c>
      <c r="BF23" s="263">
        <v>0</v>
      </c>
      <c r="BG23" s="262">
        <v>0</v>
      </c>
      <c r="BH23" s="262">
        <v>0</v>
      </c>
      <c r="BI23" s="263">
        <v>0</v>
      </c>
      <c r="BJ23" s="262">
        <v>0</v>
      </c>
      <c r="BK23" s="262">
        <v>0</v>
      </c>
      <c r="BL23" s="263">
        <v>0</v>
      </c>
      <c r="BM23" s="262">
        <v>0</v>
      </c>
      <c r="BN23" s="262">
        <v>0</v>
      </c>
      <c r="BO23" s="263">
        <v>0</v>
      </c>
      <c r="BP23" s="262">
        <v>0</v>
      </c>
      <c r="BQ23" s="262">
        <v>0</v>
      </c>
      <c r="BR23" s="263">
        <v>0</v>
      </c>
      <c r="BS23" s="262">
        <v>0</v>
      </c>
      <c r="BT23" s="262">
        <v>0</v>
      </c>
      <c r="BU23" s="263">
        <v>0</v>
      </c>
      <c r="BV23" s="262">
        <v>0</v>
      </c>
      <c r="BW23" s="262">
        <v>0</v>
      </c>
      <c r="BX23" s="263">
        <v>0</v>
      </c>
      <c r="BY23" s="262">
        <v>0</v>
      </c>
      <c r="BZ23" s="262">
        <v>0</v>
      </c>
      <c r="CA23" s="263">
        <v>0</v>
      </c>
      <c r="CB23" s="262">
        <v>0</v>
      </c>
      <c r="CC23" s="262">
        <v>0</v>
      </c>
      <c r="CD23" s="263">
        <v>0</v>
      </c>
      <c r="CE23" s="262">
        <v>0</v>
      </c>
      <c r="CF23" s="262">
        <v>0</v>
      </c>
      <c r="CG23" s="263">
        <v>0</v>
      </c>
      <c r="CH23" s="262">
        <v>0</v>
      </c>
      <c r="CI23" s="262">
        <v>0</v>
      </c>
      <c r="CJ23" s="263">
        <v>0</v>
      </c>
      <c r="CK23" s="262">
        <v>0</v>
      </c>
      <c r="CL23" s="262">
        <v>0</v>
      </c>
      <c r="CM23" s="264">
        <v>0</v>
      </c>
      <c r="CN23" s="262">
        <v>359481.32797500002</v>
      </c>
      <c r="CO23" s="262">
        <v>445303.88932199997</v>
      </c>
      <c r="CP23" s="263">
        <v>-0.192728074928044</v>
      </c>
      <c r="CQ23" s="262">
        <v>5458419.8867290001</v>
      </c>
      <c r="CR23" s="262">
        <v>5204589.6508299997</v>
      </c>
      <c r="CS23" s="263">
        <v>4.8770460867845901E-2</v>
      </c>
      <c r="CT23" s="262">
        <v>5458419.8867290001</v>
      </c>
      <c r="CU23" s="262">
        <v>5204589.6508299997</v>
      </c>
      <c r="CV23" s="263">
        <v>4.8770460867845901E-2</v>
      </c>
      <c r="CW23" s="262">
        <v>0</v>
      </c>
      <c r="CX23" s="262">
        <v>0</v>
      </c>
      <c r="CY23" s="263">
        <v>0</v>
      </c>
      <c r="CZ23" s="262">
        <v>0</v>
      </c>
      <c r="DA23" s="262">
        <v>0</v>
      </c>
      <c r="DB23" s="263">
        <v>0</v>
      </c>
      <c r="DC23" s="262">
        <v>0</v>
      </c>
      <c r="DD23" s="262">
        <v>0</v>
      </c>
      <c r="DE23" s="263">
        <v>0</v>
      </c>
      <c r="DF23" s="262">
        <v>0</v>
      </c>
      <c r="DG23" s="262">
        <v>0</v>
      </c>
      <c r="DH23" s="263">
        <v>0</v>
      </c>
      <c r="DI23" s="262">
        <v>0</v>
      </c>
      <c r="DJ23" s="262">
        <v>0</v>
      </c>
      <c r="DK23" s="263">
        <v>0</v>
      </c>
      <c r="DL23" s="262">
        <v>0</v>
      </c>
      <c r="DM23" s="262">
        <v>0</v>
      </c>
      <c r="DN23" s="263">
        <v>0</v>
      </c>
      <c r="DO23" s="262">
        <v>0</v>
      </c>
      <c r="DP23" s="262">
        <v>0</v>
      </c>
      <c r="DQ23" s="263">
        <v>0</v>
      </c>
      <c r="DR23" s="262">
        <v>0</v>
      </c>
      <c r="DS23" s="262">
        <v>0</v>
      </c>
      <c r="DT23" s="263">
        <v>0</v>
      </c>
      <c r="DU23" s="262">
        <v>0</v>
      </c>
      <c r="DV23" s="262">
        <v>0</v>
      </c>
      <c r="DW23" s="263">
        <v>0</v>
      </c>
      <c r="DX23" s="262">
        <v>0</v>
      </c>
      <c r="DY23" s="262">
        <v>0</v>
      </c>
      <c r="DZ23" s="263">
        <v>0</v>
      </c>
      <c r="EA23" s="262">
        <v>0</v>
      </c>
      <c r="EB23" s="262">
        <v>0</v>
      </c>
      <c r="EC23" s="263">
        <v>0</v>
      </c>
      <c r="ED23" s="262">
        <v>0</v>
      </c>
      <c r="EE23" s="262">
        <v>0</v>
      </c>
      <c r="EF23" s="264">
        <v>0</v>
      </c>
      <c r="EG23" s="262">
        <v>420383.07831700001</v>
      </c>
      <c r="EH23" s="262">
        <v>451576.11214300001</v>
      </c>
      <c r="EI23" s="263">
        <v>-6.9075916522621905E-2</v>
      </c>
      <c r="EJ23" s="262">
        <v>420383.07831700001</v>
      </c>
      <c r="EK23" s="262">
        <v>451576.11214300001</v>
      </c>
      <c r="EL23" s="263">
        <v>-6.9075916522621905E-2</v>
      </c>
      <c r="EM23" s="262">
        <v>5427226.8529030001</v>
      </c>
      <c r="EN23" s="262">
        <v>5113368.3268510001</v>
      </c>
      <c r="EO23" s="263">
        <v>6.1379995726864797E-2</v>
      </c>
      <c r="EP23" s="262">
        <v>0</v>
      </c>
      <c r="EQ23" s="262">
        <v>0</v>
      </c>
      <c r="ER23" s="263">
        <v>0</v>
      </c>
      <c r="ES23" s="262">
        <v>0</v>
      </c>
      <c r="ET23" s="262">
        <v>0</v>
      </c>
      <c r="EU23" s="263">
        <v>0</v>
      </c>
      <c r="EV23" s="262">
        <v>0</v>
      </c>
      <c r="EW23" s="262">
        <v>0</v>
      </c>
      <c r="EX23" s="263">
        <v>0</v>
      </c>
      <c r="EY23" s="262">
        <v>0</v>
      </c>
      <c r="EZ23" s="262">
        <v>0</v>
      </c>
      <c r="FA23" s="263">
        <v>0</v>
      </c>
      <c r="FB23" s="262">
        <v>0</v>
      </c>
      <c r="FC23" s="262">
        <v>0</v>
      </c>
      <c r="FD23" s="263">
        <v>0</v>
      </c>
      <c r="FE23" s="262">
        <v>0</v>
      </c>
      <c r="FF23" s="262">
        <v>0</v>
      </c>
      <c r="FG23" s="263">
        <v>0</v>
      </c>
      <c r="FH23" s="262">
        <v>0</v>
      </c>
      <c r="FI23" s="262">
        <v>0</v>
      </c>
      <c r="FJ23" s="263">
        <v>0</v>
      </c>
      <c r="FK23" s="262">
        <v>0</v>
      </c>
      <c r="FL23" s="262">
        <v>0</v>
      </c>
      <c r="FM23" s="263">
        <v>0</v>
      </c>
      <c r="FN23" s="262">
        <v>0</v>
      </c>
      <c r="FO23" s="262">
        <v>0</v>
      </c>
      <c r="FP23" s="263">
        <v>0</v>
      </c>
      <c r="FQ23" s="262">
        <v>0</v>
      </c>
      <c r="FR23" s="262">
        <v>0</v>
      </c>
      <c r="FS23" s="263">
        <v>0</v>
      </c>
      <c r="FT23" s="262">
        <v>0</v>
      </c>
      <c r="FU23" s="262">
        <v>0</v>
      </c>
      <c r="FV23" s="263">
        <v>0</v>
      </c>
      <c r="FW23" s="262">
        <v>0</v>
      </c>
      <c r="FX23" s="262">
        <v>0</v>
      </c>
      <c r="FY23" s="264">
        <v>0</v>
      </c>
      <c r="FZ23" s="262">
        <v>369204.45063199999</v>
      </c>
      <c r="GA23" s="262">
        <v>539409.55004400003</v>
      </c>
      <c r="GB23" s="263">
        <v>-0.31553964774653398</v>
      </c>
      <c r="GC23" s="262">
        <v>789587.52894900006</v>
      </c>
      <c r="GD23" s="262">
        <v>990985.66218700004</v>
      </c>
      <c r="GE23" s="263">
        <v>-0.20323011817702399</v>
      </c>
      <c r="GF23" s="262">
        <v>5257021.7534910003</v>
      </c>
      <c r="GG23" s="262">
        <v>5391906.6738149999</v>
      </c>
      <c r="GH23" s="263">
        <v>-2.5016182305055201E-2</v>
      </c>
      <c r="GI23" s="262">
        <v>0</v>
      </c>
      <c r="GJ23" s="262">
        <v>0</v>
      </c>
      <c r="GK23" s="263">
        <v>0</v>
      </c>
      <c r="GL23" s="262">
        <v>0</v>
      </c>
      <c r="GM23" s="262">
        <v>0</v>
      </c>
      <c r="GN23" s="263">
        <v>0</v>
      </c>
      <c r="GO23" s="262">
        <v>0</v>
      </c>
      <c r="GP23" s="262">
        <v>0</v>
      </c>
      <c r="GQ23" s="263">
        <v>0</v>
      </c>
      <c r="GR23" s="262">
        <v>0</v>
      </c>
      <c r="GS23" s="262">
        <v>0</v>
      </c>
      <c r="GT23" s="263">
        <v>0</v>
      </c>
      <c r="GU23" s="262">
        <v>0</v>
      </c>
      <c r="GV23" s="262">
        <v>0</v>
      </c>
      <c r="GW23" s="263">
        <v>0</v>
      </c>
      <c r="GX23" s="262">
        <v>0</v>
      </c>
      <c r="GY23" s="262">
        <v>0</v>
      </c>
      <c r="GZ23" s="263">
        <v>0</v>
      </c>
      <c r="HA23" s="262">
        <v>0</v>
      </c>
      <c r="HB23" s="262">
        <v>0</v>
      </c>
      <c r="HC23" s="263">
        <v>0</v>
      </c>
      <c r="HD23" s="262">
        <v>0</v>
      </c>
      <c r="HE23" s="262">
        <v>0</v>
      </c>
      <c r="HF23" s="263">
        <v>0</v>
      </c>
      <c r="HG23" s="262">
        <v>0</v>
      </c>
      <c r="HH23" s="262">
        <v>0</v>
      </c>
      <c r="HI23" s="263">
        <v>0</v>
      </c>
      <c r="HJ23" s="262">
        <v>0</v>
      </c>
      <c r="HK23" s="262">
        <v>0</v>
      </c>
      <c r="HL23" s="263">
        <v>0</v>
      </c>
      <c r="HM23" s="262">
        <v>0</v>
      </c>
      <c r="HN23" s="262">
        <v>0</v>
      </c>
      <c r="HO23" s="263">
        <v>0</v>
      </c>
      <c r="HP23" s="262">
        <v>0</v>
      </c>
      <c r="HQ23" s="262">
        <v>0</v>
      </c>
      <c r="HR23" s="264">
        <v>0</v>
      </c>
      <c r="HS23" s="262">
        <v>426792.56139599998</v>
      </c>
      <c r="HT23" s="262">
        <v>576579.935956</v>
      </c>
      <c r="HU23" s="263">
        <v>-0.25978596412940502</v>
      </c>
      <c r="HV23" s="262">
        <v>1216380.0903449999</v>
      </c>
      <c r="HW23" s="262">
        <v>1567565.5981429999</v>
      </c>
      <c r="HX23" s="263">
        <v>-0.224032415749636</v>
      </c>
      <c r="HY23" s="262">
        <v>5107234.3789309999</v>
      </c>
      <c r="HZ23" s="262">
        <v>5428406.8155230004</v>
      </c>
      <c r="IA23" s="263">
        <v>-5.9165137674203103E-2</v>
      </c>
      <c r="IB23" s="262">
        <v>0</v>
      </c>
      <c r="IC23" s="262">
        <v>0</v>
      </c>
      <c r="ID23" s="263">
        <v>0</v>
      </c>
      <c r="IE23" s="262">
        <v>0</v>
      </c>
      <c r="IF23" s="262">
        <v>0</v>
      </c>
      <c r="IG23" s="263">
        <v>0</v>
      </c>
      <c r="IH23" s="262">
        <v>0</v>
      </c>
      <c r="II23" s="262">
        <v>0</v>
      </c>
      <c r="IJ23" s="263">
        <v>0</v>
      </c>
      <c r="IK23" s="262">
        <v>0</v>
      </c>
      <c r="IL23" s="262">
        <v>0</v>
      </c>
      <c r="IM23" s="263">
        <v>0</v>
      </c>
      <c r="IN23" s="262">
        <v>0</v>
      </c>
      <c r="IO23" s="262">
        <v>0</v>
      </c>
      <c r="IP23" s="263">
        <v>0</v>
      </c>
      <c r="IQ23" s="262">
        <v>0</v>
      </c>
      <c r="IR23" s="262">
        <v>0</v>
      </c>
      <c r="IS23" s="263">
        <v>0</v>
      </c>
      <c r="IT23" s="262">
        <v>0</v>
      </c>
      <c r="IU23" s="262">
        <v>0</v>
      </c>
      <c r="IV23" s="263">
        <v>0</v>
      </c>
      <c r="IW23" s="262">
        <v>0</v>
      </c>
      <c r="IX23" s="262">
        <v>0</v>
      </c>
      <c r="IY23" s="263">
        <v>0</v>
      </c>
      <c r="IZ23" s="262">
        <v>0</v>
      </c>
      <c r="JA23" s="262">
        <v>0</v>
      </c>
      <c r="JB23" s="263">
        <v>0</v>
      </c>
      <c r="JC23" s="262">
        <v>0</v>
      </c>
      <c r="JD23" s="262">
        <v>0</v>
      </c>
      <c r="JE23" s="263">
        <v>0</v>
      </c>
      <c r="JF23" s="262">
        <v>0</v>
      </c>
      <c r="JG23" s="262">
        <v>0</v>
      </c>
      <c r="JH23" s="263">
        <v>0</v>
      </c>
      <c r="JI23" s="262">
        <v>0</v>
      </c>
      <c r="JJ23" s="262">
        <v>0</v>
      </c>
      <c r="JK23" s="264">
        <v>0</v>
      </c>
      <c r="JL23" s="262">
        <v>577095.96771600004</v>
      </c>
      <c r="JM23" s="262">
        <v>476805.785187</v>
      </c>
      <c r="JN23" s="263">
        <v>0.21033759581936901</v>
      </c>
      <c r="JO23" s="262">
        <v>1793476.058061</v>
      </c>
      <c r="JP23" s="262">
        <v>2044371.3833300001</v>
      </c>
      <c r="JQ23" s="263">
        <v>-0.12272492528257101</v>
      </c>
      <c r="JR23" s="262">
        <v>5207524.5614600005</v>
      </c>
      <c r="JS23" s="262">
        <v>5293622.3465860002</v>
      </c>
      <c r="JT23" s="263">
        <v>-1.6264436616171999E-2</v>
      </c>
      <c r="JU23" s="262">
        <v>0</v>
      </c>
      <c r="JV23" s="262">
        <v>0</v>
      </c>
      <c r="JW23" s="263">
        <v>0</v>
      </c>
      <c r="JX23" s="262">
        <v>0</v>
      </c>
      <c r="JY23" s="262">
        <v>0</v>
      </c>
      <c r="JZ23" s="263">
        <v>0</v>
      </c>
      <c r="KA23" s="262">
        <v>0</v>
      </c>
      <c r="KB23" s="262">
        <v>0</v>
      </c>
      <c r="KC23" s="263">
        <v>0</v>
      </c>
      <c r="KD23" s="262">
        <v>0</v>
      </c>
      <c r="KE23" s="262">
        <v>0</v>
      </c>
      <c r="KF23" s="263">
        <v>0</v>
      </c>
      <c r="KG23" s="262">
        <v>0</v>
      </c>
      <c r="KH23" s="262">
        <v>0</v>
      </c>
      <c r="KI23" s="263">
        <v>0</v>
      </c>
      <c r="KJ23" s="262">
        <v>0</v>
      </c>
      <c r="KK23" s="262">
        <v>0</v>
      </c>
      <c r="KL23" s="263">
        <v>0</v>
      </c>
      <c r="KM23" s="262">
        <v>0</v>
      </c>
      <c r="KN23" s="262">
        <v>0</v>
      </c>
      <c r="KO23" s="263">
        <v>0</v>
      </c>
      <c r="KP23" s="262">
        <v>0</v>
      </c>
      <c r="KQ23" s="262">
        <v>0</v>
      </c>
      <c r="KR23" s="263">
        <v>0</v>
      </c>
      <c r="KS23" s="262">
        <v>0</v>
      </c>
      <c r="KT23" s="262">
        <v>0</v>
      </c>
      <c r="KU23" s="263">
        <v>0</v>
      </c>
      <c r="KV23" s="262">
        <v>0</v>
      </c>
      <c r="KW23" s="262">
        <v>0</v>
      </c>
      <c r="KX23" s="263">
        <v>0</v>
      </c>
      <c r="KY23" s="262">
        <v>0</v>
      </c>
      <c r="KZ23" s="262">
        <v>0</v>
      </c>
      <c r="LA23" s="263">
        <v>0</v>
      </c>
      <c r="LB23" s="262">
        <v>0</v>
      </c>
      <c r="LC23" s="262">
        <v>0</v>
      </c>
      <c r="LD23" s="264">
        <v>0</v>
      </c>
      <c r="LE23" s="262">
        <v>632717.65317599999</v>
      </c>
      <c r="LF23" s="262">
        <v>633361.08812299999</v>
      </c>
      <c r="LG23" s="263">
        <v>-1.01590539593592E-3</v>
      </c>
      <c r="LH23" s="262">
        <v>2426193.7112369998</v>
      </c>
      <c r="LI23" s="262">
        <v>2677732.4714529999</v>
      </c>
      <c r="LJ23" s="263">
        <v>-9.3937225954282597E-2</v>
      </c>
      <c r="LK23" s="262">
        <v>5206881.1265129996</v>
      </c>
      <c r="LL23" s="262">
        <v>5444413.7807989996</v>
      </c>
      <c r="LM23" s="263">
        <v>-4.3628692426669398E-2</v>
      </c>
      <c r="LN23" s="262">
        <v>0</v>
      </c>
      <c r="LO23" s="262">
        <v>0</v>
      </c>
      <c r="LP23" s="263">
        <v>0</v>
      </c>
      <c r="LQ23" s="262">
        <v>0</v>
      </c>
      <c r="LR23" s="262">
        <v>0</v>
      </c>
      <c r="LS23" s="263">
        <v>0</v>
      </c>
      <c r="LT23" s="262">
        <v>0</v>
      </c>
      <c r="LU23" s="262">
        <v>0</v>
      </c>
      <c r="LV23" s="263">
        <v>0</v>
      </c>
      <c r="LW23" s="262">
        <v>0</v>
      </c>
      <c r="LX23" s="262">
        <v>0</v>
      </c>
      <c r="LY23" s="263">
        <v>0</v>
      </c>
      <c r="LZ23" s="262">
        <v>0</v>
      </c>
      <c r="MA23" s="262">
        <v>0</v>
      </c>
      <c r="MB23" s="263">
        <v>0</v>
      </c>
      <c r="MC23" s="262">
        <v>0</v>
      </c>
      <c r="MD23" s="262">
        <v>0</v>
      </c>
      <c r="ME23" s="263">
        <v>0</v>
      </c>
      <c r="MF23" s="262">
        <v>0</v>
      </c>
      <c r="MG23" s="262">
        <v>0</v>
      </c>
      <c r="MH23" s="263">
        <v>0</v>
      </c>
      <c r="MI23" s="262">
        <v>0</v>
      </c>
      <c r="MJ23" s="262">
        <v>0</v>
      </c>
      <c r="MK23" s="263">
        <v>0</v>
      </c>
      <c r="ML23" s="262">
        <v>0</v>
      </c>
      <c r="MM23" s="262">
        <v>0</v>
      </c>
      <c r="MN23" s="263">
        <v>0</v>
      </c>
      <c r="MO23" s="262">
        <v>0</v>
      </c>
      <c r="MP23" s="262">
        <v>0</v>
      </c>
      <c r="MQ23" s="263">
        <v>0</v>
      </c>
      <c r="MR23" s="262">
        <v>0</v>
      </c>
      <c r="MS23" s="262">
        <v>0</v>
      </c>
      <c r="MT23" s="263">
        <v>0</v>
      </c>
      <c r="MU23" s="262">
        <v>0</v>
      </c>
      <c r="MV23" s="262">
        <v>0</v>
      </c>
      <c r="MW23" s="264">
        <v>0</v>
      </c>
      <c r="MX23" s="262">
        <v>477091.774584</v>
      </c>
      <c r="MY23" s="262">
        <v>503334.26956500002</v>
      </c>
      <c r="MZ23" s="263">
        <v>-5.2137310268342701E-2</v>
      </c>
      <c r="NA23" s="262">
        <v>2903285.4858209998</v>
      </c>
      <c r="NB23" s="262">
        <v>3181066.7410180001</v>
      </c>
      <c r="NC23" s="263">
        <v>-8.7323303096779797E-2</v>
      </c>
      <c r="ND23" s="262">
        <v>5180638.6315320004</v>
      </c>
      <c r="NE23" s="262">
        <v>5658907.3743780004</v>
      </c>
      <c r="NF23" s="263">
        <v>-8.4516093161635997E-2</v>
      </c>
      <c r="NG23" s="262">
        <v>0</v>
      </c>
      <c r="NH23" s="262">
        <v>0</v>
      </c>
      <c r="NI23" s="263">
        <v>0</v>
      </c>
      <c r="NJ23" s="262">
        <v>0</v>
      </c>
      <c r="NK23" s="262">
        <v>0</v>
      </c>
      <c r="NL23" s="263">
        <v>0</v>
      </c>
      <c r="NM23" s="262">
        <v>0</v>
      </c>
      <c r="NN23" s="262">
        <v>0</v>
      </c>
      <c r="NO23" s="263">
        <v>0</v>
      </c>
      <c r="NP23" s="262">
        <v>0</v>
      </c>
      <c r="NQ23" s="262">
        <v>0</v>
      </c>
      <c r="NR23" s="263">
        <v>0</v>
      </c>
      <c r="NS23" s="262">
        <v>0</v>
      </c>
      <c r="NT23" s="262">
        <v>0</v>
      </c>
      <c r="NU23" s="263">
        <v>0</v>
      </c>
      <c r="NV23" s="262">
        <v>0</v>
      </c>
      <c r="NW23" s="262">
        <v>0</v>
      </c>
      <c r="NX23" s="263">
        <v>0</v>
      </c>
      <c r="NY23" s="262">
        <v>0</v>
      </c>
      <c r="NZ23" s="262">
        <v>0</v>
      </c>
      <c r="OA23" s="263">
        <v>0</v>
      </c>
      <c r="OB23" s="262">
        <v>0</v>
      </c>
      <c r="OC23" s="262">
        <v>0</v>
      </c>
      <c r="OD23" s="263">
        <v>0</v>
      </c>
      <c r="OE23" s="262">
        <v>0</v>
      </c>
      <c r="OF23" s="262">
        <v>0</v>
      </c>
      <c r="OG23" s="263">
        <v>0</v>
      </c>
      <c r="OH23" s="262">
        <v>0</v>
      </c>
      <c r="OI23" s="262">
        <v>0</v>
      </c>
      <c r="OJ23" s="263">
        <v>0</v>
      </c>
      <c r="OK23" s="262">
        <v>0</v>
      </c>
      <c r="OL23" s="262">
        <v>0</v>
      </c>
      <c r="OM23" s="263">
        <v>0</v>
      </c>
      <c r="ON23" s="262">
        <v>0</v>
      </c>
      <c r="OO23" s="262">
        <v>0</v>
      </c>
      <c r="OP23" s="264">
        <v>0</v>
      </c>
      <c r="OQ23" s="262">
        <v>534742.21343100001</v>
      </c>
      <c r="OR23" s="262">
        <v>456982.75017200003</v>
      </c>
      <c r="OS23" s="263">
        <v>0.170158421143321</v>
      </c>
      <c r="OT23" s="262">
        <v>3438027.6992520001</v>
      </c>
      <c r="OU23" s="262">
        <v>3638049.49119</v>
      </c>
      <c r="OV23" s="263">
        <v>-5.4980503267582803E-2</v>
      </c>
      <c r="OW23" s="262">
        <v>5258398.0947909998</v>
      </c>
      <c r="OX23" s="262">
        <v>5798272.7872900004</v>
      </c>
      <c r="OY23" s="263">
        <v>-9.3109571126495302E-2</v>
      </c>
      <c r="OZ23" s="262">
        <v>0</v>
      </c>
      <c r="PA23" s="262">
        <v>0</v>
      </c>
      <c r="PB23" s="263">
        <v>0</v>
      </c>
      <c r="PC23" s="262">
        <v>0</v>
      </c>
      <c r="PD23" s="262">
        <v>0</v>
      </c>
      <c r="PE23" s="263">
        <v>0</v>
      </c>
      <c r="PF23" s="262">
        <v>0</v>
      </c>
      <c r="PG23" s="262">
        <v>0</v>
      </c>
      <c r="PH23" s="263">
        <v>0</v>
      </c>
      <c r="PI23" s="262">
        <v>0</v>
      </c>
      <c r="PJ23" s="262">
        <v>0</v>
      </c>
      <c r="PK23" s="263">
        <v>0</v>
      </c>
      <c r="PL23" s="262">
        <v>0</v>
      </c>
      <c r="PM23" s="262">
        <v>0</v>
      </c>
      <c r="PN23" s="263">
        <v>0</v>
      </c>
      <c r="PO23" s="262">
        <v>0</v>
      </c>
      <c r="PP23" s="262">
        <v>0</v>
      </c>
      <c r="PQ23" s="263">
        <v>0</v>
      </c>
      <c r="PR23" s="262">
        <v>0</v>
      </c>
      <c r="PS23" s="262">
        <v>0</v>
      </c>
      <c r="PT23" s="263">
        <v>0</v>
      </c>
      <c r="PU23" s="262">
        <v>0</v>
      </c>
      <c r="PV23" s="262">
        <v>0</v>
      </c>
      <c r="PW23" s="263">
        <v>0</v>
      </c>
      <c r="PX23" s="262">
        <v>0</v>
      </c>
      <c r="PY23" s="262">
        <v>0</v>
      </c>
      <c r="PZ23" s="263">
        <v>0</v>
      </c>
      <c r="QA23" s="262">
        <v>0</v>
      </c>
      <c r="QB23" s="262">
        <v>0</v>
      </c>
      <c r="QC23" s="263">
        <v>0</v>
      </c>
      <c r="QD23" s="262">
        <v>0</v>
      </c>
      <c r="QE23" s="262">
        <v>0</v>
      </c>
      <c r="QF23" s="263">
        <v>0</v>
      </c>
      <c r="QG23" s="262">
        <v>0</v>
      </c>
      <c r="QH23" s="262">
        <v>0</v>
      </c>
      <c r="QI23" s="264">
        <v>0</v>
      </c>
      <c r="QJ23" s="262">
        <v>575765.039842</v>
      </c>
      <c r="QK23" s="262">
        <v>426903.96357600001</v>
      </c>
      <c r="QL23" s="263">
        <v>0.34869921332903903</v>
      </c>
      <c r="QM23" s="262">
        <v>4013792.7390939998</v>
      </c>
      <c r="QN23" s="262">
        <v>4064953.4547660002</v>
      </c>
      <c r="QO23" s="263">
        <v>-1.25858060224568E-2</v>
      </c>
      <c r="QP23" s="262">
        <v>5407259.1710569998</v>
      </c>
      <c r="QQ23" s="262">
        <v>5807960.6987739997</v>
      </c>
      <c r="QR23" s="263">
        <v>-6.89917767180456E-2</v>
      </c>
      <c r="QS23" s="262">
        <v>0</v>
      </c>
      <c r="QT23" s="262">
        <v>0</v>
      </c>
      <c r="QU23" s="263">
        <v>0</v>
      </c>
      <c r="QV23" s="262">
        <v>0</v>
      </c>
      <c r="QW23" s="262">
        <v>0</v>
      </c>
      <c r="QX23" s="263">
        <v>0</v>
      </c>
      <c r="QY23" s="262">
        <v>0</v>
      </c>
      <c r="QZ23" s="262">
        <v>0</v>
      </c>
      <c r="RA23" s="263">
        <v>0</v>
      </c>
      <c r="RB23" s="262">
        <v>0</v>
      </c>
      <c r="RC23" s="262">
        <v>0</v>
      </c>
      <c r="RD23" s="263">
        <v>0</v>
      </c>
      <c r="RE23" s="262">
        <v>0</v>
      </c>
      <c r="RF23" s="262">
        <v>0</v>
      </c>
      <c r="RG23" s="263">
        <v>0</v>
      </c>
      <c r="RH23" s="262">
        <v>0</v>
      </c>
      <c r="RI23" s="262">
        <v>0</v>
      </c>
      <c r="RJ23" s="263">
        <v>0</v>
      </c>
      <c r="RK23" s="262">
        <v>0</v>
      </c>
      <c r="RL23" s="262">
        <v>0</v>
      </c>
      <c r="RM23" s="263">
        <v>0</v>
      </c>
      <c r="RN23" s="262">
        <v>0</v>
      </c>
      <c r="RO23" s="262">
        <v>0</v>
      </c>
      <c r="RP23" s="263">
        <v>0</v>
      </c>
      <c r="RQ23" s="262">
        <v>0</v>
      </c>
      <c r="RR23" s="262">
        <v>0</v>
      </c>
      <c r="RS23" s="263">
        <v>0</v>
      </c>
      <c r="RT23" s="262">
        <v>0</v>
      </c>
      <c r="RU23" s="262">
        <v>0</v>
      </c>
      <c r="RV23" s="263">
        <v>0</v>
      </c>
      <c r="RW23" s="262">
        <v>0</v>
      </c>
      <c r="RX23" s="262">
        <v>0</v>
      </c>
      <c r="RY23" s="263">
        <v>0</v>
      </c>
      <c r="RZ23" s="262">
        <v>0</v>
      </c>
      <c r="SA23" s="262">
        <v>0</v>
      </c>
      <c r="SB23" s="264">
        <v>0</v>
      </c>
      <c r="SC23" s="262">
        <v>539292.46900000004</v>
      </c>
      <c r="SD23" s="262">
        <v>423176.67913900001</v>
      </c>
      <c r="SE23" s="263">
        <v>0.274390805507644</v>
      </c>
      <c r="SF23" s="262">
        <v>4553085.2080939999</v>
      </c>
      <c r="SG23" s="262">
        <v>4488130.1339050001</v>
      </c>
      <c r="SH23" s="263">
        <v>1.4472636098116901E-2</v>
      </c>
      <c r="SI23" s="262">
        <v>5523374.960918</v>
      </c>
      <c r="SJ23" s="262">
        <v>5879217.9183449997</v>
      </c>
      <c r="SK23" s="263">
        <v>-6.05255600947633E-2</v>
      </c>
      <c r="SL23" s="262">
        <v>0</v>
      </c>
      <c r="SM23" s="262">
        <v>0</v>
      </c>
      <c r="SN23" s="263">
        <v>0</v>
      </c>
      <c r="SO23" s="262">
        <v>0</v>
      </c>
      <c r="SP23" s="262">
        <v>0</v>
      </c>
      <c r="SQ23" s="263">
        <v>0</v>
      </c>
      <c r="SR23" s="262">
        <v>0</v>
      </c>
      <c r="SS23" s="262">
        <v>0</v>
      </c>
      <c r="ST23" s="263">
        <v>0</v>
      </c>
      <c r="SU23" s="262">
        <v>0</v>
      </c>
      <c r="SV23" s="262">
        <v>0</v>
      </c>
      <c r="SW23" s="263">
        <v>0</v>
      </c>
      <c r="SX23" s="262">
        <v>0</v>
      </c>
      <c r="SY23" s="262">
        <v>0</v>
      </c>
      <c r="SZ23" s="263">
        <v>0</v>
      </c>
      <c r="TA23" s="262">
        <v>0</v>
      </c>
      <c r="TB23" s="262">
        <v>0</v>
      </c>
      <c r="TC23" s="263">
        <v>0</v>
      </c>
      <c r="TD23" s="262">
        <v>0</v>
      </c>
      <c r="TE23" s="262">
        <v>0</v>
      </c>
      <c r="TF23" s="263">
        <v>0</v>
      </c>
      <c r="TG23" s="262">
        <v>0</v>
      </c>
      <c r="TH23" s="262">
        <v>0</v>
      </c>
      <c r="TI23" s="263">
        <v>0</v>
      </c>
      <c r="TJ23" s="262">
        <v>0</v>
      </c>
      <c r="TK23" s="262">
        <v>0</v>
      </c>
      <c r="TL23" s="263">
        <v>0</v>
      </c>
      <c r="TM23" s="262">
        <v>0</v>
      </c>
      <c r="TN23" s="262">
        <v>0</v>
      </c>
      <c r="TO23" s="263">
        <v>0</v>
      </c>
      <c r="TP23" s="262">
        <v>0</v>
      </c>
      <c r="TQ23" s="262">
        <v>0</v>
      </c>
      <c r="TR23" s="263">
        <v>0</v>
      </c>
      <c r="TS23" s="262">
        <v>0</v>
      </c>
      <c r="TT23" s="262">
        <v>0</v>
      </c>
      <c r="TU23" s="264">
        <v>0</v>
      </c>
      <c r="TV23" s="262">
        <v>445686.01117200003</v>
      </c>
      <c r="TW23" s="262">
        <v>341078.52178100002</v>
      </c>
      <c r="TX23" s="263">
        <v>0.30669620838267397</v>
      </c>
      <c r="TY23" s="262">
        <v>4998771.2192660002</v>
      </c>
      <c r="TZ23" s="262">
        <v>4829208.6556860004</v>
      </c>
      <c r="UA23" s="263">
        <v>3.5111873532396198E-2</v>
      </c>
      <c r="UB23" s="262">
        <v>5627982.450309</v>
      </c>
      <c r="UC23" s="262">
        <v>5725020.8861959996</v>
      </c>
      <c r="UD23" s="263">
        <v>-1.6949883295793E-2</v>
      </c>
      <c r="UE23" s="262">
        <v>0</v>
      </c>
      <c r="UF23" s="262">
        <v>0</v>
      </c>
      <c r="UG23" s="263">
        <v>0</v>
      </c>
      <c r="UH23" s="262">
        <v>0</v>
      </c>
      <c r="UI23" s="262">
        <v>0</v>
      </c>
      <c r="UJ23" s="263">
        <v>0</v>
      </c>
      <c r="UK23" s="262">
        <v>0</v>
      </c>
      <c r="UL23" s="262">
        <v>0</v>
      </c>
      <c r="UM23" s="263">
        <v>0</v>
      </c>
      <c r="UN23" s="262">
        <v>0</v>
      </c>
      <c r="UO23" s="262">
        <v>0</v>
      </c>
      <c r="UP23" s="263">
        <v>0</v>
      </c>
      <c r="UQ23" s="262">
        <v>0</v>
      </c>
      <c r="UR23" s="262">
        <v>0</v>
      </c>
      <c r="US23" s="263">
        <v>0</v>
      </c>
      <c r="UT23" s="262">
        <v>0</v>
      </c>
      <c r="UU23" s="262">
        <v>0</v>
      </c>
      <c r="UV23" s="263">
        <v>0</v>
      </c>
      <c r="UW23" s="262">
        <v>0</v>
      </c>
      <c r="UX23" s="262">
        <v>0</v>
      </c>
      <c r="UY23" s="263">
        <v>0</v>
      </c>
      <c r="UZ23" s="262">
        <v>0</v>
      </c>
      <c r="VA23" s="262">
        <v>0</v>
      </c>
      <c r="VB23" s="263">
        <v>0</v>
      </c>
      <c r="VC23" s="262">
        <v>0</v>
      </c>
      <c r="VD23" s="262">
        <v>0</v>
      </c>
      <c r="VE23" s="263">
        <v>0</v>
      </c>
      <c r="VF23" s="262">
        <v>0</v>
      </c>
      <c r="VG23" s="262">
        <v>0</v>
      </c>
      <c r="VH23" s="263">
        <v>0</v>
      </c>
      <c r="VI23" s="262">
        <v>0</v>
      </c>
      <c r="VJ23" s="262">
        <v>0</v>
      </c>
      <c r="VK23" s="263">
        <v>0</v>
      </c>
      <c r="VL23" s="262">
        <v>0</v>
      </c>
      <c r="VM23" s="262">
        <v>0</v>
      </c>
      <c r="VN23" s="264">
        <v>0</v>
      </c>
    </row>
    <row r="24" spans="1:586">
      <c r="A24" s="268" t="s">
        <v>115</v>
      </c>
      <c r="B24" s="262">
        <v>-528090.72713799996</v>
      </c>
      <c r="C24" s="262">
        <v>-762190.82799999998</v>
      </c>
      <c r="D24" s="263">
        <v>-0.30714106266049201</v>
      </c>
      <c r="E24" s="262">
        <v>-7670169.7887030002</v>
      </c>
      <c r="F24" s="262">
        <v>-6705009.0028449995</v>
      </c>
      <c r="G24" s="263">
        <v>0.14394623265210699</v>
      </c>
      <c r="H24" s="262">
        <v>-9159075.2351980004</v>
      </c>
      <c r="I24" s="262">
        <v>-8117858.099742</v>
      </c>
      <c r="J24" s="263">
        <v>0.12826254446220101</v>
      </c>
      <c r="K24" s="262">
        <v>0</v>
      </c>
      <c r="L24" s="262">
        <v>0</v>
      </c>
      <c r="M24" s="263">
        <v>0</v>
      </c>
      <c r="N24" s="262">
        <v>0</v>
      </c>
      <c r="O24" s="262">
        <v>0</v>
      </c>
      <c r="P24" s="263">
        <v>0</v>
      </c>
      <c r="Q24" s="262">
        <v>0</v>
      </c>
      <c r="R24" s="262">
        <v>0</v>
      </c>
      <c r="S24" s="263">
        <v>0</v>
      </c>
      <c r="T24" s="262">
        <v>0</v>
      </c>
      <c r="U24" s="262">
        <v>0</v>
      </c>
      <c r="V24" s="263">
        <v>0</v>
      </c>
      <c r="W24" s="262">
        <v>0</v>
      </c>
      <c r="X24" s="262">
        <v>0</v>
      </c>
      <c r="Y24" s="263">
        <v>0</v>
      </c>
      <c r="Z24" s="262">
        <v>0</v>
      </c>
      <c r="AA24" s="262">
        <v>0</v>
      </c>
      <c r="AB24" s="263">
        <v>0</v>
      </c>
      <c r="AC24" s="262">
        <v>0</v>
      </c>
      <c r="AD24" s="262">
        <v>0</v>
      </c>
      <c r="AE24" s="263">
        <v>0</v>
      </c>
      <c r="AF24" s="262">
        <v>0</v>
      </c>
      <c r="AG24" s="262">
        <v>0</v>
      </c>
      <c r="AH24" s="263">
        <v>0</v>
      </c>
      <c r="AI24" s="262">
        <v>0</v>
      </c>
      <c r="AJ24" s="262">
        <v>0</v>
      </c>
      <c r="AK24" s="263">
        <v>0</v>
      </c>
      <c r="AL24" s="262">
        <v>0</v>
      </c>
      <c r="AM24" s="262">
        <v>0</v>
      </c>
      <c r="AN24" s="263">
        <v>0</v>
      </c>
      <c r="AO24" s="262">
        <v>0</v>
      </c>
      <c r="AP24" s="262">
        <v>0</v>
      </c>
      <c r="AQ24" s="263">
        <v>0</v>
      </c>
      <c r="AR24" s="262">
        <v>0</v>
      </c>
      <c r="AS24" s="262">
        <v>0</v>
      </c>
      <c r="AT24" s="264">
        <v>0</v>
      </c>
      <c r="AU24" s="262">
        <v>-419498.46351999999</v>
      </c>
      <c r="AV24" s="262">
        <v>-805669.05997599999</v>
      </c>
      <c r="AW24" s="263">
        <v>-0.47931665201032297</v>
      </c>
      <c r="AX24" s="262">
        <v>-8089668.2522229999</v>
      </c>
      <c r="AY24" s="262">
        <v>-7510678.0628209999</v>
      </c>
      <c r="AZ24" s="263">
        <v>7.7088937185057799E-2</v>
      </c>
      <c r="BA24" s="262">
        <v>-8772904.6387419999</v>
      </c>
      <c r="BB24" s="262">
        <v>-8336564.6017180001</v>
      </c>
      <c r="BC24" s="263">
        <v>5.2340509294929297E-2</v>
      </c>
      <c r="BD24" s="262">
        <v>0</v>
      </c>
      <c r="BE24" s="262">
        <v>0</v>
      </c>
      <c r="BF24" s="263">
        <v>0</v>
      </c>
      <c r="BG24" s="262">
        <v>0</v>
      </c>
      <c r="BH24" s="262">
        <v>0</v>
      </c>
      <c r="BI24" s="263">
        <v>0</v>
      </c>
      <c r="BJ24" s="262">
        <v>0</v>
      </c>
      <c r="BK24" s="262">
        <v>0</v>
      </c>
      <c r="BL24" s="263">
        <v>0</v>
      </c>
      <c r="BM24" s="262">
        <v>0</v>
      </c>
      <c r="BN24" s="262">
        <v>0</v>
      </c>
      <c r="BO24" s="263">
        <v>0</v>
      </c>
      <c r="BP24" s="262">
        <v>0</v>
      </c>
      <c r="BQ24" s="262">
        <v>0</v>
      </c>
      <c r="BR24" s="263">
        <v>0</v>
      </c>
      <c r="BS24" s="262">
        <v>0</v>
      </c>
      <c r="BT24" s="262">
        <v>0</v>
      </c>
      <c r="BU24" s="263">
        <v>0</v>
      </c>
      <c r="BV24" s="262">
        <v>0</v>
      </c>
      <c r="BW24" s="262">
        <v>0</v>
      </c>
      <c r="BX24" s="263">
        <v>0</v>
      </c>
      <c r="BY24" s="262">
        <v>0</v>
      </c>
      <c r="BZ24" s="262">
        <v>0</v>
      </c>
      <c r="CA24" s="263">
        <v>0</v>
      </c>
      <c r="CB24" s="262">
        <v>0</v>
      </c>
      <c r="CC24" s="262">
        <v>0</v>
      </c>
      <c r="CD24" s="263">
        <v>0</v>
      </c>
      <c r="CE24" s="262">
        <v>0</v>
      </c>
      <c r="CF24" s="262">
        <v>0</v>
      </c>
      <c r="CG24" s="263">
        <v>0</v>
      </c>
      <c r="CH24" s="262">
        <v>0</v>
      </c>
      <c r="CI24" s="262">
        <v>0</v>
      </c>
      <c r="CJ24" s="263">
        <v>0</v>
      </c>
      <c r="CK24" s="262">
        <v>0</v>
      </c>
      <c r="CL24" s="262">
        <v>0</v>
      </c>
      <c r="CM24" s="264">
        <v>0</v>
      </c>
      <c r="CN24" s="262">
        <v>-574540.55303199997</v>
      </c>
      <c r="CO24" s="262">
        <v>-683236.38651900005</v>
      </c>
      <c r="CP24" s="263">
        <v>-0.15908964398221101</v>
      </c>
      <c r="CQ24" s="262">
        <v>-8664208.8052549995</v>
      </c>
      <c r="CR24" s="262">
        <v>-8193914.4493399998</v>
      </c>
      <c r="CS24" s="263">
        <v>5.7395565797356003E-2</v>
      </c>
      <c r="CT24" s="262">
        <v>-8664208.8052549995</v>
      </c>
      <c r="CU24" s="262">
        <v>-8193914.4493399998</v>
      </c>
      <c r="CV24" s="263">
        <v>5.7395565797356003E-2</v>
      </c>
      <c r="CW24" s="262">
        <v>0</v>
      </c>
      <c r="CX24" s="262">
        <v>0</v>
      </c>
      <c r="CY24" s="263">
        <v>0</v>
      </c>
      <c r="CZ24" s="262">
        <v>0</v>
      </c>
      <c r="DA24" s="262">
        <v>0</v>
      </c>
      <c r="DB24" s="263">
        <v>0</v>
      </c>
      <c r="DC24" s="262">
        <v>0</v>
      </c>
      <c r="DD24" s="262">
        <v>0</v>
      </c>
      <c r="DE24" s="263">
        <v>0</v>
      </c>
      <c r="DF24" s="262">
        <v>0</v>
      </c>
      <c r="DG24" s="262">
        <v>0</v>
      </c>
      <c r="DH24" s="263">
        <v>0</v>
      </c>
      <c r="DI24" s="262">
        <v>0</v>
      </c>
      <c r="DJ24" s="262">
        <v>0</v>
      </c>
      <c r="DK24" s="263">
        <v>0</v>
      </c>
      <c r="DL24" s="262">
        <v>0</v>
      </c>
      <c r="DM24" s="262">
        <v>0</v>
      </c>
      <c r="DN24" s="263">
        <v>0</v>
      </c>
      <c r="DO24" s="262">
        <v>0</v>
      </c>
      <c r="DP24" s="262">
        <v>0</v>
      </c>
      <c r="DQ24" s="263">
        <v>0</v>
      </c>
      <c r="DR24" s="262">
        <v>0</v>
      </c>
      <c r="DS24" s="262">
        <v>0</v>
      </c>
      <c r="DT24" s="263">
        <v>0</v>
      </c>
      <c r="DU24" s="262">
        <v>0</v>
      </c>
      <c r="DV24" s="262">
        <v>0</v>
      </c>
      <c r="DW24" s="263">
        <v>0</v>
      </c>
      <c r="DX24" s="262">
        <v>0</v>
      </c>
      <c r="DY24" s="262">
        <v>0</v>
      </c>
      <c r="DZ24" s="263">
        <v>0</v>
      </c>
      <c r="EA24" s="262">
        <v>0</v>
      </c>
      <c r="EB24" s="262">
        <v>0</v>
      </c>
      <c r="EC24" s="263">
        <v>0</v>
      </c>
      <c r="ED24" s="262">
        <v>0</v>
      </c>
      <c r="EE24" s="262">
        <v>0</v>
      </c>
      <c r="EF24" s="264">
        <v>0</v>
      </c>
      <c r="EG24" s="262">
        <v>-753553.84100000001</v>
      </c>
      <c r="EH24" s="262">
        <v>-735934.14696499996</v>
      </c>
      <c r="EI24" s="263">
        <v>2.3941943865037198E-2</v>
      </c>
      <c r="EJ24" s="262">
        <v>-753553.84100000001</v>
      </c>
      <c r="EK24" s="262">
        <v>-735934.14696499996</v>
      </c>
      <c r="EL24" s="263">
        <v>2.3941943865037198E-2</v>
      </c>
      <c r="EM24" s="262">
        <v>-8681828.4992900006</v>
      </c>
      <c r="EN24" s="262">
        <v>-7981202.483209</v>
      </c>
      <c r="EO24" s="263">
        <v>8.77845183799046E-2</v>
      </c>
      <c r="EP24" s="262">
        <v>0</v>
      </c>
      <c r="EQ24" s="262">
        <v>0</v>
      </c>
      <c r="ER24" s="263">
        <v>0</v>
      </c>
      <c r="ES24" s="262">
        <v>0</v>
      </c>
      <c r="ET24" s="262">
        <v>0</v>
      </c>
      <c r="EU24" s="263">
        <v>0</v>
      </c>
      <c r="EV24" s="262">
        <v>0</v>
      </c>
      <c r="EW24" s="262">
        <v>0</v>
      </c>
      <c r="EX24" s="263">
        <v>0</v>
      </c>
      <c r="EY24" s="262">
        <v>0</v>
      </c>
      <c r="EZ24" s="262">
        <v>0</v>
      </c>
      <c r="FA24" s="263">
        <v>0</v>
      </c>
      <c r="FB24" s="262">
        <v>0</v>
      </c>
      <c r="FC24" s="262">
        <v>0</v>
      </c>
      <c r="FD24" s="263">
        <v>0</v>
      </c>
      <c r="FE24" s="262">
        <v>0</v>
      </c>
      <c r="FF24" s="262">
        <v>0</v>
      </c>
      <c r="FG24" s="263">
        <v>0</v>
      </c>
      <c r="FH24" s="262">
        <v>0</v>
      </c>
      <c r="FI24" s="262">
        <v>0</v>
      </c>
      <c r="FJ24" s="263">
        <v>0</v>
      </c>
      <c r="FK24" s="262">
        <v>0</v>
      </c>
      <c r="FL24" s="262">
        <v>0</v>
      </c>
      <c r="FM24" s="263">
        <v>0</v>
      </c>
      <c r="FN24" s="262">
        <v>0</v>
      </c>
      <c r="FO24" s="262">
        <v>0</v>
      </c>
      <c r="FP24" s="263">
        <v>0</v>
      </c>
      <c r="FQ24" s="262">
        <v>0</v>
      </c>
      <c r="FR24" s="262">
        <v>0</v>
      </c>
      <c r="FS24" s="263">
        <v>0</v>
      </c>
      <c r="FT24" s="262">
        <v>0</v>
      </c>
      <c r="FU24" s="262">
        <v>0</v>
      </c>
      <c r="FV24" s="263">
        <v>0</v>
      </c>
      <c r="FW24" s="262">
        <v>0</v>
      </c>
      <c r="FX24" s="262">
        <v>0</v>
      </c>
      <c r="FY24" s="264">
        <v>0</v>
      </c>
      <c r="FZ24" s="262">
        <v>-511272.366056</v>
      </c>
      <c r="GA24" s="262">
        <v>-864334.38691999996</v>
      </c>
      <c r="GB24" s="263">
        <v>-0.40847850809466701</v>
      </c>
      <c r="GC24" s="262">
        <v>-1264826.2070559999</v>
      </c>
      <c r="GD24" s="262">
        <v>-1600268.533885</v>
      </c>
      <c r="GE24" s="263">
        <v>-0.209616273597932</v>
      </c>
      <c r="GF24" s="262">
        <v>-8328766.4784260001</v>
      </c>
      <c r="GG24" s="262">
        <v>-8446346.2281570006</v>
      </c>
      <c r="GH24" s="263">
        <v>-1.39207826147397E-2</v>
      </c>
      <c r="GI24" s="262">
        <v>0</v>
      </c>
      <c r="GJ24" s="262">
        <v>0</v>
      </c>
      <c r="GK24" s="263">
        <v>0</v>
      </c>
      <c r="GL24" s="262">
        <v>0</v>
      </c>
      <c r="GM24" s="262">
        <v>0</v>
      </c>
      <c r="GN24" s="263">
        <v>0</v>
      </c>
      <c r="GO24" s="262">
        <v>0</v>
      </c>
      <c r="GP24" s="262">
        <v>0</v>
      </c>
      <c r="GQ24" s="263">
        <v>0</v>
      </c>
      <c r="GR24" s="262">
        <v>0</v>
      </c>
      <c r="GS24" s="262">
        <v>0</v>
      </c>
      <c r="GT24" s="263">
        <v>0</v>
      </c>
      <c r="GU24" s="262">
        <v>0</v>
      </c>
      <c r="GV24" s="262">
        <v>0</v>
      </c>
      <c r="GW24" s="263">
        <v>0</v>
      </c>
      <c r="GX24" s="262">
        <v>0</v>
      </c>
      <c r="GY24" s="262">
        <v>0</v>
      </c>
      <c r="GZ24" s="263">
        <v>0</v>
      </c>
      <c r="HA24" s="262">
        <v>0</v>
      </c>
      <c r="HB24" s="262">
        <v>0</v>
      </c>
      <c r="HC24" s="263">
        <v>0</v>
      </c>
      <c r="HD24" s="262">
        <v>0</v>
      </c>
      <c r="HE24" s="262">
        <v>0</v>
      </c>
      <c r="HF24" s="263">
        <v>0</v>
      </c>
      <c r="HG24" s="262">
        <v>0</v>
      </c>
      <c r="HH24" s="262">
        <v>0</v>
      </c>
      <c r="HI24" s="263">
        <v>0</v>
      </c>
      <c r="HJ24" s="262">
        <v>0</v>
      </c>
      <c r="HK24" s="262">
        <v>0</v>
      </c>
      <c r="HL24" s="263">
        <v>0</v>
      </c>
      <c r="HM24" s="262">
        <v>0</v>
      </c>
      <c r="HN24" s="262">
        <v>0</v>
      </c>
      <c r="HO24" s="263">
        <v>0</v>
      </c>
      <c r="HP24" s="262">
        <v>0</v>
      </c>
      <c r="HQ24" s="262">
        <v>0</v>
      </c>
      <c r="HR24" s="264">
        <v>0</v>
      </c>
      <c r="HS24" s="262">
        <v>-779770.98613400001</v>
      </c>
      <c r="HT24" s="262">
        <v>-1060902.5367940001</v>
      </c>
      <c r="HU24" s="263">
        <v>-0.264992815937237</v>
      </c>
      <c r="HV24" s="262">
        <v>-2044597.19319</v>
      </c>
      <c r="HW24" s="262">
        <v>-2661171.0706790001</v>
      </c>
      <c r="HX24" s="263">
        <v>-0.23169268758497399</v>
      </c>
      <c r="HY24" s="262">
        <v>-8047634.9277659999</v>
      </c>
      <c r="HZ24" s="262">
        <v>-8610779.9207530003</v>
      </c>
      <c r="IA24" s="263">
        <v>-6.5399998393845193E-2</v>
      </c>
      <c r="IB24" s="262">
        <v>0</v>
      </c>
      <c r="IC24" s="262">
        <v>0</v>
      </c>
      <c r="ID24" s="263">
        <v>0</v>
      </c>
      <c r="IE24" s="262">
        <v>0</v>
      </c>
      <c r="IF24" s="262">
        <v>0</v>
      </c>
      <c r="IG24" s="263">
        <v>0</v>
      </c>
      <c r="IH24" s="262">
        <v>0</v>
      </c>
      <c r="II24" s="262">
        <v>0</v>
      </c>
      <c r="IJ24" s="263">
        <v>0</v>
      </c>
      <c r="IK24" s="262">
        <v>0</v>
      </c>
      <c r="IL24" s="262">
        <v>0</v>
      </c>
      <c r="IM24" s="263">
        <v>0</v>
      </c>
      <c r="IN24" s="262">
        <v>0</v>
      </c>
      <c r="IO24" s="262">
        <v>0</v>
      </c>
      <c r="IP24" s="263">
        <v>0</v>
      </c>
      <c r="IQ24" s="262">
        <v>0</v>
      </c>
      <c r="IR24" s="262">
        <v>0</v>
      </c>
      <c r="IS24" s="263">
        <v>0</v>
      </c>
      <c r="IT24" s="262">
        <v>0</v>
      </c>
      <c r="IU24" s="262">
        <v>0</v>
      </c>
      <c r="IV24" s="263">
        <v>0</v>
      </c>
      <c r="IW24" s="262">
        <v>0</v>
      </c>
      <c r="IX24" s="262">
        <v>0</v>
      </c>
      <c r="IY24" s="263">
        <v>0</v>
      </c>
      <c r="IZ24" s="262">
        <v>0</v>
      </c>
      <c r="JA24" s="262">
        <v>0</v>
      </c>
      <c r="JB24" s="263">
        <v>0</v>
      </c>
      <c r="JC24" s="262">
        <v>0</v>
      </c>
      <c r="JD24" s="262">
        <v>0</v>
      </c>
      <c r="JE24" s="263">
        <v>0</v>
      </c>
      <c r="JF24" s="262">
        <v>0</v>
      </c>
      <c r="JG24" s="262">
        <v>0</v>
      </c>
      <c r="JH24" s="263">
        <v>0</v>
      </c>
      <c r="JI24" s="262">
        <v>0</v>
      </c>
      <c r="JJ24" s="262">
        <v>0</v>
      </c>
      <c r="JK24" s="264">
        <v>0</v>
      </c>
      <c r="JL24" s="262">
        <v>-963436.47009700001</v>
      </c>
      <c r="JM24" s="262">
        <v>-713743.79302300001</v>
      </c>
      <c r="JN24" s="263">
        <v>0.34983516426314298</v>
      </c>
      <c r="JO24" s="262">
        <v>-3008033.6632869998</v>
      </c>
      <c r="JP24" s="262">
        <v>-3374914.8637020001</v>
      </c>
      <c r="JQ24" s="263">
        <v>-0.108708283092084</v>
      </c>
      <c r="JR24" s="262">
        <v>-8297327.6048400002</v>
      </c>
      <c r="JS24" s="262">
        <v>-8396084.1346000005</v>
      </c>
      <c r="JT24" s="263">
        <v>-1.17622129765265E-2</v>
      </c>
      <c r="JU24" s="262">
        <v>0</v>
      </c>
      <c r="JV24" s="262">
        <v>0</v>
      </c>
      <c r="JW24" s="263">
        <v>0</v>
      </c>
      <c r="JX24" s="262">
        <v>0</v>
      </c>
      <c r="JY24" s="262">
        <v>0</v>
      </c>
      <c r="JZ24" s="263">
        <v>0</v>
      </c>
      <c r="KA24" s="262">
        <v>0</v>
      </c>
      <c r="KB24" s="262">
        <v>0</v>
      </c>
      <c r="KC24" s="263">
        <v>0</v>
      </c>
      <c r="KD24" s="262">
        <v>0</v>
      </c>
      <c r="KE24" s="262">
        <v>0</v>
      </c>
      <c r="KF24" s="263">
        <v>0</v>
      </c>
      <c r="KG24" s="262">
        <v>0</v>
      </c>
      <c r="KH24" s="262">
        <v>0</v>
      </c>
      <c r="KI24" s="263">
        <v>0</v>
      </c>
      <c r="KJ24" s="262">
        <v>0</v>
      </c>
      <c r="KK24" s="262">
        <v>0</v>
      </c>
      <c r="KL24" s="263">
        <v>0</v>
      </c>
      <c r="KM24" s="262">
        <v>0</v>
      </c>
      <c r="KN24" s="262">
        <v>0</v>
      </c>
      <c r="KO24" s="263">
        <v>0</v>
      </c>
      <c r="KP24" s="262">
        <v>0</v>
      </c>
      <c r="KQ24" s="262">
        <v>0</v>
      </c>
      <c r="KR24" s="263">
        <v>0</v>
      </c>
      <c r="KS24" s="262">
        <v>0</v>
      </c>
      <c r="KT24" s="262">
        <v>0</v>
      </c>
      <c r="KU24" s="263">
        <v>0</v>
      </c>
      <c r="KV24" s="262">
        <v>0</v>
      </c>
      <c r="KW24" s="262">
        <v>0</v>
      </c>
      <c r="KX24" s="263">
        <v>0</v>
      </c>
      <c r="KY24" s="262">
        <v>0</v>
      </c>
      <c r="KZ24" s="262">
        <v>0</v>
      </c>
      <c r="LA24" s="263">
        <v>0</v>
      </c>
      <c r="LB24" s="262">
        <v>0</v>
      </c>
      <c r="LC24" s="262">
        <v>0</v>
      </c>
      <c r="LD24" s="264">
        <v>0</v>
      </c>
      <c r="LE24" s="262">
        <v>-936563.74595300003</v>
      </c>
      <c r="LF24" s="262">
        <v>-968123.07493799995</v>
      </c>
      <c r="LG24" s="263">
        <v>-3.2598467903495701E-2</v>
      </c>
      <c r="LH24" s="262">
        <v>-3944597.4092399999</v>
      </c>
      <c r="LI24" s="262">
        <v>-4343037.9386400003</v>
      </c>
      <c r="LJ24" s="263">
        <v>-9.1742355242876397E-2</v>
      </c>
      <c r="LK24" s="262">
        <v>-8265768.2758550001</v>
      </c>
      <c r="LL24" s="262">
        <v>-8636332.7974169999</v>
      </c>
      <c r="LM24" s="263">
        <v>-4.29076241333394E-2</v>
      </c>
      <c r="LN24" s="262">
        <v>0</v>
      </c>
      <c r="LO24" s="262">
        <v>0</v>
      </c>
      <c r="LP24" s="263">
        <v>0</v>
      </c>
      <c r="LQ24" s="262">
        <v>0</v>
      </c>
      <c r="LR24" s="262">
        <v>0</v>
      </c>
      <c r="LS24" s="263">
        <v>0</v>
      </c>
      <c r="LT24" s="262">
        <v>0</v>
      </c>
      <c r="LU24" s="262">
        <v>0</v>
      </c>
      <c r="LV24" s="263">
        <v>0</v>
      </c>
      <c r="LW24" s="262">
        <v>0</v>
      </c>
      <c r="LX24" s="262">
        <v>0</v>
      </c>
      <c r="LY24" s="263">
        <v>0</v>
      </c>
      <c r="LZ24" s="262">
        <v>0</v>
      </c>
      <c r="MA24" s="262">
        <v>0</v>
      </c>
      <c r="MB24" s="263">
        <v>0</v>
      </c>
      <c r="MC24" s="262">
        <v>0</v>
      </c>
      <c r="MD24" s="262">
        <v>0</v>
      </c>
      <c r="ME24" s="263">
        <v>0</v>
      </c>
      <c r="MF24" s="262">
        <v>0</v>
      </c>
      <c r="MG24" s="262">
        <v>0</v>
      </c>
      <c r="MH24" s="263">
        <v>0</v>
      </c>
      <c r="MI24" s="262">
        <v>0</v>
      </c>
      <c r="MJ24" s="262">
        <v>0</v>
      </c>
      <c r="MK24" s="263">
        <v>0</v>
      </c>
      <c r="ML24" s="262">
        <v>0</v>
      </c>
      <c r="MM24" s="262">
        <v>0</v>
      </c>
      <c r="MN24" s="263">
        <v>0</v>
      </c>
      <c r="MO24" s="262">
        <v>0</v>
      </c>
      <c r="MP24" s="262">
        <v>0</v>
      </c>
      <c r="MQ24" s="263">
        <v>0</v>
      </c>
      <c r="MR24" s="262">
        <v>0</v>
      </c>
      <c r="MS24" s="262">
        <v>0</v>
      </c>
      <c r="MT24" s="263">
        <v>0</v>
      </c>
      <c r="MU24" s="262">
        <v>0</v>
      </c>
      <c r="MV24" s="262">
        <v>0</v>
      </c>
      <c r="MW24" s="264">
        <v>0</v>
      </c>
      <c r="MX24" s="262">
        <v>-718620.00988200004</v>
      </c>
      <c r="MY24" s="262">
        <v>-791003.58811400004</v>
      </c>
      <c r="MZ24" s="263">
        <v>-9.1508533361504801E-2</v>
      </c>
      <c r="NA24" s="262">
        <v>-4663217.4191220002</v>
      </c>
      <c r="NB24" s="262">
        <v>-5134041.5267540002</v>
      </c>
      <c r="NC24" s="263">
        <v>-9.17063302231758E-2</v>
      </c>
      <c r="ND24" s="262">
        <v>-8193384.6976229995</v>
      </c>
      <c r="NE24" s="262">
        <v>-9028941.2510749996</v>
      </c>
      <c r="NF24" s="263">
        <v>-9.2542030146947493E-2</v>
      </c>
      <c r="NG24" s="262">
        <v>0</v>
      </c>
      <c r="NH24" s="262">
        <v>0</v>
      </c>
      <c r="NI24" s="263">
        <v>0</v>
      </c>
      <c r="NJ24" s="262">
        <v>0</v>
      </c>
      <c r="NK24" s="262">
        <v>0</v>
      </c>
      <c r="NL24" s="263">
        <v>0</v>
      </c>
      <c r="NM24" s="262">
        <v>0</v>
      </c>
      <c r="NN24" s="262">
        <v>0</v>
      </c>
      <c r="NO24" s="263">
        <v>0</v>
      </c>
      <c r="NP24" s="262">
        <v>0</v>
      </c>
      <c r="NQ24" s="262">
        <v>0</v>
      </c>
      <c r="NR24" s="263">
        <v>0</v>
      </c>
      <c r="NS24" s="262">
        <v>0</v>
      </c>
      <c r="NT24" s="262">
        <v>0</v>
      </c>
      <c r="NU24" s="263">
        <v>0</v>
      </c>
      <c r="NV24" s="262">
        <v>0</v>
      </c>
      <c r="NW24" s="262">
        <v>0</v>
      </c>
      <c r="NX24" s="263">
        <v>0</v>
      </c>
      <c r="NY24" s="262">
        <v>0</v>
      </c>
      <c r="NZ24" s="262">
        <v>0</v>
      </c>
      <c r="OA24" s="263">
        <v>0</v>
      </c>
      <c r="OB24" s="262">
        <v>0</v>
      </c>
      <c r="OC24" s="262">
        <v>0</v>
      </c>
      <c r="OD24" s="263">
        <v>0</v>
      </c>
      <c r="OE24" s="262">
        <v>0</v>
      </c>
      <c r="OF24" s="262">
        <v>0</v>
      </c>
      <c r="OG24" s="263">
        <v>0</v>
      </c>
      <c r="OH24" s="262">
        <v>0</v>
      </c>
      <c r="OI24" s="262">
        <v>0</v>
      </c>
      <c r="OJ24" s="263">
        <v>0</v>
      </c>
      <c r="OK24" s="262">
        <v>0</v>
      </c>
      <c r="OL24" s="262">
        <v>0</v>
      </c>
      <c r="OM24" s="263">
        <v>0</v>
      </c>
      <c r="ON24" s="262">
        <v>0</v>
      </c>
      <c r="OO24" s="262">
        <v>0</v>
      </c>
      <c r="OP24" s="264">
        <v>0</v>
      </c>
      <c r="OQ24" s="262">
        <v>-803213.47497099999</v>
      </c>
      <c r="OR24" s="262">
        <v>-645313.35691099998</v>
      </c>
      <c r="OS24" s="263">
        <v>0.24468750936109501</v>
      </c>
      <c r="OT24" s="262">
        <v>-5466430.8940930003</v>
      </c>
      <c r="OU24" s="262">
        <v>-5779354.8836650001</v>
      </c>
      <c r="OV24" s="263">
        <v>-5.4145141779830902E-2</v>
      </c>
      <c r="OW24" s="262">
        <v>-8351284.8156829998</v>
      </c>
      <c r="OX24" s="262">
        <v>-9195754.3696720004</v>
      </c>
      <c r="OY24" s="263">
        <v>-9.1832547939090001E-2</v>
      </c>
      <c r="OZ24" s="262">
        <v>0</v>
      </c>
      <c r="PA24" s="262">
        <v>0</v>
      </c>
      <c r="PB24" s="263">
        <v>0</v>
      </c>
      <c r="PC24" s="262">
        <v>0</v>
      </c>
      <c r="PD24" s="262">
        <v>0</v>
      </c>
      <c r="PE24" s="263">
        <v>0</v>
      </c>
      <c r="PF24" s="262">
        <v>0</v>
      </c>
      <c r="PG24" s="262">
        <v>0</v>
      </c>
      <c r="PH24" s="263">
        <v>0</v>
      </c>
      <c r="PI24" s="262">
        <v>0</v>
      </c>
      <c r="PJ24" s="262">
        <v>0</v>
      </c>
      <c r="PK24" s="263">
        <v>0</v>
      </c>
      <c r="PL24" s="262">
        <v>0</v>
      </c>
      <c r="PM24" s="262">
        <v>0</v>
      </c>
      <c r="PN24" s="263">
        <v>0</v>
      </c>
      <c r="PO24" s="262">
        <v>0</v>
      </c>
      <c r="PP24" s="262">
        <v>0</v>
      </c>
      <c r="PQ24" s="263">
        <v>0</v>
      </c>
      <c r="PR24" s="262">
        <v>0</v>
      </c>
      <c r="PS24" s="262">
        <v>0</v>
      </c>
      <c r="PT24" s="263">
        <v>0</v>
      </c>
      <c r="PU24" s="262">
        <v>0</v>
      </c>
      <c r="PV24" s="262">
        <v>0</v>
      </c>
      <c r="PW24" s="263">
        <v>0</v>
      </c>
      <c r="PX24" s="262">
        <v>0</v>
      </c>
      <c r="PY24" s="262">
        <v>0</v>
      </c>
      <c r="PZ24" s="263">
        <v>0</v>
      </c>
      <c r="QA24" s="262">
        <v>0</v>
      </c>
      <c r="QB24" s="262">
        <v>0</v>
      </c>
      <c r="QC24" s="263">
        <v>0</v>
      </c>
      <c r="QD24" s="262">
        <v>0</v>
      </c>
      <c r="QE24" s="262">
        <v>0</v>
      </c>
      <c r="QF24" s="263">
        <v>0</v>
      </c>
      <c r="QG24" s="262">
        <v>0</v>
      </c>
      <c r="QH24" s="262">
        <v>0</v>
      </c>
      <c r="QI24" s="264">
        <v>0</v>
      </c>
      <c r="QJ24" s="262">
        <v>-846412.90735999995</v>
      </c>
      <c r="QK24" s="262">
        <v>-661364.66610000003</v>
      </c>
      <c r="QL24" s="263">
        <v>0.27979759238002599</v>
      </c>
      <c r="QM24" s="262">
        <v>-6312843.8014529999</v>
      </c>
      <c r="QN24" s="262">
        <v>-6440719.5497650001</v>
      </c>
      <c r="QO24" s="263">
        <v>-1.9854264313785602E-2</v>
      </c>
      <c r="QP24" s="262">
        <v>-8536333.0569429994</v>
      </c>
      <c r="QQ24" s="262">
        <v>-9227946.6430280004</v>
      </c>
      <c r="QR24" s="263">
        <v>-7.4947722699235206E-2</v>
      </c>
      <c r="QS24" s="262">
        <v>0</v>
      </c>
      <c r="QT24" s="262">
        <v>0</v>
      </c>
      <c r="QU24" s="263">
        <v>0</v>
      </c>
      <c r="QV24" s="262">
        <v>0</v>
      </c>
      <c r="QW24" s="262">
        <v>0</v>
      </c>
      <c r="QX24" s="263">
        <v>0</v>
      </c>
      <c r="QY24" s="262">
        <v>0</v>
      </c>
      <c r="QZ24" s="262">
        <v>0</v>
      </c>
      <c r="RA24" s="263">
        <v>0</v>
      </c>
      <c r="RB24" s="262">
        <v>0</v>
      </c>
      <c r="RC24" s="262">
        <v>0</v>
      </c>
      <c r="RD24" s="263">
        <v>0</v>
      </c>
      <c r="RE24" s="262">
        <v>0</v>
      </c>
      <c r="RF24" s="262">
        <v>0</v>
      </c>
      <c r="RG24" s="263">
        <v>0</v>
      </c>
      <c r="RH24" s="262">
        <v>0</v>
      </c>
      <c r="RI24" s="262">
        <v>0</v>
      </c>
      <c r="RJ24" s="263">
        <v>0</v>
      </c>
      <c r="RK24" s="262">
        <v>0</v>
      </c>
      <c r="RL24" s="262">
        <v>0</v>
      </c>
      <c r="RM24" s="263">
        <v>0</v>
      </c>
      <c r="RN24" s="262">
        <v>0</v>
      </c>
      <c r="RO24" s="262">
        <v>0</v>
      </c>
      <c r="RP24" s="263">
        <v>0</v>
      </c>
      <c r="RQ24" s="262">
        <v>0</v>
      </c>
      <c r="RR24" s="262">
        <v>0</v>
      </c>
      <c r="RS24" s="263">
        <v>0</v>
      </c>
      <c r="RT24" s="262">
        <v>0</v>
      </c>
      <c r="RU24" s="262">
        <v>0</v>
      </c>
      <c r="RV24" s="263">
        <v>0</v>
      </c>
      <c r="RW24" s="262">
        <v>0</v>
      </c>
      <c r="RX24" s="262">
        <v>0</v>
      </c>
      <c r="RY24" s="263">
        <v>0</v>
      </c>
      <c r="RZ24" s="262">
        <v>0</v>
      </c>
      <c r="SA24" s="262">
        <v>0</v>
      </c>
      <c r="SB24" s="264">
        <v>0</v>
      </c>
      <c r="SC24" s="262">
        <v>-800847.92799999996</v>
      </c>
      <c r="SD24" s="262">
        <v>-701359.51179999998</v>
      </c>
      <c r="SE24" s="263">
        <v>0.14185081192478399</v>
      </c>
      <c r="SF24" s="262">
        <v>-7113691.7294530002</v>
      </c>
      <c r="SG24" s="262">
        <v>-7142079.0615649996</v>
      </c>
      <c r="SH24" s="263">
        <v>-3.9746594608235904E-3</v>
      </c>
      <c r="SI24" s="262">
        <v>-8635821.4731430002</v>
      </c>
      <c r="SJ24" s="262">
        <v>-9393175.3360600006</v>
      </c>
      <c r="SK24" s="263">
        <v>-8.0628098147976807E-2</v>
      </c>
      <c r="SL24" s="262">
        <v>0</v>
      </c>
      <c r="SM24" s="262">
        <v>0</v>
      </c>
      <c r="SN24" s="263">
        <v>0</v>
      </c>
      <c r="SO24" s="262">
        <v>0</v>
      </c>
      <c r="SP24" s="262">
        <v>0</v>
      </c>
      <c r="SQ24" s="263">
        <v>0</v>
      </c>
      <c r="SR24" s="262">
        <v>0</v>
      </c>
      <c r="SS24" s="262">
        <v>0</v>
      </c>
      <c r="ST24" s="263">
        <v>0</v>
      </c>
      <c r="SU24" s="262">
        <v>0</v>
      </c>
      <c r="SV24" s="262">
        <v>0</v>
      </c>
      <c r="SW24" s="263">
        <v>0</v>
      </c>
      <c r="SX24" s="262">
        <v>0</v>
      </c>
      <c r="SY24" s="262">
        <v>0</v>
      </c>
      <c r="SZ24" s="263">
        <v>0</v>
      </c>
      <c r="TA24" s="262">
        <v>0</v>
      </c>
      <c r="TB24" s="262">
        <v>0</v>
      </c>
      <c r="TC24" s="263">
        <v>0</v>
      </c>
      <c r="TD24" s="262">
        <v>0</v>
      </c>
      <c r="TE24" s="262">
        <v>0</v>
      </c>
      <c r="TF24" s="263">
        <v>0</v>
      </c>
      <c r="TG24" s="262">
        <v>0</v>
      </c>
      <c r="TH24" s="262">
        <v>0</v>
      </c>
      <c r="TI24" s="263">
        <v>0</v>
      </c>
      <c r="TJ24" s="262">
        <v>0</v>
      </c>
      <c r="TK24" s="262">
        <v>0</v>
      </c>
      <c r="TL24" s="263">
        <v>0</v>
      </c>
      <c r="TM24" s="262">
        <v>0</v>
      </c>
      <c r="TN24" s="262">
        <v>0</v>
      </c>
      <c r="TO24" s="263">
        <v>0</v>
      </c>
      <c r="TP24" s="262">
        <v>0</v>
      </c>
      <c r="TQ24" s="262">
        <v>0</v>
      </c>
      <c r="TR24" s="263">
        <v>0</v>
      </c>
      <c r="TS24" s="262">
        <v>0</v>
      </c>
      <c r="TT24" s="262">
        <v>0</v>
      </c>
      <c r="TU24" s="264">
        <v>0</v>
      </c>
      <c r="TV24" s="262">
        <v>-805188.94400000002</v>
      </c>
      <c r="TW24" s="262">
        <v>-528090.72713799996</v>
      </c>
      <c r="TX24" s="263">
        <v>0.52471706587945699</v>
      </c>
      <c r="TY24" s="262">
        <v>-7918880.6734530004</v>
      </c>
      <c r="TZ24" s="262">
        <v>-7670169.7887030002</v>
      </c>
      <c r="UA24" s="263">
        <v>3.2425733927860897E-2</v>
      </c>
      <c r="UB24" s="262">
        <v>-8912919.6900050007</v>
      </c>
      <c r="UC24" s="262">
        <v>-9159075.2351980004</v>
      </c>
      <c r="UD24" s="263">
        <v>-2.6875589387783699E-2</v>
      </c>
      <c r="UE24" s="262">
        <v>0</v>
      </c>
      <c r="UF24" s="262">
        <v>0</v>
      </c>
      <c r="UG24" s="263">
        <v>0</v>
      </c>
      <c r="UH24" s="262">
        <v>0</v>
      </c>
      <c r="UI24" s="262">
        <v>0</v>
      </c>
      <c r="UJ24" s="263">
        <v>0</v>
      </c>
      <c r="UK24" s="262">
        <v>0</v>
      </c>
      <c r="UL24" s="262">
        <v>0</v>
      </c>
      <c r="UM24" s="263">
        <v>0</v>
      </c>
      <c r="UN24" s="262">
        <v>0</v>
      </c>
      <c r="UO24" s="262">
        <v>0</v>
      </c>
      <c r="UP24" s="263">
        <v>0</v>
      </c>
      <c r="UQ24" s="262">
        <v>0</v>
      </c>
      <c r="UR24" s="262">
        <v>0</v>
      </c>
      <c r="US24" s="263">
        <v>0</v>
      </c>
      <c r="UT24" s="262">
        <v>0</v>
      </c>
      <c r="UU24" s="262">
        <v>0</v>
      </c>
      <c r="UV24" s="263">
        <v>0</v>
      </c>
      <c r="UW24" s="262">
        <v>0</v>
      </c>
      <c r="UX24" s="262">
        <v>0</v>
      </c>
      <c r="UY24" s="263">
        <v>0</v>
      </c>
      <c r="UZ24" s="262">
        <v>0</v>
      </c>
      <c r="VA24" s="262">
        <v>0</v>
      </c>
      <c r="VB24" s="263">
        <v>0</v>
      </c>
      <c r="VC24" s="262">
        <v>0</v>
      </c>
      <c r="VD24" s="262">
        <v>0</v>
      </c>
      <c r="VE24" s="263">
        <v>0</v>
      </c>
      <c r="VF24" s="262">
        <v>0</v>
      </c>
      <c r="VG24" s="262">
        <v>0</v>
      </c>
      <c r="VH24" s="263">
        <v>0</v>
      </c>
      <c r="VI24" s="262">
        <v>0</v>
      </c>
      <c r="VJ24" s="262">
        <v>0</v>
      </c>
      <c r="VK24" s="263">
        <v>0</v>
      </c>
      <c r="VL24" s="262">
        <v>0</v>
      </c>
      <c r="VM24" s="262">
        <v>0</v>
      </c>
      <c r="VN24" s="264">
        <v>0</v>
      </c>
    </row>
    <row r="25" spans="1:586">
      <c r="A25" s="268" t="s">
        <v>201</v>
      </c>
      <c r="B25" s="262">
        <v>1070.81</v>
      </c>
      <c r="C25" s="262">
        <v>522.87800000000004</v>
      </c>
      <c r="D25" s="263">
        <v>1.04791557495247</v>
      </c>
      <c r="E25" s="262">
        <v>7139.7510000000002</v>
      </c>
      <c r="F25" s="262">
        <v>2999.366</v>
      </c>
      <c r="G25" s="263">
        <v>1.38042006210646</v>
      </c>
      <c r="H25" s="262">
        <v>8192.4609999999993</v>
      </c>
      <c r="I25" s="262">
        <v>2992.3029999999999</v>
      </c>
      <c r="J25" s="263">
        <v>1.73784473029636</v>
      </c>
      <c r="K25" s="262">
        <v>0</v>
      </c>
      <c r="L25" s="262">
        <v>0</v>
      </c>
      <c r="M25" s="263">
        <v>0</v>
      </c>
      <c r="N25" s="262">
        <v>0</v>
      </c>
      <c r="O25" s="262">
        <v>0</v>
      </c>
      <c r="P25" s="263">
        <v>0</v>
      </c>
      <c r="Q25" s="262">
        <v>0</v>
      </c>
      <c r="R25" s="262">
        <v>0</v>
      </c>
      <c r="S25" s="263">
        <v>0</v>
      </c>
      <c r="T25" s="262">
        <v>0</v>
      </c>
      <c r="U25" s="262">
        <v>0</v>
      </c>
      <c r="V25" s="263">
        <v>0</v>
      </c>
      <c r="W25" s="262">
        <v>0</v>
      </c>
      <c r="X25" s="262">
        <v>0</v>
      </c>
      <c r="Y25" s="263">
        <v>0</v>
      </c>
      <c r="Z25" s="262">
        <v>0</v>
      </c>
      <c r="AA25" s="262">
        <v>0</v>
      </c>
      <c r="AB25" s="263">
        <v>0</v>
      </c>
      <c r="AC25" s="262">
        <v>56.972999999999999</v>
      </c>
      <c r="AD25" s="262">
        <v>0</v>
      </c>
      <c r="AE25" s="263">
        <v>0</v>
      </c>
      <c r="AF25" s="262">
        <v>89.498999999999995</v>
      </c>
      <c r="AG25" s="262">
        <v>0</v>
      </c>
      <c r="AH25" s="263">
        <v>0</v>
      </c>
      <c r="AI25" s="262">
        <v>89.885999999999996</v>
      </c>
      <c r="AJ25" s="262">
        <v>0</v>
      </c>
      <c r="AK25" s="263">
        <v>0</v>
      </c>
      <c r="AL25" s="262">
        <v>0</v>
      </c>
      <c r="AM25" s="262">
        <v>0</v>
      </c>
      <c r="AN25" s="263">
        <v>0</v>
      </c>
      <c r="AO25" s="262">
        <v>0</v>
      </c>
      <c r="AP25" s="262">
        <v>0</v>
      </c>
      <c r="AQ25" s="263">
        <v>0</v>
      </c>
      <c r="AR25" s="262">
        <v>0</v>
      </c>
      <c r="AS25" s="262">
        <v>0</v>
      </c>
      <c r="AT25" s="264">
        <v>0</v>
      </c>
      <c r="AU25" s="262">
        <v>1366.6769999999999</v>
      </c>
      <c r="AV25" s="262">
        <v>415.43700000000001</v>
      </c>
      <c r="AW25" s="263">
        <v>2.2897334613912599</v>
      </c>
      <c r="AX25" s="262">
        <v>8506.4279999999999</v>
      </c>
      <c r="AY25" s="262">
        <v>3414.8029999999999</v>
      </c>
      <c r="AZ25" s="263">
        <v>1.4910450178238699</v>
      </c>
      <c r="BA25" s="262">
        <v>9143.7009999999991</v>
      </c>
      <c r="BB25" s="262">
        <v>3407.74</v>
      </c>
      <c r="BC25" s="263">
        <v>1.6832155622201199</v>
      </c>
      <c r="BD25" s="262">
        <v>0</v>
      </c>
      <c r="BE25" s="262">
        <v>0</v>
      </c>
      <c r="BF25" s="263">
        <v>0</v>
      </c>
      <c r="BG25" s="262">
        <v>0</v>
      </c>
      <c r="BH25" s="262">
        <v>0</v>
      </c>
      <c r="BI25" s="263">
        <v>0</v>
      </c>
      <c r="BJ25" s="262">
        <v>0</v>
      </c>
      <c r="BK25" s="262">
        <v>0</v>
      </c>
      <c r="BL25" s="263">
        <v>0</v>
      </c>
      <c r="BM25" s="262">
        <v>0</v>
      </c>
      <c r="BN25" s="262">
        <v>0</v>
      </c>
      <c r="BO25" s="263">
        <v>0</v>
      </c>
      <c r="BP25" s="262">
        <v>0</v>
      </c>
      <c r="BQ25" s="262">
        <v>0</v>
      </c>
      <c r="BR25" s="263">
        <v>0</v>
      </c>
      <c r="BS25" s="262">
        <v>0</v>
      </c>
      <c r="BT25" s="262">
        <v>0</v>
      </c>
      <c r="BU25" s="263">
        <v>0</v>
      </c>
      <c r="BV25" s="262">
        <v>43.603000000000002</v>
      </c>
      <c r="BW25" s="262">
        <v>0</v>
      </c>
      <c r="BX25" s="263">
        <v>0</v>
      </c>
      <c r="BY25" s="262">
        <v>133.102</v>
      </c>
      <c r="BZ25" s="262">
        <v>0</v>
      </c>
      <c r="CA25" s="263">
        <v>0</v>
      </c>
      <c r="CB25" s="262">
        <v>133.489</v>
      </c>
      <c r="CC25" s="262">
        <v>0</v>
      </c>
      <c r="CD25" s="263">
        <v>0</v>
      </c>
      <c r="CE25" s="262">
        <v>0</v>
      </c>
      <c r="CF25" s="262">
        <v>0</v>
      </c>
      <c r="CG25" s="263">
        <v>0</v>
      </c>
      <c r="CH25" s="262">
        <v>0</v>
      </c>
      <c r="CI25" s="262">
        <v>0</v>
      </c>
      <c r="CJ25" s="263">
        <v>0</v>
      </c>
      <c r="CK25" s="262">
        <v>0</v>
      </c>
      <c r="CL25" s="262">
        <v>0</v>
      </c>
      <c r="CM25" s="264">
        <v>0</v>
      </c>
      <c r="CN25" s="262">
        <v>592.66399999999999</v>
      </c>
      <c r="CO25" s="262">
        <v>637.27300000000002</v>
      </c>
      <c r="CP25" s="263">
        <v>-6.9999827389517599E-2</v>
      </c>
      <c r="CQ25" s="262">
        <v>9099.0920000000006</v>
      </c>
      <c r="CR25" s="262">
        <v>4052.076</v>
      </c>
      <c r="CS25" s="263">
        <v>1.24553833639843</v>
      </c>
      <c r="CT25" s="262">
        <v>9099.0920000000006</v>
      </c>
      <c r="CU25" s="262">
        <v>4052.076</v>
      </c>
      <c r="CV25" s="263">
        <v>1.24553833639843</v>
      </c>
      <c r="CW25" s="262">
        <v>0</v>
      </c>
      <c r="CX25" s="262">
        <v>0</v>
      </c>
      <c r="CY25" s="263">
        <v>0</v>
      </c>
      <c r="CZ25" s="262">
        <v>0</v>
      </c>
      <c r="DA25" s="262">
        <v>0</v>
      </c>
      <c r="DB25" s="263">
        <v>0</v>
      </c>
      <c r="DC25" s="262">
        <v>0</v>
      </c>
      <c r="DD25" s="262">
        <v>0</v>
      </c>
      <c r="DE25" s="263">
        <v>0</v>
      </c>
      <c r="DF25" s="262">
        <v>0</v>
      </c>
      <c r="DG25" s="262">
        <v>0</v>
      </c>
      <c r="DH25" s="263">
        <v>0</v>
      </c>
      <c r="DI25" s="262">
        <v>0</v>
      </c>
      <c r="DJ25" s="262">
        <v>0</v>
      </c>
      <c r="DK25" s="263">
        <v>0</v>
      </c>
      <c r="DL25" s="262">
        <v>0</v>
      </c>
      <c r="DM25" s="262">
        <v>0</v>
      </c>
      <c r="DN25" s="263">
        <v>0</v>
      </c>
      <c r="DO25" s="262">
        <v>10.196999999999999</v>
      </c>
      <c r="DP25" s="262">
        <v>0.38700000000000001</v>
      </c>
      <c r="DQ25" s="263">
        <v>25.3488372093023</v>
      </c>
      <c r="DR25" s="262">
        <v>143.29900000000001</v>
      </c>
      <c r="DS25" s="262">
        <v>0.38700000000000001</v>
      </c>
      <c r="DT25" s="263">
        <v>369.28165374677002</v>
      </c>
      <c r="DU25" s="262">
        <v>143.29900000000001</v>
      </c>
      <c r="DV25" s="262">
        <v>0.38700000000000001</v>
      </c>
      <c r="DW25" s="263">
        <v>369.28165374677002</v>
      </c>
      <c r="DX25" s="262">
        <v>0</v>
      </c>
      <c r="DY25" s="262">
        <v>0</v>
      </c>
      <c r="DZ25" s="263">
        <v>0</v>
      </c>
      <c r="EA25" s="262">
        <v>0</v>
      </c>
      <c r="EB25" s="262">
        <v>0</v>
      </c>
      <c r="EC25" s="263">
        <v>0</v>
      </c>
      <c r="ED25" s="262">
        <v>0</v>
      </c>
      <c r="EE25" s="262">
        <v>0</v>
      </c>
      <c r="EF25" s="264">
        <v>0</v>
      </c>
      <c r="EG25" s="262">
        <v>771.96299999999997</v>
      </c>
      <c r="EH25" s="262">
        <v>651.27099999999996</v>
      </c>
      <c r="EI25" s="263">
        <v>0.18531763275195701</v>
      </c>
      <c r="EJ25" s="262">
        <v>771.96299999999997</v>
      </c>
      <c r="EK25" s="262">
        <v>651.27099999999996</v>
      </c>
      <c r="EL25" s="263">
        <v>0.18531763275195701</v>
      </c>
      <c r="EM25" s="262">
        <v>9219.7839999999997</v>
      </c>
      <c r="EN25" s="262">
        <v>4691.7690000000002</v>
      </c>
      <c r="EO25" s="263">
        <v>0.96509759964738195</v>
      </c>
      <c r="EP25" s="262">
        <v>0</v>
      </c>
      <c r="EQ25" s="262">
        <v>0</v>
      </c>
      <c r="ER25" s="263">
        <v>0</v>
      </c>
      <c r="ES25" s="262">
        <v>0</v>
      </c>
      <c r="ET25" s="262">
        <v>0</v>
      </c>
      <c r="EU25" s="263">
        <v>0</v>
      </c>
      <c r="EV25" s="262">
        <v>0</v>
      </c>
      <c r="EW25" s="262">
        <v>0</v>
      </c>
      <c r="EX25" s="263">
        <v>0</v>
      </c>
      <c r="EY25" s="262">
        <v>0</v>
      </c>
      <c r="EZ25" s="262">
        <v>0</v>
      </c>
      <c r="FA25" s="263">
        <v>0</v>
      </c>
      <c r="FB25" s="262">
        <v>0</v>
      </c>
      <c r="FC25" s="262">
        <v>0</v>
      </c>
      <c r="FD25" s="263">
        <v>0</v>
      </c>
      <c r="FE25" s="262">
        <v>0</v>
      </c>
      <c r="FF25" s="262">
        <v>0</v>
      </c>
      <c r="FG25" s="263">
        <v>0</v>
      </c>
      <c r="FH25" s="262">
        <v>5.3209999999999997</v>
      </c>
      <c r="FI25" s="262">
        <v>2.9220000000000002</v>
      </c>
      <c r="FJ25" s="263">
        <v>0.82101300479123895</v>
      </c>
      <c r="FK25" s="262">
        <v>5.3209999999999997</v>
      </c>
      <c r="FL25" s="262">
        <v>2.9220000000000002</v>
      </c>
      <c r="FM25" s="263">
        <v>0.82101300479123895</v>
      </c>
      <c r="FN25" s="262">
        <v>145.69800000000001</v>
      </c>
      <c r="FO25" s="262">
        <v>3.3090000000000002</v>
      </c>
      <c r="FP25" s="263">
        <v>43.030825022665503</v>
      </c>
      <c r="FQ25" s="262">
        <v>0</v>
      </c>
      <c r="FR25" s="262">
        <v>0</v>
      </c>
      <c r="FS25" s="263">
        <v>0</v>
      </c>
      <c r="FT25" s="262">
        <v>0</v>
      </c>
      <c r="FU25" s="262">
        <v>0</v>
      </c>
      <c r="FV25" s="263">
        <v>0</v>
      </c>
      <c r="FW25" s="262">
        <v>0</v>
      </c>
      <c r="FX25" s="262">
        <v>0</v>
      </c>
      <c r="FY25" s="264">
        <v>0</v>
      </c>
      <c r="FZ25" s="262">
        <v>506.80900000000003</v>
      </c>
      <c r="GA25" s="262">
        <v>624.82899999999995</v>
      </c>
      <c r="GB25" s="263">
        <v>-0.18888367857445801</v>
      </c>
      <c r="GC25" s="262">
        <v>1278.7719999999999</v>
      </c>
      <c r="GD25" s="262">
        <v>1276.0999999999999</v>
      </c>
      <c r="GE25" s="263">
        <v>2.0938797899851301E-3</v>
      </c>
      <c r="GF25" s="262">
        <v>9101.7639999999992</v>
      </c>
      <c r="GG25" s="262">
        <v>5221.6450000000004</v>
      </c>
      <c r="GH25" s="263">
        <v>0.74308364509651603</v>
      </c>
      <c r="GI25" s="262">
        <v>0</v>
      </c>
      <c r="GJ25" s="262">
        <v>0</v>
      </c>
      <c r="GK25" s="263">
        <v>0</v>
      </c>
      <c r="GL25" s="262">
        <v>0</v>
      </c>
      <c r="GM25" s="262">
        <v>0</v>
      </c>
      <c r="GN25" s="263">
        <v>0</v>
      </c>
      <c r="GO25" s="262">
        <v>0</v>
      </c>
      <c r="GP25" s="262">
        <v>0</v>
      </c>
      <c r="GQ25" s="263">
        <v>0</v>
      </c>
      <c r="GR25" s="262">
        <v>0</v>
      </c>
      <c r="GS25" s="262">
        <v>0</v>
      </c>
      <c r="GT25" s="263">
        <v>0</v>
      </c>
      <c r="GU25" s="262">
        <v>0</v>
      </c>
      <c r="GV25" s="262">
        <v>0</v>
      </c>
      <c r="GW25" s="263">
        <v>0</v>
      </c>
      <c r="GX25" s="262">
        <v>0</v>
      </c>
      <c r="GY25" s="262">
        <v>0</v>
      </c>
      <c r="GZ25" s="263">
        <v>0</v>
      </c>
      <c r="HA25" s="262">
        <v>9.2089999999999996</v>
      </c>
      <c r="HB25" s="262">
        <v>0</v>
      </c>
      <c r="HC25" s="263">
        <v>0</v>
      </c>
      <c r="HD25" s="262">
        <v>14.53</v>
      </c>
      <c r="HE25" s="262">
        <v>2.9220000000000002</v>
      </c>
      <c r="HF25" s="263">
        <v>3.9726214921286802</v>
      </c>
      <c r="HG25" s="262">
        <v>154.90700000000001</v>
      </c>
      <c r="HH25" s="262">
        <v>3.3090000000000002</v>
      </c>
      <c r="HI25" s="263">
        <v>45.813841039589001</v>
      </c>
      <c r="HJ25" s="262">
        <v>0</v>
      </c>
      <c r="HK25" s="262">
        <v>0</v>
      </c>
      <c r="HL25" s="263">
        <v>0</v>
      </c>
      <c r="HM25" s="262">
        <v>0</v>
      </c>
      <c r="HN25" s="262">
        <v>0</v>
      </c>
      <c r="HO25" s="263">
        <v>0</v>
      </c>
      <c r="HP25" s="262">
        <v>0</v>
      </c>
      <c r="HQ25" s="262">
        <v>0</v>
      </c>
      <c r="HR25" s="264">
        <v>0</v>
      </c>
      <c r="HS25" s="262">
        <v>407.91800000000001</v>
      </c>
      <c r="HT25" s="262">
        <v>577.36400000000003</v>
      </c>
      <c r="HU25" s="263">
        <v>-0.29348210141262698</v>
      </c>
      <c r="HV25" s="262">
        <v>1686.69</v>
      </c>
      <c r="HW25" s="262">
        <v>1853.4639999999999</v>
      </c>
      <c r="HX25" s="263">
        <v>-8.9979627335626602E-2</v>
      </c>
      <c r="HY25" s="262">
        <v>8932.3179999999993</v>
      </c>
      <c r="HZ25" s="262">
        <v>5670.8450000000003</v>
      </c>
      <c r="IA25" s="263">
        <v>0.57512998503750301</v>
      </c>
      <c r="IB25" s="262">
        <v>0</v>
      </c>
      <c r="IC25" s="262">
        <v>0</v>
      </c>
      <c r="ID25" s="263">
        <v>0</v>
      </c>
      <c r="IE25" s="262">
        <v>0</v>
      </c>
      <c r="IF25" s="262">
        <v>0</v>
      </c>
      <c r="IG25" s="263">
        <v>0</v>
      </c>
      <c r="IH25" s="262">
        <v>0</v>
      </c>
      <c r="II25" s="262">
        <v>0</v>
      </c>
      <c r="IJ25" s="263">
        <v>0</v>
      </c>
      <c r="IK25" s="262">
        <v>0</v>
      </c>
      <c r="IL25" s="262">
        <v>0</v>
      </c>
      <c r="IM25" s="263">
        <v>0</v>
      </c>
      <c r="IN25" s="262">
        <v>0</v>
      </c>
      <c r="IO25" s="262">
        <v>0</v>
      </c>
      <c r="IP25" s="263">
        <v>0</v>
      </c>
      <c r="IQ25" s="262">
        <v>0</v>
      </c>
      <c r="IR25" s="262">
        <v>0</v>
      </c>
      <c r="IS25" s="263">
        <v>0</v>
      </c>
      <c r="IT25" s="262">
        <v>1.5620000000000001</v>
      </c>
      <c r="IU25" s="262">
        <v>2.3220000000000001</v>
      </c>
      <c r="IV25" s="263">
        <v>-0.327304048234281</v>
      </c>
      <c r="IW25" s="262">
        <v>16.091999999999999</v>
      </c>
      <c r="IX25" s="262">
        <v>5.2439999999999998</v>
      </c>
      <c r="IY25" s="263">
        <v>2.06864988558352</v>
      </c>
      <c r="IZ25" s="262">
        <v>154.14699999999999</v>
      </c>
      <c r="JA25" s="262">
        <v>5.6310000000000002</v>
      </c>
      <c r="JB25" s="263">
        <v>26.3747114189309</v>
      </c>
      <c r="JC25" s="262">
        <v>0</v>
      </c>
      <c r="JD25" s="262">
        <v>0</v>
      </c>
      <c r="JE25" s="263">
        <v>0</v>
      </c>
      <c r="JF25" s="262">
        <v>0</v>
      </c>
      <c r="JG25" s="262">
        <v>0</v>
      </c>
      <c r="JH25" s="263">
        <v>0</v>
      </c>
      <c r="JI25" s="262">
        <v>0</v>
      </c>
      <c r="JJ25" s="262">
        <v>0</v>
      </c>
      <c r="JK25" s="264">
        <v>0</v>
      </c>
      <c r="JL25" s="262">
        <v>449.59</v>
      </c>
      <c r="JM25" s="262">
        <v>556.30700000000002</v>
      </c>
      <c r="JN25" s="263">
        <v>-0.191831129214624</v>
      </c>
      <c r="JO25" s="262">
        <v>2136.2800000000002</v>
      </c>
      <c r="JP25" s="262">
        <v>2409.7710000000002</v>
      </c>
      <c r="JQ25" s="263">
        <v>-0.11349252688326</v>
      </c>
      <c r="JR25" s="262">
        <v>8825.6010000000006</v>
      </c>
      <c r="JS25" s="262">
        <v>6166.3429999999998</v>
      </c>
      <c r="JT25" s="263">
        <v>0.43125366201653098</v>
      </c>
      <c r="JU25" s="262">
        <v>0</v>
      </c>
      <c r="JV25" s="262">
        <v>0</v>
      </c>
      <c r="JW25" s="263">
        <v>0</v>
      </c>
      <c r="JX25" s="262">
        <v>0</v>
      </c>
      <c r="JY25" s="262">
        <v>0</v>
      </c>
      <c r="JZ25" s="263">
        <v>0</v>
      </c>
      <c r="KA25" s="262">
        <v>0</v>
      </c>
      <c r="KB25" s="262">
        <v>0</v>
      </c>
      <c r="KC25" s="263">
        <v>0</v>
      </c>
      <c r="KD25" s="262">
        <v>0</v>
      </c>
      <c r="KE25" s="262">
        <v>0</v>
      </c>
      <c r="KF25" s="263">
        <v>0</v>
      </c>
      <c r="KG25" s="262">
        <v>0</v>
      </c>
      <c r="KH25" s="262">
        <v>0</v>
      </c>
      <c r="KI25" s="263">
        <v>0</v>
      </c>
      <c r="KJ25" s="262">
        <v>0</v>
      </c>
      <c r="KK25" s="262">
        <v>0</v>
      </c>
      <c r="KL25" s="263">
        <v>0</v>
      </c>
      <c r="KM25" s="262">
        <v>0.98099999999999998</v>
      </c>
      <c r="KN25" s="262">
        <v>0</v>
      </c>
      <c r="KO25" s="263">
        <v>0</v>
      </c>
      <c r="KP25" s="262">
        <v>17.073</v>
      </c>
      <c r="KQ25" s="262">
        <v>5.2439999999999998</v>
      </c>
      <c r="KR25" s="263">
        <v>2.2557208237986299</v>
      </c>
      <c r="KS25" s="262">
        <v>155.12799999999999</v>
      </c>
      <c r="KT25" s="262">
        <v>5.6310000000000002</v>
      </c>
      <c r="KU25" s="263">
        <v>26.5489255904813</v>
      </c>
      <c r="KV25" s="262">
        <v>0</v>
      </c>
      <c r="KW25" s="262">
        <v>0</v>
      </c>
      <c r="KX25" s="263">
        <v>0</v>
      </c>
      <c r="KY25" s="262">
        <v>0</v>
      </c>
      <c r="KZ25" s="262">
        <v>0</v>
      </c>
      <c r="LA25" s="263">
        <v>0</v>
      </c>
      <c r="LB25" s="262">
        <v>0</v>
      </c>
      <c r="LC25" s="262">
        <v>0</v>
      </c>
      <c r="LD25" s="264">
        <v>0</v>
      </c>
      <c r="LE25" s="262">
        <v>804.45</v>
      </c>
      <c r="LF25" s="262">
        <v>659.73299999999995</v>
      </c>
      <c r="LG25" s="263">
        <v>0.219356921663764</v>
      </c>
      <c r="LH25" s="262">
        <v>2940.73</v>
      </c>
      <c r="LI25" s="262">
        <v>3069.5039999999999</v>
      </c>
      <c r="LJ25" s="263">
        <v>-4.1952706365588698E-2</v>
      </c>
      <c r="LK25" s="262">
        <v>8970.3179999999993</v>
      </c>
      <c r="LL25" s="262">
        <v>6440.0990000000002</v>
      </c>
      <c r="LM25" s="263">
        <v>0.39288510937487098</v>
      </c>
      <c r="LN25" s="262">
        <v>0</v>
      </c>
      <c r="LO25" s="262">
        <v>0</v>
      </c>
      <c r="LP25" s="263">
        <v>0</v>
      </c>
      <c r="LQ25" s="262">
        <v>0</v>
      </c>
      <c r="LR25" s="262">
        <v>0</v>
      </c>
      <c r="LS25" s="263">
        <v>0</v>
      </c>
      <c r="LT25" s="262">
        <v>0</v>
      </c>
      <c r="LU25" s="262">
        <v>0</v>
      </c>
      <c r="LV25" s="263">
        <v>0</v>
      </c>
      <c r="LW25" s="262">
        <v>0</v>
      </c>
      <c r="LX25" s="262">
        <v>0</v>
      </c>
      <c r="LY25" s="263">
        <v>0</v>
      </c>
      <c r="LZ25" s="262">
        <v>0</v>
      </c>
      <c r="MA25" s="262">
        <v>0</v>
      </c>
      <c r="MB25" s="263">
        <v>0</v>
      </c>
      <c r="MC25" s="262">
        <v>0</v>
      </c>
      <c r="MD25" s="262">
        <v>0</v>
      </c>
      <c r="ME25" s="263">
        <v>0</v>
      </c>
      <c r="MF25" s="262">
        <v>8.0190000000000001</v>
      </c>
      <c r="MG25" s="262">
        <v>8.5809999999999995</v>
      </c>
      <c r="MH25" s="263">
        <v>-6.5493532222351603E-2</v>
      </c>
      <c r="MI25" s="262">
        <v>25.091999999999999</v>
      </c>
      <c r="MJ25" s="262">
        <v>13.824999999999999</v>
      </c>
      <c r="MK25" s="263">
        <v>0.81497287522604001</v>
      </c>
      <c r="ML25" s="262">
        <v>154.566</v>
      </c>
      <c r="MM25" s="262">
        <v>14.212</v>
      </c>
      <c r="MN25" s="263">
        <v>9.8757388122713206</v>
      </c>
      <c r="MO25" s="262">
        <v>0</v>
      </c>
      <c r="MP25" s="262">
        <v>0</v>
      </c>
      <c r="MQ25" s="263">
        <v>0</v>
      </c>
      <c r="MR25" s="262">
        <v>0</v>
      </c>
      <c r="MS25" s="262">
        <v>0</v>
      </c>
      <c r="MT25" s="263">
        <v>0</v>
      </c>
      <c r="MU25" s="262">
        <v>0</v>
      </c>
      <c r="MV25" s="262">
        <v>0</v>
      </c>
      <c r="MW25" s="264">
        <v>0</v>
      </c>
      <c r="MX25" s="262">
        <v>723.61800000000005</v>
      </c>
      <c r="MY25" s="262">
        <v>596.71600000000001</v>
      </c>
      <c r="MZ25" s="263">
        <v>0.21266733253340001</v>
      </c>
      <c r="NA25" s="262">
        <v>3664.348</v>
      </c>
      <c r="NB25" s="262">
        <v>3666.22</v>
      </c>
      <c r="NC25" s="263">
        <v>-5.10607655841669E-4</v>
      </c>
      <c r="ND25" s="262">
        <v>9097.2199999999993</v>
      </c>
      <c r="NE25" s="262">
        <v>6371.4620000000004</v>
      </c>
      <c r="NF25" s="263">
        <v>0.427807307019959</v>
      </c>
      <c r="NG25" s="262">
        <v>0</v>
      </c>
      <c r="NH25" s="262">
        <v>0</v>
      </c>
      <c r="NI25" s="263">
        <v>0</v>
      </c>
      <c r="NJ25" s="262">
        <v>0</v>
      </c>
      <c r="NK25" s="262">
        <v>0</v>
      </c>
      <c r="NL25" s="263">
        <v>0</v>
      </c>
      <c r="NM25" s="262">
        <v>0</v>
      </c>
      <c r="NN25" s="262">
        <v>0</v>
      </c>
      <c r="NO25" s="263">
        <v>0</v>
      </c>
      <c r="NP25" s="262">
        <v>0</v>
      </c>
      <c r="NQ25" s="262">
        <v>0</v>
      </c>
      <c r="NR25" s="263">
        <v>0</v>
      </c>
      <c r="NS25" s="262">
        <v>0</v>
      </c>
      <c r="NT25" s="262">
        <v>0</v>
      </c>
      <c r="NU25" s="263">
        <v>0</v>
      </c>
      <c r="NV25" s="262">
        <v>0</v>
      </c>
      <c r="NW25" s="262">
        <v>0</v>
      </c>
      <c r="NX25" s="263">
        <v>0</v>
      </c>
      <c r="NY25" s="262">
        <v>33.307000000000002</v>
      </c>
      <c r="NZ25" s="262">
        <v>18.225999999999999</v>
      </c>
      <c r="OA25" s="263">
        <v>0.82744431032590804</v>
      </c>
      <c r="OB25" s="262">
        <v>58.399000000000001</v>
      </c>
      <c r="OC25" s="262">
        <v>32.051000000000002</v>
      </c>
      <c r="OD25" s="263">
        <v>0.82206483417054099</v>
      </c>
      <c r="OE25" s="262">
        <v>169.64699999999999</v>
      </c>
      <c r="OF25" s="262">
        <v>32.438000000000002</v>
      </c>
      <c r="OG25" s="263">
        <v>4.2298847031259603</v>
      </c>
      <c r="OH25" s="262">
        <v>0</v>
      </c>
      <c r="OI25" s="262">
        <v>0</v>
      </c>
      <c r="OJ25" s="263">
        <v>0</v>
      </c>
      <c r="OK25" s="262">
        <v>0</v>
      </c>
      <c r="OL25" s="262">
        <v>0</v>
      </c>
      <c r="OM25" s="263">
        <v>0</v>
      </c>
      <c r="ON25" s="262">
        <v>0</v>
      </c>
      <c r="OO25" s="262">
        <v>0</v>
      </c>
      <c r="OP25" s="264">
        <v>0</v>
      </c>
      <c r="OQ25" s="262">
        <v>816.77200000000005</v>
      </c>
      <c r="OR25" s="262">
        <v>746.32600000000002</v>
      </c>
      <c r="OS25" s="263">
        <v>9.4390387042659701E-2</v>
      </c>
      <c r="OT25" s="262">
        <v>4481.12</v>
      </c>
      <c r="OU25" s="262">
        <v>4412.5460000000003</v>
      </c>
      <c r="OV25" s="263">
        <v>1.5540687847786699E-2</v>
      </c>
      <c r="OW25" s="262">
        <v>9167.6659999999993</v>
      </c>
      <c r="OX25" s="262">
        <v>6623.0429999999997</v>
      </c>
      <c r="OY25" s="263">
        <v>0.38420753119072298</v>
      </c>
      <c r="OZ25" s="262">
        <v>0</v>
      </c>
      <c r="PA25" s="262">
        <v>0</v>
      </c>
      <c r="PB25" s="263">
        <v>0</v>
      </c>
      <c r="PC25" s="262">
        <v>0</v>
      </c>
      <c r="PD25" s="262">
        <v>0</v>
      </c>
      <c r="PE25" s="263">
        <v>0</v>
      </c>
      <c r="PF25" s="262">
        <v>0</v>
      </c>
      <c r="PG25" s="262">
        <v>0</v>
      </c>
      <c r="PH25" s="263">
        <v>0</v>
      </c>
      <c r="PI25" s="262">
        <v>0</v>
      </c>
      <c r="PJ25" s="262">
        <v>0</v>
      </c>
      <c r="PK25" s="263">
        <v>0</v>
      </c>
      <c r="PL25" s="262">
        <v>0</v>
      </c>
      <c r="PM25" s="262">
        <v>0</v>
      </c>
      <c r="PN25" s="263">
        <v>0</v>
      </c>
      <c r="PO25" s="262">
        <v>0</v>
      </c>
      <c r="PP25" s="262">
        <v>0</v>
      </c>
      <c r="PQ25" s="263">
        <v>0</v>
      </c>
      <c r="PR25" s="262">
        <v>25.803999999999998</v>
      </c>
      <c r="PS25" s="262">
        <v>0</v>
      </c>
      <c r="PT25" s="263">
        <v>0</v>
      </c>
      <c r="PU25" s="262">
        <v>84.203000000000003</v>
      </c>
      <c r="PV25" s="262">
        <v>32.051000000000002</v>
      </c>
      <c r="PW25" s="263">
        <v>1.6271567189791301</v>
      </c>
      <c r="PX25" s="262">
        <v>195.45099999999999</v>
      </c>
      <c r="PY25" s="262">
        <v>32.438000000000002</v>
      </c>
      <c r="PZ25" s="263">
        <v>5.0253714778962904</v>
      </c>
      <c r="QA25" s="262">
        <v>0</v>
      </c>
      <c r="QB25" s="262">
        <v>0</v>
      </c>
      <c r="QC25" s="263">
        <v>0</v>
      </c>
      <c r="QD25" s="262">
        <v>0</v>
      </c>
      <c r="QE25" s="262">
        <v>0</v>
      </c>
      <c r="QF25" s="263">
        <v>0</v>
      </c>
      <c r="QG25" s="262">
        <v>0</v>
      </c>
      <c r="QH25" s="262">
        <v>0</v>
      </c>
      <c r="QI25" s="264">
        <v>0</v>
      </c>
      <c r="QJ25" s="262">
        <v>277.3</v>
      </c>
      <c r="QK25" s="262">
        <v>983.75599999999997</v>
      </c>
      <c r="QL25" s="263">
        <v>-0.71812116012507199</v>
      </c>
      <c r="QM25" s="262">
        <v>4758.42</v>
      </c>
      <c r="QN25" s="262">
        <v>5396.3019999999997</v>
      </c>
      <c r="QO25" s="263">
        <v>-0.118207246369829</v>
      </c>
      <c r="QP25" s="262">
        <v>8461.2099999999991</v>
      </c>
      <c r="QQ25" s="262">
        <v>7269.7240000000002</v>
      </c>
      <c r="QR25" s="263">
        <v>0.16389700626873899</v>
      </c>
      <c r="QS25" s="262">
        <v>0</v>
      </c>
      <c r="QT25" s="262">
        <v>0</v>
      </c>
      <c r="QU25" s="263">
        <v>0</v>
      </c>
      <c r="QV25" s="262">
        <v>0</v>
      </c>
      <c r="QW25" s="262">
        <v>0</v>
      </c>
      <c r="QX25" s="263">
        <v>0</v>
      </c>
      <c r="QY25" s="262">
        <v>0</v>
      </c>
      <c r="QZ25" s="262">
        <v>0</v>
      </c>
      <c r="RA25" s="263">
        <v>0</v>
      </c>
      <c r="RB25" s="262">
        <v>0</v>
      </c>
      <c r="RC25" s="262">
        <v>0</v>
      </c>
      <c r="RD25" s="263">
        <v>0</v>
      </c>
      <c r="RE25" s="262">
        <v>0</v>
      </c>
      <c r="RF25" s="262">
        <v>0</v>
      </c>
      <c r="RG25" s="263">
        <v>0</v>
      </c>
      <c r="RH25" s="262">
        <v>0</v>
      </c>
      <c r="RI25" s="262">
        <v>0</v>
      </c>
      <c r="RJ25" s="263">
        <v>0</v>
      </c>
      <c r="RK25" s="262">
        <v>0</v>
      </c>
      <c r="RL25" s="262">
        <v>0</v>
      </c>
      <c r="RM25" s="263">
        <v>0</v>
      </c>
      <c r="RN25" s="262">
        <v>84.203000000000003</v>
      </c>
      <c r="RO25" s="262">
        <v>32.051000000000002</v>
      </c>
      <c r="RP25" s="263">
        <v>1.6271567189791301</v>
      </c>
      <c r="RQ25" s="262">
        <v>195.45099999999999</v>
      </c>
      <c r="RR25" s="262">
        <v>32.438000000000002</v>
      </c>
      <c r="RS25" s="263">
        <v>5.0253714778962904</v>
      </c>
      <c r="RT25" s="262">
        <v>0</v>
      </c>
      <c r="RU25" s="262">
        <v>0</v>
      </c>
      <c r="RV25" s="263">
        <v>0</v>
      </c>
      <c r="RW25" s="262">
        <v>0</v>
      </c>
      <c r="RX25" s="262">
        <v>0</v>
      </c>
      <c r="RY25" s="263">
        <v>0</v>
      </c>
      <c r="RZ25" s="262">
        <v>0</v>
      </c>
      <c r="SA25" s="262">
        <v>0</v>
      </c>
      <c r="SB25" s="264">
        <v>0</v>
      </c>
      <c r="SC25" s="262">
        <v>156.21600000000001</v>
      </c>
      <c r="SD25" s="262">
        <v>672.63900000000001</v>
      </c>
      <c r="SE25" s="263">
        <v>-0.76775655292066003</v>
      </c>
      <c r="SF25" s="262">
        <v>4914.6360000000004</v>
      </c>
      <c r="SG25" s="262">
        <v>6068.9409999999998</v>
      </c>
      <c r="SH25" s="263">
        <v>-0.19019875131427399</v>
      </c>
      <c r="SI25" s="262">
        <v>7944.7870000000003</v>
      </c>
      <c r="SJ25" s="262">
        <v>7644.5290000000005</v>
      </c>
      <c r="SK25" s="263">
        <v>3.9277501596239599E-2</v>
      </c>
      <c r="SL25" s="262">
        <v>0</v>
      </c>
      <c r="SM25" s="262">
        <v>0</v>
      </c>
      <c r="SN25" s="263">
        <v>0</v>
      </c>
      <c r="SO25" s="262">
        <v>0</v>
      </c>
      <c r="SP25" s="262">
        <v>0</v>
      </c>
      <c r="SQ25" s="263">
        <v>0</v>
      </c>
      <c r="SR25" s="262">
        <v>0</v>
      </c>
      <c r="SS25" s="262">
        <v>0</v>
      </c>
      <c r="ST25" s="263">
        <v>0</v>
      </c>
      <c r="SU25" s="262">
        <v>0</v>
      </c>
      <c r="SV25" s="262">
        <v>0</v>
      </c>
      <c r="SW25" s="263">
        <v>0</v>
      </c>
      <c r="SX25" s="262">
        <v>0</v>
      </c>
      <c r="SY25" s="262">
        <v>0</v>
      </c>
      <c r="SZ25" s="263">
        <v>0</v>
      </c>
      <c r="TA25" s="262">
        <v>0</v>
      </c>
      <c r="TB25" s="262">
        <v>0</v>
      </c>
      <c r="TC25" s="263">
        <v>0</v>
      </c>
      <c r="TD25" s="262">
        <v>0</v>
      </c>
      <c r="TE25" s="262">
        <v>0.47499999999999998</v>
      </c>
      <c r="TF25" s="263">
        <v>-1</v>
      </c>
      <c r="TG25" s="262">
        <v>84.203000000000003</v>
      </c>
      <c r="TH25" s="262">
        <v>32.526000000000003</v>
      </c>
      <c r="TI25" s="263">
        <v>1.58879050605669</v>
      </c>
      <c r="TJ25" s="262">
        <v>194.976</v>
      </c>
      <c r="TK25" s="262">
        <v>32.912999999999997</v>
      </c>
      <c r="TL25" s="263">
        <v>4.9239814055236497</v>
      </c>
      <c r="TM25" s="262">
        <v>0</v>
      </c>
      <c r="TN25" s="262">
        <v>0</v>
      </c>
      <c r="TO25" s="263">
        <v>0</v>
      </c>
      <c r="TP25" s="262">
        <v>0</v>
      </c>
      <c r="TQ25" s="262">
        <v>0</v>
      </c>
      <c r="TR25" s="263">
        <v>0</v>
      </c>
      <c r="TS25" s="262">
        <v>0</v>
      </c>
      <c r="TT25" s="262">
        <v>0</v>
      </c>
      <c r="TU25" s="264">
        <v>0</v>
      </c>
      <c r="TV25" s="262">
        <v>141.60599999999999</v>
      </c>
      <c r="TW25" s="262">
        <v>1070.81</v>
      </c>
      <c r="TX25" s="263">
        <v>-0.86775805231553704</v>
      </c>
      <c r="TY25" s="262">
        <v>5056.2420000000002</v>
      </c>
      <c r="TZ25" s="262">
        <v>7139.7510000000002</v>
      </c>
      <c r="UA25" s="263">
        <v>-0.29181816004507699</v>
      </c>
      <c r="UB25" s="262">
        <v>7015.5829999999996</v>
      </c>
      <c r="UC25" s="262">
        <v>8192.4609999999993</v>
      </c>
      <c r="UD25" s="263">
        <v>-0.14365378120201</v>
      </c>
      <c r="UE25" s="262">
        <v>0</v>
      </c>
      <c r="UF25" s="262">
        <v>0</v>
      </c>
      <c r="UG25" s="263">
        <v>0</v>
      </c>
      <c r="UH25" s="262">
        <v>0</v>
      </c>
      <c r="UI25" s="262">
        <v>0</v>
      </c>
      <c r="UJ25" s="263">
        <v>0</v>
      </c>
      <c r="UK25" s="262">
        <v>0</v>
      </c>
      <c r="UL25" s="262">
        <v>0</v>
      </c>
      <c r="UM25" s="263">
        <v>0</v>
      </c>
      <c r="UN25" s="262">
        <v>0</v>
      </c>
      <c r="UO25" s="262">
        <v>0</v>
      </c>
      <c r="UP25" s="263">
        <v>0</v>
      </c>
      <c r="UQ25" s="262">
        <v>0</v>
      </c>
      <c r="UR25" s="262">
        <v>0</v>
      </c>
      <c r="US25" s="263">
        <v>0</v>
      </c>
      <c r="UT25" s="262">
        <v>0</v>
      </c>
      <c r="UU25" s="262">
        <v>0</v>
      </c>
      <c r="UV25" s="263">
        <v>0</v>
      </c>
      <c r="UW25" s="262">
        <v>1.1020000000000001</v>
      </c>
      <c r="UX25" s="262">
        <v>56.972999999999999</v>
      </c>
      <c r="UY25" s="263">
        <v>-0.98065750443192401</v>
      </c>
      <c r="UZ25" s="262">
        <v>85.305000000000007</v>
      </c>
      <c r="VA25" s="262">
        <v>89.498999999999995</v>
      </c>
      <c r="VB25" s="263">
        <v>-4.6860858780544898E-2</v>
      </c>
      <c r="VC25" s="262">
        <v>139.10499999999999</v>
      </c>
      <c r="VD25" s="262">
        <v>89.885999999999996</v>
      </c>
      <c r="VE25" s="263">
        <v>0.54757136817746899</v>
      </c>
      <c r="VF25" s="262">
        <v>0</v>
      </c>
      <c r="VG25" s="262">
        <v>0</v>
      </c>
      <c r="VH25" s="263">
        <v>0</v>
      </c>
      <c r="VI25" s="262">
        <v>0</v>
      </c>
      <c r="VJ25" s="262">
        <v>0</v>
      </c>
      <c r="VK25" s="263">
        <v>0</v>
      </c>
      <c r="VL25" s="262">
        <v>0</v>
      </c>
      <c r="VM25" s="262">
        <v>0</v>
      </c>
      <c r="VN25" s="264">
        <v>0</v>
      </c>
    </row>
    <row r="26" spans="1:586">
      <c r="A26" s="268" t="s">
        <v>202</v>
      </c>
      <c r="B26" s="262">
        <v>-1287.288</v>
      </c>
      <c r="C26" s="262">
        <v>-649.55399999999997</v>
      </c>
      <c r="D26" s="263">
        <v>0.98180289860427306</v>
      </c>
      <c r="E26" s="262">
        <v>-8836.3770000000004</v>
      </c>
      <c r="F26" s="262">
        <v>-3848.9</v>
      </c>
      <c r="G26" s="263">
        <v>1.29581880537296</v>
      </c>
      <c r="H26" s="262">
        <v>-10163.538</v>
      </c>
      <c r="I26" s="262">
        <v>-3848.9</v>
      </c>
      <c r="J26" s="263">
        <v>1.6406344669905699</v>
      </c>
      <c r="K26" s="262">
        <v>0</v>
      </c>
      <c r="L26" s="262">
        <v>0</v>
      </c>
      <c r="M26" s="263">
        <v>0</v>
      </c>
      <c r="N26" s="262">
        <v>0</v>
      </c>
      <c r="O26" s="262">
        <v>0</v>
      </c>
      <c r="P26" s="263">
        <v>0</v>
      </c>
      <c r="Q26" s="262">
        <v>0</v>
      </c>
      <c r="R26" s="262">
        <v>0</v>
      </c>
      <c r="S26" s="263">
        <v>0</v>
      </c>
      <c r="T26" s="262">
        <v>0</v>
      </c>
      <c r="U26" s="262">
        <v>0</v>
      </c>
      <c r="V26" s="263">
        <v>0</v>
      </c>
      <c r="W26" s="262">
        <v>0</v>
      </c>
      <c r="X26" s="262">
        <v>0</v>
      </c>
      <c r="Y26" s="263">
        <v>0</v>
      </c>
      <c r="Z26" s="262">
        <v>0</v>
      </c>
      <c r="AA26" s="262">
        <v>0</v>
      </c>
      <c r="AB26" s="263">
        <v>0</v>
      </c>
      <c r="AC26" s="262">
        <v>-127.907</v>
      </c>
      <c r="AD26" s="262">
        <v>0</v>
      </c>
      <c r="AE26" s="263">
        <v>0</v>
      </c>
      <c r="AF26" s="262">
        <v>-309.24599999999998</v>
      </c>
      <c r="AG26" s="262">
        <v>0</v>
      </c>
      <c r="AH26" s="263">
        <v>0</v>
      </c>
      <c r="AI26" s="262">
        <v>-338.08800000000002</v>
      </c>
      <c r="AJ26" s="262">
        <v>0</v>
      </c>
      <c r="AK26" s="263">
        <v>0</v>
      </c>
      <c r="AL26" s="262">
        <v>0</v>
      </c>
      <c r="AM26" s="262">
        <v>0</v>
      </c>
      <c r="AN26" s="263">
        <v>0</v>
      </c>
      <c r="AO26" s="262">
        <v>0</v>
      </c>
      <c r="AP26" s="262">
        <v>0</v>
      </c>
      <c r="AQ26" s="263">
        <v>0</v>
      </c>
      <c r="AR26" s="262">
        <v>0</v>
      </c>
      <c r="AS26" s="262">
        <v>0</v>
      </c>
      <c r="AT26" s="264">
        <v>0</v>
      </c>
      <c r="AU26" s="262">
        <v>-1612.88</v>
      </c>
      <c r="AV26" s="262">
        <v>-526.09</v>
      </c>
      <c r="AW26" s="263">
        <v>2.0657872227185501</v>
      </c>
      <c r="AX26" s="262">
        <v>-10449.257</v>
      </c>
      <c r="AY26" s="262">
        <v>-4374.99</v>
      </c>
      <c r="AZ26" s="263">
        <v>1.3884070592161399</v>
      </c>
      <c r="BA26" s="262">
        <v>-11250.328</v>
      </c>
      <c r="BB26" s="262">
        <v>-4374.99</v>
      </c>
      <c r="BC26" s="263">
        <v>1.5715094205929601</v>
      </c>
      <c r="BD26" s="262">
        <v>0</v>
      </c>
      <c r="BE26" s="262">
        <v>0</v>
      </c>
      <c r="BF26" s="263">
        <v>0</v>
      </c>
      <c r="BG26" s="262">
        <v>0</v>
      </c>
      <c r="BH26" s="262">
        <v>0</v>
      </c>
      <c r="BI26" s="263">
        <v>0</v>
      </c>
      <c r="BJ26" s="262">
        <v>0</v>
      </c>
      <c r="BK26" s="262">
        <v>0</v>
      </c>
      <c r="BL26" s="263">
        <v>0</v>
      </c>
      <c r="BM26" s="262">
        <v>0</v>
      </c>
      <c r="BN26" s="262">
        <v>0</v>
      </c>
      <c r="BO26" s="263">
        <v>0</v>
      </c>
      <c r="BP26" s="262">
        <v>0</v>
      </c>
      <c r="BQ26" s="262">
        <v>0</v>
      </c>
      <c r="BR26" s="263">
        <v>0</v>
      </c>
      <c r="BS26" s="262">
        <v>0</v>
      </c>
      <c r="BT26" s="262">
        <v>0</v>
      </c>
      <c r="BU26" s="263">
        <v>0</v>
      </c>
      <c r="BV26" s="262">
        <v>-87.81</v>
      </c>
      <c r="BW26" s="262">
        <v>0</v>
      </c>
      <c r="BX26" s="263">
        <v>0</v>
      </c>
      <c r="BY26" s="262">
        <v>-397.05599999999998</v>
      </c>
      <c r="BZ26" s="262">
        <v>0</v>
      </c>
      <c r="CA26" s="263">
        <v>0</v>
      </c>
      <c r="CB26" s="262">
        <v>-425.89800000000002</v>
      </c>
      <c r="CC26" s="262">
        <v>0</v>
      </c>
      <c r="CD26" s="263">
        <v>0</v>
      </c>
      <c r="CE26" s="262">
        <v>0</v>
      </c>
      <c r="CF26" s="262">
        <v>0</v>
      </c>
      <c r="CG26" s="263">
        <v>0</v>
      </c>
      <c r="CH26" s="262">
        <v>0</v>
      </c>
      <c r="CI26" s="262">
        <v>0</v>
      </c>
      <c r="CJ26" s="263">
        <v>0</v>
      </c>
      <c r="CK26" s="262">
        <v>0</v>
      </c>
      <c r="CL26" s="262">
        <v>0</v>
      </c>
      <c r="CM26" s="264">
        <v>0</v>
      </c>
      <c r="CN26" s="262">
        <v>-739.18799999999999</v>
      </c>
      <c r="CO26" s="262">
        <v>-801.07100000000003</v>
      </c>
      <c r="CP26" s="263">
        <v>-7.7250331119214199E-2</v>
      </c>
      <c r="CQ26" s="262">
        <v>-11188.445</v>
      </c>
      <c r="CR26" s="262">
        <v>-5176.0609999999997</v>
      </c>
      <c r="CS26" s="263">
        <v>1.16157518236358</v>
      </c>
      <c r="CT26" s="262">
        <v>-11188.445</v>
      </c>
      <c r="CU26" s="262">
        <v>-5176.0609999999997</v>
      </c>
      <c r="CV26" s="263">
        <v>1.16157518236358</v>
      </c>
      <c r="CW26" s="262">
        <v>0</v>
      </c>
      <c r="CX26" s="262">
        <v>0</v>
      </c>
      <c r="CY26" s="263">
        <v>0</v>
      </c>
      <c r="CZ26" s="262">
        <v>0</v>
      </c>
      <c r="DA26" s="262">
        <v>0</v>
      </c>
      <c r="DB26" s="263">
        <v>0</v>
      </c>
      <c r="DC26" s="262">
        <v>0</v>
      </c>
      <c r="DD26" s="262">
        <v>0</v>
      </c>
      <c r="DE26" s="263">
        <v>0</v>
      </c>
      <c r="DF26" s="262">
        <v>0</v>
      </c>
      <c r="DG26" s="262">
        <v>0</v>
      </c>
      <c r="DH26" s="263">
        <v>0</v>
      </c>
      <c r="DI26" s="262">
        <v>0</v>
      </c>
      <c r="DJ26" s="262">
        <v>0</v>
      </c>
      <c r="DK26" s="263">
        <v>0</v>
      </c>
      <c r="DL26" s="262">
        <v>0</v>
      </c>
      <c r="DM26" s="262">
        <v>0</v>
      </c>
      <c r="DN26" s="263">
        <v>0</v>
      </c>
      <c r="DO26" s="262">
        <v>-24.122</v>
      </c>
      <c r="DP26" s="262">
        <v>-28.841999999999999</v>
      </c>
      <c r="DQ26" s="263">
        <v>-0.16365023230011799</v>
      </c>
      <c r="DR26" s="262">
        <v>-421.178</v>
      </c>
      <c r="DS26" s="262">
        <v>-28.841999999999999</v>
      </c>
      <c r="DT26" s="263">
        <v>13.602940156715899</v>
      </c>
      <c r="DU26" s="262">
        <v>-421.178</v>
      </c>
      <c r="DV26" s="262">
        <v>-28.841999999999999</v>
      </c>
      <c r="DW26" s="263">
        <v>13.602940156715899</v>
      </c>
      <c r="DX26" s="262">
        <v>0</v>
      </c>
      <c r="DY26" s="262">
        <v>0</v>
      </c>
      <c r="DZ26" s="263">
        <v>0</v>
      </c>
      <c r="EA26" s="262">
        <v>0</v>
      </c>
      <c r="EB26" s="262">
        <v>0</v>
      </c>
      <c r="EC26" s="263">
        <v>0</v>
      </c>
      <c r="ED26" s="262">
        <v>0</v>
      </c>
      <c r="EE26" s="262">
        <v>0</v>
      </c>
      <c r="EF26" s="264">
        <v>0</v>
      </c>
      <c r="EG26" s="262">
        <v>-935.55100000000004</v>
      </c>
      <c r="EH26" s="262">
        <v>-808.36599999999999</v>
      </c>
      <c r="EI26" s="263">
        <v>0.157335909724061</v>
      </c>
      <c r="EJ26" s="262">
        <v>-935.55100000000004</v>
      </c>
      <c r="EK26" s="262">
        <v>-808.36599999999999</v>
      </c>
      <c r="EL26" s="263">
        <v>0.157335909724061</v>
      </c>
      <c r="EM26" s="262">
        <v>-11315.63</v>
      </c>
      <c r="EN26" s="262">
        <v>-5958.1559999999999</v>
      </c>
      <c r="EO26" s="263">
        <v>0.899183237229774</v>
      </c>
      <c r="EP26" s="262">
        <v>0</v>
      </c>
      <c r="EQ26" s="262">
        <v>0</v>
      </c>
      <c r="ER26" s="263">
        <v>0</v>
      </c>
      <c r="ES26" s="262">
        <v>0</v>
      </c>
      <c r="ET26" s="262">
        <v>0</v>
      </c>
      <c r="EU26" s="263">
        <v>0</v>
      </c>
      <c r="EV26" s="262">
        <v>0</v>
      </c>
      <c r="EW26" s="262">
        <v>0</v>
      </c>
      <c r="EX26" s="263">
        <v>0</v>
      </c>
      <c r="EY26" s="262">
        <v>0</v>
      </c>
      <c r="EZ26" s="262">
        <v>0</v>
      </c>
      <c r="FA26" s="263">
        <v>0</v>
      </c>
      <c r="FB26" s="262">
        <v>0</v>
      </c>
      <c r="FC26" s="262">
        <v>0</v>
      </c>
      <c r="FD26" s="263">
        <v>0</v>
      </c>
      <c r="FE26" s="262">
        <v>0</v>
      </c>
      <c r="FF26" s="262">
        <v>0</v>
      </c>
      <c r="FG26" s="263">
        <v>0</v>
      </c>
      <c r="FH26" s="262">
        <v>-20.024000000000001</v>
      </c>
      <c r="FI26" s="262">
        <v>-22.768000000000001</v>
      </c>
      <c r="FJ26" s="263">
        <v>-0.120520028109628</v>
      </c>
      <c r="FK26" s="262">
        <v>-20.024000000000001</v>
      </c>
      <c r="FL26" s="262">
        <v>-22.768000000000001</v>
      </c>
      <c r="FM26" s="263">
        <v>-0.120520028109628</v>
      </c>
      <c r="FN26" s="262">
        <v>-418.43400000000003</v>
      </c>
      <c r="FO26" s="262">
        <v>-51.61</v>
      </c>
      <c r="FP26" s="263">
        <v>7.10761480333269</v>
      </c>
      <c r="FQ26" s="262">
        <v>0</v>
      </c>
      <c r="FR26" s="262">
        <v>0</v>
      </c>
      <c r="FS26" s="263">
        <v>0</v>
      </c>
      <c r="FT26" s="262">
        <v>0</v>
      </c>
      <c r="FU26" s="262">
        <v>0</v>
      </c>
      <c r="FV26" s="263">
        <v>0</v>
      </c>
      <c r="FW26" s="262">
        <v>0</v>
      </c>
      <c r="FX26" s="262">
        <v>0</v>
      </c>
      <c r="FY26" s="264">
        <v>0</v>
      </c>
      <c r="FZ26" s="262">
        <v>-613.04399999999998</v>
      </c>
      <c r="GA26" s="262">
        <v>-787.72900000000004</v>
      </c>
      <c r="GB26" s="263">
        <v>-0.221757736480439</v>
      </c>
      <c r="GC26" s="262">
        <v>-1548.595</v>
      </c>
      <c r="GD26" s="262">
        <v>-1596.095</v>
      </c>
      <c r="GE26" s="263">
        <v>-2.97601333253973E-2</v>
      </c>
      <c r="GF26" s="262">
        <v>-11140.945</v>
      </c>
      <c r="GG26" s="262">
        <v>-6616.8249999999998</v>
      </c>
      <c r="GH26" s="263">
        <v>0.68372973442701002</v>
      </c>
      <c r="GI26" s="262">
        <v>0</v>
      </c>
      <c r="GJ26" s="262">
        <v>0</v>
      </c>
      <c r="GK26" s="263">
        <v>0</v>
      </c>
      <c r="GL26" s="262">
        <v>0</v>
      </c>
      <c r="GM26" s="262">
        <v>0</v>
      </c>
      <c r="GN26" s="263">
        <v>0</v>
      </c>
      <c r="GO26" s="262">
        <v>0</v>
      </c>
      <c r="GP26" s="262">
        <v>0</v>
      </c>
      <c r="GQ26" s="263">
        <v>0</v>
      </c>
      <c r="GR26" s="262">
        <v>0</v>
      </c>
      <c r="GS26" s="262">
        <v>0</v>
      </c>
      <c r="GT26" s="263">
        <v>0</v>
      </c>
      <c r="GU26" s="262">
        <v>0</v>
      </c>
      <c r="GV26" s="262">
        <v>0</v>
      </c>
      <c r="GW26" s="263">
        <v>0</v>
      </c>
      <c r="GX26" s="262">
        <v>0</v>
      </c>
      <c r="GY26" s="262">
        <v>0</v>
      </c>
      <c r="GZ26" s="263">
        <v>0</v>
      </c>
      <c r="HA26" s="262">
        <v>-19.649999999999999</v>
      </c>
      <c r="HB26" s="262">
        <v>-10.209</v>
      </c>
      <c r="HC26" s="263">
        <v>0.92477225977079003</v>
      </c>
      <c r="HD26" s="262">
        <v>-39.673999999999999</v>
      </c>
      <c r="HE26" s="262">
        <v>-32.976999999999997</v>
      </c>
      <c r="HF26" s="263">
        <v>0.203080935197259</v>
      </c>
      <c r="HG26" s="262">
        <v>-427.875</v>
      </c>
      <c r="HH26" s="262">
        <v>-61.819000000000003</v>
      </c>
      <c r="HI26" s="263">
        <v>5.9214157459680701</v>
      </c>
      <c r="HJ26" s="262">
        <v>0</v>
      </c>
      <c r="HK26" s="262">
        <v>0</v>
      </c>
      <c r="HL26" s="263">
        <v>0</v>
      </c>
      <c r="HM26" s="262">
        <v>0</v>
      </c>
      <c r="HN26" s="262">
        <v>0</v>
      </c>
      <c r="HO26" s="263">
        <v>0</v>
      </c>
      <c r="HP26" s="262">
        <v>0</v>
      </c>
      <c r="HQ26" s="262">
        <v>0</v>
      </c>
      <c r="HR26" s="264">
        <v>0</v>
      </c>
      <c r="HS26" s="262">
        <v>-512.96900000000005</v>
      </c>
      <c r="HT26" s="262">
        <v>-722.09199999999998</v>
      </c>
      <c r="HU26" s="263">
        <v>-0.28960714147227801</v>
      </c>
      <c r="HV26" s="262">
        <v>-2061.5639999999999</v>
      </c>
      <c r="HW26" s="262">
        <v>-2318.1869999999999</v>
      </c>
      <c r="HX26" s="263">
        <v>-0.11069987020029</v>
      </c>
      <c r="HY26" s="262">
        <v>-10931.822</v>
      </c>
      <c r="HZ26" s="262">
        <v>-7156.335</v>
      </c>
      <c r="IA26" s="263">
        <v>0.52757270306658399</v>
      </c>
      <c r="IB26" s="262">
        <v>0</v>
      </c>
      <c r="IC26" s="262">
        <v>0</v>
      </c>
      <c r="ID26" s="263">
        <v>0</v>
      </c>
      <c r="IE26" s="262">
        <v>0</v>
      </c>
      <c r="IF26" s="262">
        <v>0</v>
      </c>
      <c r="IG26" s="263">
        <v>0</v>
      </c>
      <c r="IH26" s="262">
        <v>0</v>
      </c>
      <c r="II26" s="262">
        <v>0</v>
      </c>
      <c r="IJ26" s="263">
        <v>0</v>
      </c>
      <c r="IK26" s="262">
        <v>0</v>
      </c>
      <c r="IL26" s="262">
        <v>0</v>
      </c>
      <c r="IM26" s="263">
        <v>0</v>
      </c>
      <c r="IN26" s="262">
        <v>0</v>
      </c>
      <c r="IO26" s="262">
        <v>0</v>
      </c>
      <c r="IP26" s="263">
        <v>0</v>
      </c>
      <c r="IQ26" s="262">
        <v>0</v>
      </c>
      <c r="IR26" s="262">
        <v>0</v>
      </c>
      <c r="IS26" s="263">
        <v>0</v>
      </c>
      <c r="IT26" s="262">
        <v>-6.5549999999999997</v>
      </c>
      <c r="IU26" s="262">
        <v>-32.804000000000002</v>
      </c>
      <c r="IV26" s="263">
        <v>-0.800176807706377</v>
      </c>
      <c r="IW26" s="262">
        <v>-46.228999999999999</v>
      </c>
      <c r="IX26" s="262">
        <v>-65.781000000000006</v>
      </c>
      <c r="IY26" s="263">
        <v>-0.297228683054378</v>
      </c>
      <c r="IZ26" s="262">
        <v>-401.62599999999998</v>
      </c>
      <c r="JA26" s="262">
        <v>-94.623000000000005</v>
      </c>
      <c r="JB26" s="263">
        <v>3.2444860129144102</v>
      </c>
      <c r="JC26" s="262">
        <v>0</v>
      </c>
      <c r="JD26" s="262">
        <v>0</v>
      </c>
      <c r="JE26" s="263">
        <v>0</v>
      </c>
      <c r="JF26" s="262">
        <v>0</v>
      </c>
      <c r="JG26" s="262">
        <v>0</v>
      </c>
      <c r="JH26" s="263">
        <v>0</v>
      </c>
      <c r="JI26" s="262">
        <v>0</v>
      </c>
      <c r="JJ26" s="262">
        <v>0</v>
      </c>
      <c r="JK26" s="264">
        <v>0</v>
      </c>
      <c r="JL26" s="262">
        <v>-563.82399999999996</v>
      </c>
      <c r="JM26" s="262">
        <v>-692.75300000000004</v>
      </c>
      <c r="JN26" s="263">
        <v>-0.18611106700367999</v>
      </c>
      <c r="JO26" s="262">
        <v>-2625.3879999999999</v>
      </c>
      <c r="JP26" s="262">
        <v>-3010.94</v>
      </c>
      <c r="JQ26" s="263">
        <v>-0.12805037629444599</v>
      </c>
      <c r="JR26" s="262">
        <v>-10802.893</v>
      </c>
      <c r="JS26" s="262">
        <v>-7754.174</v>
      </c>
      <c r="JT26" s="263">
        <v>0.39317134229899903</v>
      </c>
      <c r="JU26" s="262">
        <v>0</v>
      </c>
      <c r="JV26" s="262">
        <v>0</v>
      </c>
      <c r="JW26" s="263">
        <v>0</v>
      </c>
      <c r="JX26" s="262">
        <v>0</v>
      </c>
      <c r="JY26" s="262">
        <v>0</v>
      </c>
      <c r="JZ26" s="263">
        <v>0</v>
      </c>
      <c r="KA26" s="262">
        <v>0</v>
      </c>
      <c r="KB26" s="262">
        <v>0</v>
      </c>
      <c r="KC26" s="263">
        <v>0</v>
      </c>
      <c r="KD26" s="262">
        <v>0</v>
      </c>
      <c r="KE26" s="262">
        <v>0</v>
      </c>
      <c r="KF26" s="263">
        <v>0</v>
      </c>
      <c r="KG26" s="262">
        <v>0</v>
      </c>
      <c r="KH26" s="262">
        <v>0</v>
      </c>
      <c r="KI26" s="263">
        <v>0</v>
      </c>
      <c r="KJ26" s="262">
        <v>0</v>
      </c>
      <c r="KK26" s="262">
        <v>0</v>
      </c>
      <c r="KL26" s="263">
        <v>0</v>
      </c>
      <c r="KM26" s="262">
        <v>-6.423</v>
      </c>
      <c r="KN26" s="262">
        <v>-4.0090000000000003</v>
      </c>
      <c r="KO26" s="263">
        <v>0.60214517335994</v>
      </c>
      <c r="KP26" s="262">
        <v>-52.652000000000001</v>
      </c>
      <c r="KQ26" s="262">
        <v>-69.790000000000006</v>
      </c>
      <c r="KR26" s="263">
        <v>-0.24556526723026201</v>
      </c>
      <c r="KS26" s="262">
        <v>-404.04</v>
      </c>
      <c r="KT26" s="262">
        <v>-98.632000000000005</v>
      </c>
      <c r="KU26" s="263">
        <v>3.0964392894800898</v>
      </c>
      <c r="KV26" s="262">
        <v>0</v>
      </c>
      <c r="KW26" s="262">
        <v>0</v>
      </c>
      <c r="KX26" s="263">
        <v>0</v>
      </c>
      <c r="KY26" s="262">
        <v>0</v>
      </c>
      <c r="KZ26" s="262">
        <v>0</v>
      </c>
      <c r="LA26" s="263">
        <v>0</v>
      </c>
      <c r="LB26" s="262">
        <v>0</v>
      </c>
      <c r="LC26" s="262">
        <v>0</v>
      </c>
      <c r="LD26" s="264">
        <v>0</v>
      </c>
      <c r="LE26" s="262">
        <v>-980.76099999999997</v>
      </c>
      <c r="LF26" s="262">
        <v>-823.33</v>
      </c>
      <c r="LG26" s="263">
        <v>0.191212515030425</v>
      </c>
      <c r="LH26" s="262">
        <v>-3606.1489999999999</v>
      </c>
      <c r="LI26" s="262">
        <v>-3834.27</v>
      </c>
      <c r="LJ26" s="263">
        <v>-5.9495288542538799E-2</v>
      </c>
      <c r="LK26" s="262">
        <v>-10960.324000000001</v>
      </c>
      <c r="LL26" s="262">
        <v>-8108.0990000000002</v>
      </c>
      <c r="LM26" s="263">
        <v>0.35177481182703901</v>
      </c>
      <c r="LN26" s="262">
        <v>0</v>
      </c>
      <c r="LO26" s="262">
        <v>0</v>
      </c>
      <c r="LP26" s="263">
        <v>0</v>
      </c>
      <c r="LQ26" s="262">
        <v>0</v>
      </c>
      <c r="LR26" s="262">
        <v>0</v>
      </c>
      <c r="LS26" s="263">
        <v>0</v>
      </c>
      <c r="LT26" s="262">
        <v>0</v>
      </c>
      <c r="LU26" s="262">
        <v>0</v>
      </c>
      <c r="LV26" s="263">
        <v>0</v>
      </c>
      <c r="LW26" s="262">
        <v>0</v>
      </c>
      <c r="LX26" s="262">
        <v>0</v>
      </c>
      <c r="LY26" s="263">
        <v>0</v>
      </c>
      <c r="LZ26" s="262">
        <v>0</v>
      </c>
      <c r="MA26" s="262">
        <v>0</v>
      </c>
      <c r="MB26" s="263">
        <v>0</v>
      </c>
      <c r="MC26" s="262">
        <v>0</v>
      </c>
      <c r="MD26" s="262">
        <v>0</v>
      </c>
      <c r="ME26" s="263">
        <v>0</v>
      </c>
      <c r="MF26" s="262">
        <v>-27.414000000000001</v>
      </c>
      <c r="MG26" s="262">
        <v>-36.988999999999997</v>
      </c>
      <c r="MH26" s="263">
        <v>-0.25886074238287099</v>
      </c>
      <c r="MI26" s="262">
        <v>-80.066000000000003</v>
      </c>
      <c r="MJ26" s="262">
        <v>-106.779</v>
      </c>
      <c r="MK26" s="263">
        <v>-0.25017091375645001</v>
      </c>
      <c r="ML26" s="262">
        <v>-394.46499999999997</v>
      </c>
      <c r="MM26" s="262">
        <v>-135.62100000000001</v>
      </c>
      <c r="MN26" s="263">
        <v>1.90858347895975</v>
      </c>
      <c r="MO26" s="262">
        <v>0</v>
      </c>
      <c r="MP26" s="262">
        <v>0</v>
      </c>
      <c r="MQ26" s="263">
        <v>0</v>
      </c>
      <c r="MR26" s="262">
        <v>0</v>
      </c>
      <c r="MS26" s="262">
        <v>0</v>
      </c>
      <c r="MT26" s="263">
        <v>0</v>
      </c>
      <c r="MU26" s="262">
        <v>0</v>
      </c>
      <c r="MV26" s="262">
        <v>0</v>
      </c>
      <c r="MW26" s="264">
        <v>0</v>
      </c>
      <c r="MX26" s="262">
        <v>-897.48099999999999</v>
      </c>
      <c r="MY26" s="262">
        <v>-759.24699999999996</v>
      </c>
      <c r="MZ26" s="263">
        <v>0.18206723240263101</v>
      </c>
      <c r="NA26" s="262">
        <v>-4503.63</v>
      </c>
      <c r="NB26" s="262">
        <v>-4593.5169999999998</v>
      </c>
      <c r="NC26" s="263">
        <v>-1.9568230617193701E-2</v>
      </c>
      <c r="ND26" s="262">
        <v>-11098.558000000001</v>
      </c>
      <c r="NE26" s="262">
        <v>-8054.4489999999996</v>
      </c>
      <c r="NF26" s="263">
        <v>0.37794130920687502</v>
      </c>
      <c r="NG26" s="262">
        <v>0</v>
      </c>
      <c r="NH26" s="262">
        <v>0</v>
      </c>
      <c r="NI26" s="263">
        <v>0</v>
      </c>
      <c r="NJ26" s="262">
        <v>0</v>
      </c>
      <c r="NK26" s="262">
        <v>0</v>
      </c>
      <c r="NL26" s="263">
        <v>0</v>
      </c>
      <c r="NM26" s="262">
        <v>0</v>
      </c>
      <c r="NN26" s="262">
        <v>0</v>
      </c>
      <c r="NO26" s="263">
        <v>0</v>
      </c>
      <c r="NP26" s="262">
        <v>0</v>
      </c>
      <c r="NQ26" s="262">
        <v>0</v>
      </c>
      <c r="NR26" s="263">
        <v>0</v>
      </c>
      <c r="NS26" s="262">
        <v>0</v>
      </c>
      <c r="NT26" s="262">
        <v>0</v>
      </c>
      <c r="NU26" s="263">
        <v>0</v>
      </c>
      <c r="NV26" s="262">
        <v>0</v>
      </c>
      <c r="NW26" s="262">
        <v>0</v>
      </c>
      <c r="NX26" s="263">
        <v>0</v>
      </c>
      <c r="NY26" s="262">
        <v>-66.456000000000003</v>
      </c>
      <c r="NZ26" s="262">
        <v>-63.725000000000001</v>
      </c>
      <c r="OA26" s="263">
        <v>4.2856021969399798E-2</v>
      </c>
      <c r="OB26" s="262">
        <v>-146.52199999999999</v>
      </c>
      <c r="OC26" s="262">
        <v>-170.50399999999999</v>
      </c>
      <c r="OD26" s="263">
        <v>-0.14065359170459299</v>
      </c>
      <c r="OE26" s="262">
        <v>-397.19600000000003</v>
      </c>
      <c r="OF26" s="262">
        <v>-199.346</v>
      </c>
      <c r="OG26" s="263">
        <v>0.99249546015470602</v>
      </c>
      <c r="OH26" s="262">
        <v>0</v>
      </c>
      <c r="OI26" s="262">
        <v>0</v>
      </c>
      <c r="OJ26" s="263">
        <v>0</v>
      </c>
      <c r="OK26" s="262">
        <v>0</v>
      </c>
      <c r="OL26" s="262">
        <v>0</v>
      </c>
      <c r="OM26" s="263">
        <v>0</v>
      </c>
      <c r="ON26" s="262">
        <v>0</v>
      </c>
      <c r="OO26" s="262">
        <v>0</v>
      </c>
      <c r="OP26" s="264">
        <v>0</v>
      </c>
      <c r="OQ26" s="262">
        <v>-992.46400000000006</v>
      </c>
      <c r="OR26" s="262">
        <v>-925.69500000000005</v>
      </c>
      <c r="OS26" s="263">
        <v>7.2128508850107201E-2</v>
      </c>
      <c r="OT26" s="262">
        <v>-5496.0940000000001</v>
      </c>
      <c r="OU26" s="262">
        <v>-5519.2120000000004</v>
      </c>
      <c r="OV26" s="263">
        <v>-4.1886414220001699E-3</v>
      </c>
      <c r="OW26" s="262">
        <v>-11165.326999999999</v>
      </c>
      <c r="OX26" s="262">
        <v>-8339.8349999999991</v>
      </c>
      <c r="OY26" s="263">
        <v>0.33879471236541298</v>
      </c>
      <c r="OZ26" s="262">
        <v>0</v>
      </c>
      <c r="PA26" s="262">
        <v>0</v>
      </c>
      <c r="PB26" s="263">
        <v>0</v>
      </c>
      <c r="PC26" s="262">
        <v>0</v>
      </c>
      <c r="PD26" s="262">
        <v>0</v>
      </c>
      <c r="PE26" s="263">
        <v>0</v>
      </c>
      <c r="PF26" s="262">
        <v>0</v>
      </c>
      <c r="PG26" s="262">
        <v>0</v>
      </c>
      <c r="PH26" s="263">
        <v>0</v>
      </c>
      <c r="PI26" s="262">
        <v>0</v>
      </c>
      <c r="PJ26" s="262">
        <v>0</v>
      </c>
      <c r="PK26" s="263">
        <v>0</v>
      </c>
      <c r="PL26" s="262">
        <v>0</v>
      </c>
      <c r="PM26" s="262">
        <v>0</v>
      </c>
      <c r="PN26" s="263">
        <v>0</v>
      </c>
      <c r="PO26" s="262">
        <v>0</v>
      </c>
      <c r="PP26" s="262">
        <v>0</v>
      </c>
      <c r="PQ26" s="263">
        <v>0</v>
      </c>
      <c r="PR26" s="262">
        <v>-84.402000000000001</v>
      </c>
      <c r="PS26" s="262">
        <v>-5.3999999999999999E-2</v>
      </c>
      <c r="PT26" s="263">
        <v>1562</v>
      </c>
      <c r="PU26" s="262">
        <v>-230.92400000000001</v>
      </c>
      <c r="PV26" s="262">
        <v>-170.55799999999999</v>
      </c>
      <c r="PW26" s="263">
        <v>0.35393238663680399</v>
      </c>
      <c r="PX26" s="262">
        <v>-481.54399999999998</v>
      </c>
      <c r="PY26" s="262">
        <v>-199.4</v>
      </c>
      <c r="PZ26" s="263">
        <v>1.4149648946840501</v>
      </c>
      <c r="QA26" s="262">
        <v>0</v>
      </c>
      <c r="QB26" s="262">
        <v>0</v>
      </c>
      <c r="QC26" s="263">
        <v>0</v>
      </c>
      <c r="QD26" s="262">
        <v>0</v>
      </c>
      <c r="QE26" s="262">
        <v>0</v>
      </c>
      <c r="QF26" s="263">
        <v>0</v>
      </c>
      <c r="QG26" s="262">
        <v>0</v>
      </c>
      <c r="QH26" s="262">
        <v>0</v>
      </c>
      <c r="QI26" s="264">
        <v>0</v>
      </c>
      <c r="QJ26" s="262">
        <v>-660.13</v>
      </c>
      <c r="QK26" s="262">
        <v>-1203.6790000000001</v>
      </c>
      <c r="QL26" s="263">
        <v>-0.45157305228387301</v>
      </c>
      <c r="QM26" s="262">
        <v>-6156.2240000000002</v>
      </c>
      <c r="QN26" s="262">
        <v>-6722.8909999999996</v>
      </c>
      <c r="QO26" s="263">
        <v>-8.4289184518981403E-2</v>
      </c>
      <c r="QP26" s="262">
        <v>-10621.778</v>
      </c>
      <c r="QQ26" s="262">
        <v>-9094.4590000000007</v>
      </c>
      <c r="QR26" s="263">
        <v>0.16793951130023199</v>
      </c>
      <c r="QS26" s="262">
        <v>0</v>
      </c>
      <c r="QT26" s="262">
        <v>0</v>
      </c>
      <c r="QU26" s="263">
        <v>0</v>
      </c>
      <c r="QV26" s="262">
        <v>0</v>
      </c>
      <c r="QW26" s="262">
        <v>0</v>
      </c>
      <c r="QX26" s="263">
        <v>0</v>
      </c>
      <c r="QY26" s="262">
        <v>0</v>
      </c>
      <c r="QZ26" s="262">
        <v>0</v>
      </c>
      <c r="RA26" s="263">
        <v>0</v>
      </c>
      <c r="RB26" s="262">
        <v>0</v>
      </c>
      <c r="RC26" s="262">
        <v>0</v>
      </c>
      <c r="RD26" s="263">
        <v>0</v>
      </c>
      <c r="RE26" s="262">
        <v>0</v>
      </c>
      <c r="RF26" s="262">
        <v>0</v>
      </c>
      <c r="RG26" s="263">
        <v>0</v>
      </c>
      <c r="RH26" s="262">
        <v>0</v>
      </c>
      <c r="RI26" s="262">
        <v>0</v>
      </c>
      <c r="RJ26" s="263">
        <v>0</v>
      </c>
      <c r="RK26" s="262">
        <v>-3.7090000000000001</v>
      </c>
      <c r="RL26" s="262">
        <v>-1.776</v>
      </c>
      <c r="RM26" s="263">
        <v>1.0884009009008999</v>
      </c>
      <c r="RN26" s="262">
        <v>-234.63300000000001</v>
      </c>
      <c r="RO26" s="262">
        <v>-172.334</v>
      </c>
      <c r="RP26" s="263">
        <v>0.36150150289554001</v>
      </c>
      <c r="RQ26" s="262">
        <v>-483.47699999999998</v>
      </c>
      <c r="RR26" s="262">
        <v>-201.17599999999999</v>
      </c>
      <c r="RS26" s="263">
        <v>1.4032538672605099</v>
      </c>
      <c r="RT26" s="262">
        <v>0</v>
      </c>
      <c r="RU26" s="262">
        <v>0</v>
      </c>
      <c r="RV26" s="263">
        <v>0</v>
      </c>
      <c r="RW26" s="262">
        <v>0</v>
      </c>
      <c r="RX26" s="262">
        <v>0</v>
      </c>
      <c r="RY26" s="263">
        <v>0</v>
      </c>
      <c r="RZ26" s="262">
        <v>0</v>
      </c>
      <c r="SA26" s="262">
        <v>0</v>
      </c>
      <c r="SB26" s="264">
        <v>0</v>
      </c>
      <c r="SC26" s="262">
        <v>-351.47800000000001</v>
      </c>
      <c r="SD26" s="262">
        <v>-826.19799999999998</v>
      </c>
      <c r="SE26" s="263">
        <v>-0.574583816470144</v>
      </c>
      <c r="SF26" s="262">
        <v>-6507.7020000000002</v>
      </c>
      <c r="SG26" s="262">
        <v>-7549.0889999999999</v>
      </c>
      <c r="SH26" s="263">
        <v>-0.13794869818066799</v>
      </c>
      <c r="SI26" s="262">
        <v>-10147.058000000001</v>
      </c>
      <c r="SJ26" s="262">
        <v>-9525.8040000000001</v>
      </c>
      <c r="SK26" s="263">
        <v>6.5218012043917903E-2</v>
      </c>
      <c r="SL26" s="262">
        <v>0</v>
      </c>
      <c r="SM26" s="262">
        <v>0</v>
      </c>
      <c r="SN26" s="263">
        <v>0</v>
      </c>
      <c r="SO26" s="262">
        <v>0</v>
      </c>
      <c r="SP26" s="262">
        <v>0</v>
      </c>
      <c r="SQ26" s="263">
        <v>0</v>
      </c>
      <c r="SR26" s="262">
        <v>0</v>
      </c>
      <c r="SS26" s="262">
        <v>0</v>
      </c>
      <c r="ST26" s="263">
        <v>0</v>
      </c>
      <c r="SU26" s="262">
        <v>0</v>
      </c>
      <c r="SV26" s="262">
        <v>0</v>
      </c>
      <c r="SW26" s="263">
        <v>0</v>
      </c>
      <c r="SX26" s="262">
        <v>0</v>
      </c>
      <c r="SY26" s="262">
        <v>0</v>
      </c>
      <c r="SZ26" s="263">
        <v>0</v>
      </c>
      <c r="TA26" s="262">
        <v>0</v>
      </c>
      <c r="TB26" s="262">
        <v>0</v>
      </c>
      <c r="TC26" s="263">
        <v>0</v>
      </c>
      <c r="TD26" s="262">
        <v>-1.0429999999999999</v>
      </c>
      <c r="TE26" s="262">
        <v>-9.0050000000000008</v>
      </c>
      <c r="TF26" s="263">
        <v>-0.88417545807884501</v>
      </c>
      <c r="TG26" s="262">
        <v>-235.67599999999999</v>
      </c>
      <c r="TH26" s="262">
        <v>-181.339</v>
      </c>
      <c r="TI26" s="263">
        <v>0.29964320967910901</v>
      </c>
      <c r="TJ26" s="262">
        <v>-475.51499999999999</v>
      </c>
      <c r="TK26" s="262">
        <v>-210.18100000000001</v>
      </c>
      <c r="TL26" s="263">
        <v>1.2624071633496801</v>
      </c>
      <c r="TM26" s="262">
        <v>0</v>
      </c>
      <c r="TN26" s="262">
        <v>0</v>
      </c>
      <c r="TO26" s="263">
        <v>0</v>
      </c>
      <c r="TP26" s="262">
        <v>0</v>
      </c>
      <c r="TQ26" s="262">
        <v>0</v>
      </c>
      <c r="TR26" s="263">
        <v>0</v>
      </c>
      <c r="TS26" s="262">
        <v>0</v>
      </c>
      <c r="TT26" s="262">
        <v>0</v>
      </c>
      <c r="TU26" s="264">
        <v>0</v>
      </c>
      <c r="TV26" s="262">
        <v>-254.56800000000001</v>
      </c>
      <c r="TW26" s="262">
        <v>-1287.288</v>
      </c>
      <c r="TX26" s="263">
        <v>-0.80224471913045103</v>
      </c>
      <c r="TY26" s="262">
        <v>-6762.27</v>
      </c>
      <c r="TZ26" s="262">
        <v>-8836.3770000000004</v>
      </c>
      <c r="UA26" s="263">
        <v>-0.23472368822652101</v>
      </c>
      <c r="UB26" s="262">
        <v>-9114.3379999999997</v>
      </c>
      <c r="UC26" s="262">
        <v>-10163.538</v>
      </c>
      <c r="UD26" s="263">
        <v>-0.10323176830745399</v>
      </c>
      <c r="UE26" s="262">
        <v>0</v>
      </c>
      <c r="UF26" s="262">
        <v>0</v>
      </c>
      <c r="UG26" s="263">
        <v>0</v>
      </c>
      <c r="UH26" s="262">
        <v>0</v>
      </c>
      <c r="UI26" s="262">
        <v>0</v>
      </c>
      <c r="UJ26" s="263">
        <v>0</v>
      </c>
      <c r="UK26" s="262">
        <v>0</v>
      </c>
      <c r="UL26" s="262">
        <v>0</v>
      </c>
      <c r="UM26" s="263">
        <v>0</v>
      </c>
      <c r="UN26" s="262">
        <v>0</v>
      </c>
      <c r="UO26" s="262">
        <v>0</v>
      </c>
      <c r="UP26" s="263">
        <v>0</v>
      </c>
      <c r="UQ26" s="262">
        <v>0</v>
      </c>
      <c r="UR26" s="262">
        <v>0</v>
      </c>
      <c r="US26" s="263">
        <v>0</v>
      </c>
      <c r="UT26" s="262">
        <v>0</v>
      </c>
      <c r="UU26" s="262">
        <v>0</v>
      </c>
      <c r="UV26" s="263">
        <v>0</v>
      </c>
      <c r="UW26" s="262">
        <v>-4.6150000000000002</v>
      </c>
      <c r="UX26" s="262">
        <v>-127.907</v>
      </c>
      <c r="UY26" s="263">
        <v>-0.96391909746925497</v>
      </c>
      <c r="UZ26" s="262">
        <v>-240.291</v>
      </c>
      <c r="VA26" s="262">
        <v>-309.24599999999998</v>
      </c>
      <c r="VB26" s="263">
        <v>-0.22297782348033601</v>
      </c>
      <c r="VC26" s="262">
        <v>-352.22300000000001</v>
      </c>
      <c r="VD26" s="262">
        <v>-338.08800000000002</v>
      </c>
      <c r="VE26" s="263">
        <v>4.1808641537114603E-2</v>
      </c>
      <c r="VF26" s="262">
        <v>0</v>
      </c>
      <c r="VG26" s="262">
        <v>0</v>
      </c>
      <c r="VH26" s="263">
        <v>0</v>
      </c>
      <c r="VI26" s="262">
        <v>0</v>
      </c>
      <c r="VJ26" s="262">
        <v>0</v>
      </c>
      <c r="VK26" s="263">
        <v>0</v>
      </c>
      <c r="VL26" s="262">
        <v>0</v>
      </c>
      <c r="VM26" s="262">
        <v>0</v>
      </c>
      <c r="VN26" s="264">
        <v>0</v>
      </c>
    </row>
    <row r="27" spans="1:586">
      <c r="A27" s="268" t="s">
        <v>92</v>
      </c>
      <c r="B27" s="262">
        <v>-144544.43599999999</v>
      </c>
      <c r="C27" s="262">
        <v>-131447.49</v>
      </c>
      <c r="D27" s="263">
        <v>9.9636333869897398E-2</v>
      </c>
      <c r="E27" s="262">
        <v>-1423627.4339999999</v>
      </c>
      <c r="F27" s="262">
        <v>-1242883.9720000001</v>
      </c>
      <c r="G27" s="263">
        <v>0.14542263483304399</v>
      </c>
      <c r="H27" s="262">
        <v>-1606803.392</v>
      </c>
      <c r="I27" s="262">
        <v>-1378654.48</v>
      </c>
      <c r="J27" s="263">
        <v>0.165486650433254</v>
      </c>
      <c r="K27" s="262">
        <v>0</v>
      </c>
      <c r="L27" s="262">
        <v>0</v>
      </c>
      <c r="M27" s="263">
        <v>0</v>
      </c>
      <c r="N27" s="262">
        <v>0</v>
      </c>
      <c r="O27" s="262">
        <v>0</v>
      </c>
      <c r="P27" s="263">
        <v>0</v>
      </c>
      <c r="Q27" s="262">
        <v>0</v>
      </c>
      <c r="R27" s="262">
        <v>0</v>
      </c>
      <c r="S27" s="263">
        <v>0</v>
      </c>
      <c r="T27" s="262">
        <v>0</v>
      </c>
      <c r="U27" s="262">
        <v>0</v>
      </c>
      <c r="V27" s="263">
        <v>0</v>
      </c>
      <c r="W27" s="262">
        <v>0</v>
      </c>
      <c r="X27" s="262">
        <v>0</v>
      </c>
      <c r="Y27" s="263">
        <v>0</v>
      </c>
      <c r="Z27" s="262">
        <v>0</v>
      </c>
      <c r="AA27" s="262">
        <v>0</v>
      </c>
      <c r="AB27" s="263">
        <v>0</v>
      </c>
      <c r="AC27" s="262">
        <v>144544.43599999999</v>
      </c>
      <c r="AD27" s="262">
        <v>131447.49</v>
      </c>
      <c r="AE27" s="263">
        <v>9.9636333869897398E-2</v>
      </c>
      <c r="AF27" s="262">
        <v>1423627.4339999999</v>
      </c>
      <c r="AG27" s="262">
        <v>1242883.9720000001</v>
      </c>
      <c r="AH27" s="263">
        <v>0.14542263483304399</v>
      </c>
      <c r="AI27" s="262">
        <v>1606803.392</v>
      </c>
      <c r="AJ27" s="262">
        <v>1378654.48</v>
      </c>
      <c r="AK27" s="263">
        <v>0.165486650433254</v>
      </c>
      <c r="AL27" s="262">
        <v>0</v>
      </c>
      <c r="AM27" s="262">
        <v>0</v>
      </c>
      <c r="AN27" s="263">
        <v>0</v>
      </c>
      <c r="AO27" s="262">
        <v>0</v>
      </c>
      <c r="AP27" s="262">
        <v>0</v>
      </c>
      <c r="AQ27" s="263">
        <v>0</v>
      </c>
      <c r="AR27" s="262">
        <v>0</v>
      </c>
      <c r="AS27" s="262">
        <v>0</v>
      </c>
      <c r="AT27" s="264">
        <v>0</v>
      </c>
      <c r="AU27" s="262">
        <v>-78195.680999999997</v>
      </c>
      <c r="AV27" s="262">
        <v>-70735.69</v>
      </c>
      <c r="AW27" s="263">
        <v>0.10546289998726199</v>
      </c>
      <c r="AX27" s="262">
        <v>-1501823.115</v>
      </c>
      <c r="AY27" s="262">
        <v>-1313619.662</v>
      </c>
      <c r="AZ27" s="263">
        <v>0.14327088612046099</v>
      </c>
      <c r="BA27" s="262">
        <v>-1614263.3829999999</v>
      </c>
      <c r="BB27" s="262">
        <v>-1393398.4839999999</v>
      </c>
      <c r="BC27" s="263">
        <v>0.15850806609604401</v>
      </c>
      <c r="BD27" s="262">
        <v>0</v>
      </c>
      <c r="BE27" s="262">
        <v>0</v>
      </c>
      <c r="BF27" s="263">
        <v>0</v>
      </c>
      <c r="BG27" s="262">
        <v>0</v>
      </c>
      <c r="BH27" s="262">
        <v>0</v>
      </c>
      <c r="BI27" s="263">
        <v>0</v>
      </c>
      <c r="BJ27" s="262">
        <v>0</v>
      </c>
      <c r="BK27" s="262">
        <v>0</v>
      </c>
      <c r="BL27" s="263">
        <v>0</v>
      </c>
      <c r="BM27" s="262">
        <v>0</v>
      </c>
      <c r="BN27" s="262">
        <v>0</v>
      </c>
      <c r="BO27" s="263">
        <v>0</v>
      </c>
      <c r="BP27" s="262">
        <v>0</v>
      </c>
      <c r="BQ27" s="262">
        <v>0</v>
      </c>
      <c r="BR27" s="263">
        <v>0</v>
      </c>
      <c r="BS27" s="262">
        <v>0</v>
      </c>
      <c r="BT27" s="262">
        <v>0</v>
      </c>
      <c r="BU27" s="263">
        <v>0</v>
      </c>
      <c r="BV27" s="262">
        <v>78195.680999999997</v>
      </c>
      <c r="BW27" s="262">
        <v>70735.69</v>
      </c>
      <c r="BX27" s="263">
        <v>0.10546289998726199</v>
      </c>
      <c r="BY27" s="262">
        <v>1501823.115</v>
      </c>
      <c r="BZ27" s="262">
        <v>1313619.662</v>
      </c>
      <c r="CA27" s="263">
        <v>0.14327088612046099</v>
      </c>
      <c r="CB27" s="262">
        <v>1614263.3829999999</v>
      </c>
      <c r="CC27" s="262">
        <v>1393398.4839999999</v>
      </c>
      <c r="CD27" s="263">
        <v>0.15850806609604401</v>
      </c>
      <c r="CE27" s="262">
        <v>0</v>
      </c>
      <c r="CF27" s="262">
        <v>0</v>
      </c>
      <c r="CG27" s="263">
        <v>0</v>
      </c>
      <c r="CH27" s="262">
        <v>0</v>
      </c>
      <c r="CI27" s="262">
        <v>0</v>
      </c>
      <c r="CJ27" s="263">
        <v>0</v>
      </c>
      <c r="CK27" s="262">
        <v>0</v>
      </c>
      <c r="CL27" s="262">
        <v>0</v>
      </c>
      <c r="CM27" s="264">
        <v>0</v>
      </c>
      <c r="CN27" s="262">
        <v>-77984.769</v>
      </c>
      <c r="CO27" s="262">
        <v>-112440.268</v>
      </c>
      <c r="CP27" s="263">
        <v>-0.30643380359072098</v>
      </c>
      <c r="CQ27" s="262">
        <v>-1579807.8840000001</v>
      </c>
      <c r="CR27" s="262">
        <v>-1426059.93</v>
      </c>
      <c r="CS27" s="263">
        <v>0.107813108527634</v>
      </c>
      <c r="CT27" s="262">
        <v>-1579807.8840000001</v>
      </c>
      <c r="CU27" s="262">
        <v>-1426059.93</v>
      </c>
      <c r="CV27" s="263">
        <v>0.107813108527634</v>
      </c>
      <c r="CW27" s="262">
        <v>0</v>
      </c>
      <c r="CX27" s="262">
        <v>0</v>
      </c>
      <c r="CY27" s="263">
        <v>0</v>
      </c>
      <c r="CZ27" s="262">
        <v>0</v>
      </c>
      <c r="DA27" s="262">
        <v>0</v>
      </c>
      <c r="DB27" s="263">
        <v>0</v>
      </c>
      <c r="DC27" s="262">
        <v>0</v>
      </c>
      <c r="DD27" s="262">
        <v>0</v>
      </c>
      <c r="DE27" s="263">
        <v>0</v>
      </c>
      <c r="DF27" s="262">
        <v>0</v>
      </c>
      <c r="DG27" s="262">
        <v>0</v>
      </c>
      <c r="DH27" s="263">
        <v>0</v>
      </c>
      <c r="DI27" s="262">
        <v>0</v>
      </c>
      <c r="DJ27" s="262">
        <v>0</v>
      </c>
      <c r="DK27" s="263">
        <v>0</v>
      </c>
      <c r="DL27" s="262">
        <v>0</v>
      </c>
      <c r="DM27" s="262">
        <v>0</v>
      </c>
      <c r="DN27" s="263">
        <v>0</v>
      </c>
      <c r="DO27" s="262">
        <v>77984.769</v>
      </c>
      <c r="DP27" s="262">
        <v>112440.268</v>
      </c>
      <c r="DQ27" s="263">
        <v>-0.30643380359072098</v>
      </c>
      <c r="DR27" s="262">
        <v>1579807.8840000001</v>
      </c>
      <c r="DS27" s="262">
        <v>1426059.93</v>
      </c>
      <c r="DT27" s="263">
        <v>0.107813108527634</v>
      </c>
      <c r="DU27" s="262">
        <v>1579807.8840000001</v>
      </c>
      <c r="DV27" s="262">
        <v>1426059.93</v>
      </c>
      <c r="DW27" s="263">
        <v>0.107813108527634</v>
      </c>
      <c r="DX27" s="262">
        <v>0</v>
      </c>
      <c r="DY27" s="262">
        <v>0</v>
      </c>
      <c r="DZ27" s="263">
        <v>0</v>
      </c>
      <c r="EA27" s="262">
        <v>0</v>
      </c>
      <c r="EB27" s="262">
        <v>0</v>
      </c>
      <c r="EC27" s="263">
        <v>0</v>
      </c>
      <c r="ED27" s="262">
        <v>0</v>
      </c>
      <c r="EE27" s="262">
        <v>0</v>
      </c>
      <c r="EF27" s="264">
        <v>0</v>
      </c>
      <c r="EG27" s="262">
        <v>-85443.509000000005</v>
      </c>
      <c r="EH27" s="262">
        <v>-122760.274</v>
      </c>
      <c r="EI27" s="263">
        <v>-0.30398078942052498</v>
      </c>
      <c r="EJ27" s="262">
        <v>-85443.509000000005</v>
      </c>
      <c r="EK27" s="262">
        <v>-122760.274</v>
      </c>
      <c r="EL27" s="263">
        <v>-0.30398078942052498</v>
      </c>
      <c r="EM27" s="262">
        <v>-1542491.1189999999</v>
      </c>
      <c r="EN27" s="262">
        <v>-1424870.0730000001</v>
      </c>
      <c r="EO27" s="263">
        <v>8.2548611433991295E-2</v>
      </c>
      <c r="EP27" s="262">
        <v>0</v>
      </c>
      <c r="EQ27" s="262">
        <v>0</v>
      </c>
      <c r="ER27" s="263">
        <v>0</v>
      </c>
      <c r="ES27" s="262">
        <v>0</v>
      </c>
      <c r="ET27" s="262">
        <v>0</v>
      </c>
      <c r="EU27" s="263">
        <v>0</v>
      </c>
      <c r="EV27" s="262">
        <v>0</v>
      </c>
      <c r="EW27" s="262">
        <v>0</v>
      </c>
      <c r="EX27" s="263">
        <v>0</v>
      </c>
      <c r="EY27" s="262">
        <v>0</v>
      </c>
      <c r="EZ27" s="262">
        <v>0</v>
      </c>
      <c r="FA27" s="263">
        <v>0</v>
      </c>
      <c r="FB27" s="262">
        <v>0</v>
      </c>
      <c r="FC27" s="262">
        <v>0</v>
      </c>
      <c r="FD27" s="263">
        <v>0</v>
      </c>
      <c r="FE27" s="262">
        <v>0</v>
      </c>
      <c r="FF27" s="262">
        <v>0</v>
      </c>
      <c r="FG27" s="263">
        <v>0</v>
      </c>
      <c r="FH27" s="262">
        <v>85443.509000000005</v>
      </c>
      <c r="FI27" s="262">
        <v>122760.274</v>
      </c>
      <c r="FJ27" s="263">
        <v>-0.30398078942052498</v>
      </c>
      <c r="FK27" s="262">
        <v>85443.509000000005</v>
      </c>
      <c r="FL27" s="262">
        <v>122760.274</v>
      </c>
      <c r="FM27" s="263">
        <v>-0.30398078942052498</v>
      </c>
      <c r="FN27" s="262">
        <v>1542491.1189999999</v>
      </c>
      <c r="FO27" s="262">
        <v>1424870.0730000001</v>
      </c>
      <c r="FP27" s="263">
        <v>8.2548611433991295E-2</v>
      </c>
      <c r="FQ27" s="262">
        <v>0</v>
      </c>
      <c r="FR27" s="262">
        <v>0</v>
      </c>
      <c r="FS27" s="263">
        <v>0</v>
      </c>
      <c r="FT27" s="262">
        <v>0</v>
      </c>
      <c r="FU27" s="262">
        <v>0</v>
      </c>
      <c r="FV27" s="263">
        <v>0</v>
      </c>
      <c r="FW27" s="262">
        <v>0</v>
      </c>
      <c r="FX27" s="262">
        <v>0</v>
      </c>
      <c r="FY27" s="264">
        <v>0</v>
      </c>
      <c r="FZ27" s="262">
        <v>-90795.297000000006</v>
      </c>
      <c r="GA27" s="262">
        <v>-114744.08199999999</v>
      </c>
      <c r="GB27" s="263">
        <v>-0.20871477275838901</v>
      </c>
      <c r="GC27" s="262">
        <v>-176238.80600000001</v>
      </c>
      <c r="GD27" s="262">
        <v>-237504.356</v>
      </c>
      <c r="GE27" s="263">
        <v>-0.25795547935129198</v>
      </c>
      <c r="GF27" s="262">
        <v>-1518542.334</v>
      </c>
      <c r="GG27" s="262">
        <v>-1449879.8929999999</v>
      </c>
      <c r="GH27" s="263">
        <v>4.7357330308187201E-2</v>
      </c>
      <c r="GI27" s="262">
        <v>0</v>
      </c>
      <c r="GJ27" s="262">
        <v>0</v>
      </c>
      <c r="GK27" s="263">
        <v>0</v>
      </c>
      <c r="GL27" s="262">
        <v>0</v>
      </c>
      <c r="GM27" s="262">
        <v>0</v>
      </c>
      <c r="GN27" s="263">
        <v>0</v>
      </c>
      <c r="GO27" s="262">
        <v>0</v>
      </c>
      <c r="GP27" s="262">
        <v>0</v>
      </c>
      <c r="GQ27" s="263">
        <v>0</v>
      </c>
      <c r="GR27" s="262">
        <v>0</v>
      </c>
      <c r="GS27" s="262">
        <v>0</v>
      </c>
      <c r="GT27" s="263">
        <v>0</v>
      </c>
      <c r="GU27" s="262">
        <v>0</v>
      </c>
      <c r="GV27" s="262">
        <v>0</v>
      </c>
      <c r="GW27" s="263">
        <v>0</v>
      </c>
      <c r="GX27" s="262">
        <v>0</v>
      </c>
      <c r="GY27" s="262">
        <v>0</v>
      </c>
      <c r="GZ27" s="263">
        <v>0</v>
      </c>
      <c r="HA27" s="262">
        <v>90795.297000000006</v>
      </c>
      <c r="HB27" s="262">
        <v>114744.08199999999</v>
      </c>
      <c r="HC27" s="263">
        <v>-0.20871477275838901</v>
      </c>
      <c r="HD27" s="262">
        <v>176238.80600000001</v>
      </c>
      <c r="HE27" s="262">
        <v>237504.356</v>
      </c>
      <c r="HF27" s="263">
        <v>-0.25795547935129198</v>
      </c>
      <c r="HG27" s="262">
        <v>1518542.334</v>
      </c>
      <c r="HH27" s="262">
        <v>1449879.8929999999</v>
      </c>
      <c r="HI27" s="263">
        <v>4.7357330308187201E-2</v>
      </c>
      <c r="HJ27" s="262">
        <v>0</v>
      </c>
      <c r="HK27" s="262">
        <v>0</v>
      </c>
      <c r="HL27" s="263">
        <v>0</v>
      </c>
      <c r="HM27" s="262">
        <v>0</v>
      </c>
      <c r="HN27" s="262">
        <v>0</v>
      </c>
      <c r="HO27" s="263">
        <v>0</v>
      </c>
      <c r="HP27" s="262">
        <v>0</v>
      </c>
      <c r="HQ27" s="262">
        <v>0</v>
      </c>
      <c r="HR27" s="264">
        <v>0</v>
      </c>
      <c r="HS27" s="262">
        <v>-113220.591</v>
      </c>
      <c r="HT27" s="262">
        <v>-110667.727</v>
      </c>
      <c r="HU27" s="263">
        <v>2.3067827172415001E-2</v>
      </c>
      <c r="HV27" s="262">
        <v>-289459.397</v>
      </c>
      <c r="HW27" s="262">
        <v>-348172.08299999998</v>
      </c>
      <c r="HX27" s="263">
        <v>-0.168631228253875</v>
      </c>
      <c r="HY27" s="262">
        <v>-1521095.1980000001</v>
      </c>
      <c r="HZ27" s="262">
        <v>-1478353.3119999999</v>
      </c>
      <c r="IA27" s="263">
        <v>2.89118207758986E-2</v>
      </c>
      <c r="IB27" s="262">
        <v>0</v>
      </c>
      <c r="IC27" s="262">
        <v>0</v>
      </c>
      <c r="ID27" s="263">
        <v>0</v>
      </c>
      <c r="IE27" s="262">
        <v>0</v>
      </c>
      <c r="IF27" s="262">
        <v>0</v>
      </c>
      <c r="IG27" s="263">
        <v>0</v>
      </c>
      <c r="IH27" s="262">
        <v>0</v>
      </c>
      <c r="II27" s="262">
        <v>0</v>
      </c>
      <c r="IJ27" s="263">
        <v>0</v>
      </c>
      <c r="IK27" s="262">
        <v>0</v>
      </c>
      <c r="IL27" s="262">
        <v>0</v>
      </c>
      <c r="IM27" s="263">
        <v>0</v>
      </c>
      <c r="IN27" s="262">
        <v>0</v>
      </c>
      <c r="IO27" s="262">
        <v>0</v>
      </c>
      <c r="IP27" s="263">
        <v>0</v>
      </c>
      <c r="IQ27" s="262">
        <v>0</v>
      </c>
      <c r="IR27" s="262">
        <v>0</v>
      </c>
      <c r="IS27" s="263">
        <v>0</v>
      </c>
      <c r="IT27" s="262">
        <v>113220.591</v>
      </c>
      <c r="IU27" s="262">
        <v>110667.727</v>
      </c>
      <c r="IV27" s="263">
        <v>2.3067827172415001E-2</v>
      </c>
      <c r="IW27" s="262">
        <v>289459.397</v>
      </c>
      <c r="IX27" s="262">
        <v>348172.08299999998</v>
      </c>
      <c r="IY27" s="263">
        <v>-0.168631228253875</v>
      </c>
      <c r="IZ27" s="262">
        <v>1521095.1980000001</v>
      </c>
      <c r="JA27" s="262">
        <v>1478353.3119999999</v>
      </c>
      <c r="JB27" s="263">
        <v>2.89118207758986E-2</v>
      </c>
      <c r="JC27" s="262">
        <v>0</v>
      </c>
      <c r="JD27" s="262">
        <v>0</v>
      </c>
      <c r="JE27" s="263">
        <v>0</v>
      </c>
      <c r="JF27" s="262">
        <v>0</v>
      </c>
      <c r="JG27" s="262">
        <v>0</v>
      </c>
      <c r="JH27" s="263">
        <v>0</v>
      </c>
      <c r="JI27" s="262">
        <v>0</v>
      </c>
      <c r="JJ27" s="262">
        <v>0</v>
      </c>
      <c r="JK27" s="264">
        <v>0</v>
      </c>
      <c r="JL27" s="262">
        <v>-85306.027000000002</v>
      </c>
      <c r="JM27" s="262">
        <v>-109362.35</v>
      </c>
      <c r="JN27" s="263">
        <v>-0.21996896555350201</v>
      </c>
      <c r="JO27" s="262">
        <v>-374765.424</v>
      </c>
      <c r="JP27" s="262">
        <v>-457534.43300000002</v>
      </c>
      <c r="JQ27" s="263">
        <v>-0.180902251350337</v>
      </c>
      <c r="JR27" s="262">
        <v>-1497038.875</v>
      </c>
      <c r="JS27" s="262">
        <v>-1489682.2479999999</v>
      </c>
      <c r="JT27" s="263">
        <v>4.93838669949707E-3</v>
      </c>
      <c r="JU27" s="262">
        <v>0</v>
      </c>
      <c r="JV27" s="262">
        <v>0</v>
      </c>
      <c r="JW27" s="263">
        <v>0</v>
      </c>
      <c r="JX27" s="262">
        <v>0</v>
      </c>
      <c r="JY27" s="262">
        <v>0</v>
      </c>
      <c r="JZ27" s="263">
        <v>0</v>
      </c>
      <c r="KA27" s="262">
        <v>0</v>
      </c>
      <c r="KB27" s="262">
        <v>0</v>
      </c>
      <c r="KC27" s="263">
        <v>0</v>
      </c>
      <c r="KD27" s="262">
        <v>0</v>
      </c>
      <c r="KE27" s="262">
        <v>0</v>
      </c>
      <c r="KF27" s="263">
        <v>0</v>
      </c>
      <c r="KG27" s="262">
        <v>0</v>
      </c>
      <c r="KH27" s="262">
        <v>0</v>
      </c>
      <c r="KI27" s="263">
        <v>0</v>
      </c>
      <c r="KJ27" s="262">
        <v>0</v>
      </c>
      <c r="KK27" s="262">
        <v>0</v>
      </c>
      <c r="KL27" s="263">
        <v>0</v>
      </c>
      <c r="KM27" s="262">
        <v>85306.769</v>
      </c>
      <c r="KN27" s="262">
        <v>109362.35</v>
      </c>
      <c r="KO27" s="263">
        <v>-0.21996218076879301</v>
      </c>
      <c r="KP27" s="262">
        <v>374766.16600000003</v>
      </c>
      <c r="KQ27" s="262">
        <v>457534.43300000002</v>
      </c>
      <c r="KR27" s="263">
        <v>-0.18090062961447101</v>
      </c>
      <c r="KS27" s="262">
        <v>1497039.6170000001</v>
      </c>
      <c r="KT27" s="262">
        <v>1489682.2479999999</v>
      </c>
      <c r="KU27" s="263">
        <v>4.9388847922957699E-3</v>
      </c>
      <c r="KV27" s="262">
        <v>0</v>
      </c>
      <c r="KW27" s="262">
        <v>0</v>
      </c>
      <c r="KX27" s="263">
        <v>0</v>
      </c>
      <c r="KY27" s="262">
        <v>0</v>
      </c>
      <c r="KZ27" s="262">
        <v>0</v>
      </c>
      <c r="LA27" s="263">
        <v>0</v>
      </c>
      <c r="LB27" s="262">
        <v>0</v>
      </c>
      <c r="LC27" s="262">
        <v>0</v>
      </c>
      <c r="LD27" s="264">
        <v>0</v>
      </c>
      <c r="LE27" s="262">
        <v>-110447.626</v>
      </c>
      <c r="LF27" s="262">
        <v>-117764.88400000001</v>
      </c>
      <c r="LG27" s="263">
        <v>-6.2134464463956901E-2</v>
      </c>
      <c r="LH27" s="262">
        <v>-485213.05</v>
      </c>
      <c r="LI27" s="262">
        <v>-575299.31700000004</v>
      </c>
      <c r="LJ27" s="263">
        <v>-0.15659025543393801</v>
      </c>
      <c r="LK27" s="262">
        <v>-1489721.6170000001</v>
      </c>
      <c r="LL27" s="262">
        <v>-1488684.716</v>
      </c>
      <c r="LM27" s="263">
        <v>6.9652155950533103E-4</v>
      </c>
      <c r="LN27" s="262">
        <v>0</v>
      </c>
      <c r="LO27" s="262">
        <v>0</v>
      </c>
      <c r="LP27" s="263">
        <v>0</v>
      </c>
      <c r="LQ27" s="262">
        <v>0</v>
      </c>
      <c r="LR27" s="262">
        <v>0</v>
      </c>
      <c r="LS27" s="263">
        <v>0</v>
      </c>
      <c r="LT27" s="262">
        <v>0</v>
      </c>
      <c r="LU27" s="262">
        <v>0</v>
      </c>
      <c r="LV27" s="263">
        <v>0</v>
      </c>
      <c r="LW27" s="262">
        <v>0</v>
      </c>
      <c r="LX27" s="262">
        <v>0</v>
      </c>
      <c r="LY27" s="263">
        <v>0</v>
      </c>
      <c r="LZ27" s="262">
        <v>0</v>
      </c>
      <c r="MA27" s="262">
        <v>0</v>
      </c>
      <c r="MB27" s="263">
        <v>0</v>
      </c>
      <c r="MC27" s="262">
        <v>0</v>
      </c>
      <c r="MD27" s="262">
        <v>0</v>
      </c>
      <c r="ME27" s="263">
        <v>0</v>
      </c>
      <c r="MF27" s="262">
        <v>110447.626</v>
      </c>
      <c r="MG27" s="262">
        <v>117764.88400000001</v>
      </c>
      <c r="MH27" s="263">
        <v>-6.2134464463956901E-2</v>
      </c>
      <c r="MI27" s="262">
        <v>485213.79200000002</v>
      </c>
      <c r="MJ27" s="262">
        <v>575299.31700000004</v>
      </c>
      <c r="MK27" s="263">
        <v>-0.15658896567054301</v>
      </c>
      <c r="ML27" s="262">
        <v>1489722.3589999999</v>
      </c>
      <c r="MM27" s="262">
        <v>1488684.716</v>
      </c>
      <c r="MN27" s="263">
        <v>6.9701998606394198E-4</v>
      </c>
      <c r="MO27" s="262">
        <v>0</v>
      </c>
      <c r="MP27" s="262">
        <v>0</v>
      </c>
      <c r="MQ27" s="263">
        <v>0</v>
      </c>
      <c r="MR27" s="262">
        <v>0</v>
      </c>
      <c r="MS27" s="262">
        <v>0</v>
      </c>
      <c r="MT27" s="263">
        <v>0</v>
      </c>
      <c r="MU27" s="262">
        <v>0</v>
      </c>
      <c r="MV27" s="262">
        <v>0</v>
      </c>
      <c r="MW27" s="264">
        <v>0</v>
      </c>
      <c r="MX27" s="262">
        <v>-171035.32399999999</v>
      </c>
      <c r="MY27" s="262">
        <v>-145363.58900000001</v>
      </c>
      <c r="MZ27" s="263">
        <v>0.17660361288960699</v>
      </c>
      <c r="NA27" s="262">
        <v>-656248.37399999995</v>
      </c>
      <c r="NB27" s="262">
        <v>-720662.90599999996</v>
      </c>
      <c r="NC27" s="263">
        <v>-8.9382333215302201E-2</v>
      </c>
      <c r="ND27" s="262">
        <v>-1515393.352</v>
      </c>
      <c r="NE27" s="262">
        <v>-1509698.1710000001</v>
      </c>
      <c r="NF27" s="263">
        <v>3.7723970985720102E-3</v>
      </c>
      <c r="NG27" s="262">
        <v>0</v>
      </c>
      <c r="NH27" s="262">
        <v>0</v>
      </c>
      <c r="NI27" s="263">
        <v>0</v>
      </c>
      <c r="NJ27" s="262">
        <v>0</v>
      </c>
      <c r="NK27" s="262">
        <v>0</v>
      </c>
      <c r="NL27" s="263">
        <v>0</v>
      </c>
      <c r="NM27" s="262">
        <v>0</v>
      </c>
      <c r="NN27" s="262">
        <v>0</v>
      </c>
      <c r="NO27" s="263">
        <v>0</v>
      </c>
      <c r="NP27" s="262">
        <v>0</v>
      </c>
      <c r="NQ27" s="262">
        <v>0</v>
      </c>
      <c r="NR27" s="263">
        <v>0</v>
      </c>
      <c r="NS27" s="262">
        <v>0</v>
      </c>
      <c r="NT27" s="262">
        <v>0</v>
      </c>
      <c r="NU27" s="263">
        <v>0</v>
      </c>
      <c r="NV27" s="262">
        <v>0</v>
      </c>
      <c r="NW27" s="262">
        <v>0</v>
      </c>
      <c r="NX27" s="263">
        <v>0</v>
      </c>
      <c r="NY27" s="262">
        <v>171035.32399999999</v>
      </c>
      <c r="NZ27" s="262">
        <v>145363.58900000001</v>
      </c>
      <c r="OA27" s="263">
        <v>0.17660361288960699</v>
      </c>
      <c r="OB27" s="262">
        <v>656249.11600000004</v>
      </c>
      <c r="OC27" s="262">
        <v>720662.90599999996</v>
      </c>
      <c r="OD27" s="263">
        <v>-8.9381303607709101E-2</v>
      </c>
      <c r="OE27" s="262">
        <v>1515394.094</v>
      </c>
      <c r="OF27" s="262">
        <v>1509698.1710000001</v>
      </c>
      <c r="OG27" s="263">
        <v>3.7728885875426802E-3</v>
      </c>
      <c r="OH27" s="262">
        <v>0</v>
      </c>
      <c r="OI27" s="262">
        <v>0</v>
      </c>
      <c r="OJ27" s="263">
        <v>0</v>
      </c>
      <c r="OK27" s="262">
        <v>0</v>
      </c>
      <c r="OL27" s="262">
        <v>0</v>
      </c>
      <c r="OM27" s="263">
        <v>0</v>
      </c>
      <c r="ON27" s="262">
        <v>0</v>
      </c>
      <c r="OO27" s="262">
        <v>0</v>
      </c>
      <c r="OP27" s="264">
        <v>0</v>
      </c>
      <c r="OQ27" s="262">
        <v>-188427.815</v>
      </c>
      <c r="OR27" s="262">
        <v>-208454.38699999999</v>
      </c>
      <c r="OS27" s="263">
        <v>-9.6071722395556905E-2</v>
      </c>
      <c r="OT27" s="262">
        <v>-844676.18900000001</v>
      </c>
      <c r="OU27" s="262">
        <v>-929117.29299999995</v>
      </c>
      <c r="OV27" s="263">
        <v>-9.0883147516661197E-2</v>
      </c>
      <c r="OW27" s="262">
        <v>-1495366.78</v>
      </c>
      <c r="OX27" s="262">
        <v>-1549604.7339999999</v>
      </c>
      <c r="OY27" s="263">
        <v>-3.5001154042679797E-2</v>
      </c>
      <c r="OZ27" s="262">
        <v>0</v>
      </c>
      <c r="PA27" s="262">
        <v>0</v>
      </c>
      <c r="PB27" s="263">
        <v>0</v>
      </c>
      <c r="PC27" s="262">
        <v>0</v>
      </c>
      <c r="PD27" s="262">
        <v>0</v>
      </c>
      <c r="PE27" s="263">
        <v>0</v>
      </c>
      <c r="PF27" s="262">
        <v>0</v>
      </c>
      <c r="PG27" s="262">
        <v>0</v>
      </c>
      <c r="PH27" s="263">
        <v>0</v>
      </c>
      <c r="PI27" s="262">
        <v>0</v>
      </c>
      <c r="PJ27" s="262">
        <v>0</v>
      </c>
      <c r="PK27" s="263">
        <v>0</v>
      </c>
      <c r="PL27" s="262">
        <v>0</v>
      </c>
      <c r="PM27" s="262">
        <v>0</v>
      </c>
      <c r="PN27" s="263">
        <v>0</v>
      </c>
      <c r="PO27" s="262">
        <v>0</v>
      </c>
      <c r="PP27" s="262">
        <v>0</v>
      </c>
      <c r="PQ27" s="263">
        <v>0</v>
      </c>
      <c r="PR27" s="262">
        <v>188427.815</v>
      </c>
      <c r="PS27" s="262">
        <v>208454.38699999999</v>
      </c>
      <c r="PT27" s="263">
        <v>-9.6071722395556905E-2</v>
      </c>
      <c r="PU27" s="262">
        <v>844676.93099999998</v>
      </c>
      <c r="PV27" s="262">
        <v>929117.29299999995</v>
      </c>
      <c r="PW27" s="263">
        <v>-9.0882348909202798E-2</v>
      </c>
      <c r="PX27" s="262">
        <v>1495367.5220000001</v>
      </c>
      <c r="PY27" s="262">
        <v>1549604.7339999999</v>
      </c>
      <c r="PZ27" s="263">
        <v>-3.5000675210895303E-2</v>
      </c>
      <c r="QA27" s="262">
        <v>0</v>
      </c>
      <c r="QB27" s="262">
        <v>0</v>
      </c>
      <c r="QC27" s="263">
        <v>0</v>
      </c>
      <c r="QD27" s="262">
        <v>0</v>
      </c>
      <c r="QE27" s="262">
        <v>0</v>
      </c>
      <c r="QF27" s="263">
        <v>0</v>
      </c>
      <c r="QG27" s="262">
        <v>0</v>
      </c>
      <c r="QH27" s="262">
        <v>0</v>
      </c>
      <c r="QI27" s="264">
        <v>0</v>
      </c>
      <c r="QJ27" s="262">
        <v>-208611.20199999999</v>
      </c>
      <c r="QK27" s="262">
        <v>-187956.546</v>
      </c>
      <c r="QL27" s="263">
        <v>0.109890591413613</v>
      </c>
      <c r="QM27" s="262">
        <v>-1053287.3910000001</v>
      </c>
      <c r="QN27" s="262">
        <v>-1117073.8389999999</v>
      </c>
      <c r="QO27" s="263">
        <v>-5.7101371255011399E-2</v>
      </c>
      <c r="QP27" s="262">
        <v>-1516021.436</v>
      </c>
      <c r="QQ27" s="262">
        <v>-1562551.9890000001</v>
      </c>
      <c r="QR27" s="263">
        <v>-2.9778563099061201E-2</v>
      </c>
      <c r="QS27" s="262">
        <v>0</v>
      </c>
      <c r="QT27" s="262">
        <v>0</v>
      </c>
      <c r="QU27" s="263">
        <v>0</v>
      </c>
      <c r="QV27" s="262">
        <v>0</v>
      </c>
      <c r="QW27" s="262">
        <v>0</v>
      </c>
      <c r="QX27" s="263">
        <v>0</v>
      </c>
      <c r="QY27" s="262">
        <v>0</v>
      </c>
      <c r="QZ27" s="262">
        <v>0</v>
      </c>
      <c r="RA27" s="263">
        <v>0</v>
      </c>
      <c r="RB27" s="262">
        <v>0</v>
      </c>
      <c r="RC27" s="262">
        <v>0</v>
      </c>
      <c r="RD27" s="263">
        <v>0</v>
      </c>
      <c r="RE27" s="262">
        <v>0</v>
      </c>
      <c r="RF27" s="262">
        <v>0</v>
      </c>
      <c r="RG27" s="263">
        <v>0</v>
      </c>
      <c r="RH27" s="262">
        <v>0</v>
      </c>
      <c r="RI27" s="262">
        <v>0</v>
      </c>
      <c r="RJ27" s="263">
        <v>0</v>
      </c>
      <c r="RK27" s="262">
        <v>208611.20199999999</v>
      </c>
      <c r="RL27" s="262">
        <v>187956.546</v>
      </c>
      <c r="RM27" s="263">
        <v>0.109890591413613</v>
      </c>
      <c r="RN27" s="262">
        <v>1053288.1329999999</v>
      </c>
      <c r="RO27" s="262">
        <v>1117073.8389999999</v>
      </c>
      <c r="RP27" s="263">
        <v>-5.7100707019601099E-2</v>
      </c>
      <c r="RQ27" s="262">
        <v>1516022.1780000001</v>
      </c>
      <c r="RR27" s="262">
        <v>1562551.9890000001</v>
      </c>
      <c r="RS27" s="263">
        <v>-2.9778088234861302E-2</v>
      </c>
      <c r="RT27" s="262">
        <v>0</v>
      </c>
      <c r="RU27" s="262">
        <v>0</v>
      </c>
      <c r="RV27" s="263">
        <v>0</v>
      </c>
      <c r="RW27" s="262">
        <v>0</v>
      </c>
      <c r="RX27" s="262">
        <v>0</v>
      </c>
      <c r="RY27" s="263">
        <v>0</v>
      </c>
      <c r="RZ27" s="262">
        <v>0</v>
      </c>
      <c r="SA27" s="262">
        <v>0</v>
      </c>
      <c r="SB27" s="264">
        <v>0</v>
      </c>
      <c r="SC27" s="262">
        <v>-166212.17300000001</v>
      </c>
      <c r="SD27" s="262">
        <v>-162009.15900000001</v>
      </c>
      <c r="SE27" s="263">
        <v>2.5943064120220499E-2</v>
      </c>
      <c r="SF27" s="262">
        <v>-1219499.564</v>
      </c>
      <c r="SG27" s="262">
        <v>-1279082.9979999999</v>
      </c>
      <c r="SH27" s="263">
        <v>-4.6582930187615501E-2</v>
      </c>
      <c r="SI27" s="262">
        <v>-1520224.45</v>
      </c>
      <c r="SJ27" s="262">
        <v>-1593706.446</v>
      </c>
      <c r="SK27" s="263">
        <v>-4.6107610460151202E-2</v>
      </c>
      <c r="SL27" s="262">
        <v>0</v>
      </c>
      <c r="SM27" s="262">
        <v>0</v>
      </c>
      <c r="SN27" s="263">
        <v>0</v>
      </c>
      <c r="SO27" s="262">
        <v>0</v>
      </c>
      <c r="SP27" s="262">
        <v>0</v>
      </c>
      <c r="SQ27" s="263">
        <v>0</v>
      </c>
      <c r="SR27" s="262">
        <v>0</v>
      </c>
      <c r="SS27" s="262">
        <v>0</v>
      </c>
      <c r="ST27" s="263">
        <v>0</v>
      </c>
      <c r="SU27" s="262">
        <v>0</v>
      </c>
      <c r="SV27" s="262">
        <v>0</v>
      </c>
      <c r="SW27" s="263">
        <v>0</v>
      </c>
      <c r="SX27" s="262">
        <v>0</v>
      </c>
      <c r="SY27" s="262">
        <v>0</v>
      </c>
      <c r="SZ27" s="263">
        <v>0</v>
      </c>
      <c r="TA27" s="262">
        <v>0</v>
      </c>
      <c r="TB27" s="262">
        <v>0</v>
      </c>
      <c r="TC27" s="263">
        <v>0</v>
      </c>
      <c r="TD27" s="262">
        <v>166212.17300000001</v>
      </c>
      <c r="TE27" s="262">
        <v>162009.15900000001</v>
      </c>
      <c r="TF27" s="263">
        <v>2.5943064120220499E-2</v>
      </c>
      <c r="TG27" s="262">
        <v>1219500.3060000001</v>
      </c>
      <c r="TH27" s="262">
        <v>1279082.9979999999</v>
      </c>
      <c r="TI27" s="263">
        <v>-4.6582350084525E-2</v>
      </c>
      <c r="TJ27" s="262">
        <v>1520225.192</v>
      </c>
      <c r="TK27" s="262">
        <v>1593706.446</v>
      </c>
      <c r="TL27" s="263">
        <v>-4.6107144878800299E-2</v>
      </c>
      <c r="TM27" s="262">
        <v>0</v>
      </c>
      <c r="TN27" s="262">
        <v>0</v>
      </c>
      <c r="TO27" s="263">
        <v>0</v>
      </c>
      <c r="TP27" s="262">
        <v>0</v>
      </c>
      <c r="TQ27" s="262">
        <v>0</v>
      </c>
      <c r="TR27" s="263">
        <v>0</v>
      </c>
      <c r="TS27" s="262">
        <v>0</v>
      </c>
      <c r="TT27" s="262">
        <v>0</v>
      </c>
      <c r="TU27" s="264">
        <v>0</v>
      </c>
      <c r="TV27" s="262">
        <v>-119297.056</v>
      </c>
      <c r="TW27" s="262">
        <v>-144544.43599999999</v>
      </c>
      <c r="TX27" s="263">
        <v>-0.17466863961474099</v>
      </c>
      <c r="TY27" s="262">
        <v>-1338796.6200000001</v>
      </c>
      <c r="TZ27" s="262">
        <v>-1423627.4339999999</v>
      </c>
      <c r="UA27" s="263">
        <v>-5.9587791000661298E-2</v>
      </c>
      <c r="UB27" s="262">
        <v>-1494977.07</v>
      </c>
      <c r="UC27" s="262">
        <v>-1606803.392</v>
      </c>
      <c r="UD27" s="263">
        <v>-6.9595522735864307E-2</v>
      </c>
      <c r="UE27" s="262">
        <v>0</v>
      </c>
      <c r="UF27" s="262">
        <v>0</v>
      </c>
      <c r="UG27" s="263">
        <v>0</v>
      </c>
      <c r="UH27" s="262">
        <v>0</v>
      </c>
      <c r="UI27" s="262">
        <v>0</v>
      </c>
      <c r="UJ27" s="263">
        <v>0</v>
      </c>
      <c r="UK27" s="262">
        <v>0</v>
      </c>
      <c r="UL27" s="262">
        <v>0</v>
      </c>
      <c r="UM27" s="263">
        <v>0</v>
      </c>
      <c r="UN27" s="262">
        <v>0</v>
      </c>
      <c r="UO27" s="262">
        <v>0</v>
      </c>
      <c r="UP27" s="263">
        <v>0</v>
      </c>
      <c r="UQ27" s="262">
        <v>0</v>
      </c>
      <c r="UR27" s="262">
        <v>0</v>
      </c>
      <c r="US27" s="263">
        <v>0</v>
      </c>
      <c r="UT27" s="262">
        <v>0</v>
      </c>
      <c r="UU27" s="262">
        <v>0</v>
      </c>
      <c r="UV27" s="263">
        <v>0</v>
      </c>
      <c r="UW27" s="262">
        <v>119228.60799999999</v>
      </c>
      <c r="UX27" s="262">
        <v>144544.43599999999</v>
      </c>
      <c r="UY27" s="263">
        <v>-0.17514218257422201</v>
      </c>
      <c r="UZ27" s="262">
        <v>1338728.9140000001</v>
      </c>
      <c r="VA27" s="262">
        <v>1423627.4339999999</v>
      </c>
      <c r="VB27" s="263">
        <v>-5.9635349791945499E-2</v>
      </c>
      <c r="VC27" s="262">
        <v>1494909.3640000001</v>
      </c>
      <c r="VD27" s="262">
        <v>1606803.392</v>
      </c>
      <c r="VE27" s="263">
        <v>-6.9637659813951897E-2</v>
      </c>
      <c r="VF27" s="262">
        <v>0</v>
      </c>
      <c r="VG27" s="262">
        <v>0</v>
      </c>
      <c r="VH27" s="263">
        <v>0</v>
      </c>
      <c r="VI27" s="262">
        <v>0</v>
      </c>
      <c r="VJ27" s="262">
        <v>0</v>
      </c>
      <c r="VK27" s="263">
        <v>0</v>
      </c>
      <c r="VL27" s="262">
        <v>0</v>
      </c>
      <c r="VM27" s="262">
        <v>0</v>
      </c>
      <c r="VN27" s="264">
        <v>0</v>
      </c>
    </row>
    <row r="28" spans="1:586" ht="21">
      <c r="A28" s="268" t="s">
        <v>116</v>
      </c>
      <c r="B28" s="262">
        <v>-889269.18700000003</v>
      </c>
      <c r="C28" s="262">
        <v>-374740.902</v>
      </c>
      <c r="D28" s="263">
        <v>1.3730240874533599</v>
      </c>
      <c r="E28" s="262">
        <v>-9243021.4849999994</v>
      </c>
      <c r="F28" s="262">
        <v>-12334728.583000001</v>
      </c>
      <c r="G28" s="263">
        <v>-0.25065059820295199</v>
      </c>
      <c r="H28" s="262">
        <v>-10865048.249</v>
      </c>
      <c r="I28" s="262">
        <v>-15085853.620999999</v>
      </c>
      <c r="J28" s="263">
        <v>-0.27978565071879702</v>
      </c>
      <c r="K28" s="262">
        <v>0</v>
      </c>
      <c r="L28" s="262">
        <v>0</v>
      </c>
      <c r="M28" s="263">
        <v>0</v>
      </c>
      <c r="N28" s="262">
        <v>0</v>
      </c>
      <c r="O28" s="262">
        <v>0</v>
      </c>
      <c r="P28" s="263">
        <v>0</v>
      </c>
      <c r="Q28" s="262">
        <v>0</v>
      </c>
      <c r="R28" s="262">
        <v>0</v>
      </c>
      <c r="S28" s="263">
        <v>0</v>
      </c>
      <c r="T28" s="262">
        <v>0</v>
      </c>
      <c r="U28" s="262">
        <v>0</v>
      </c>
      <c r="V28" s="263">
        <v>0</v>
      </c>
      <c r="W28" s="262">
        <v>0</v>
      </c>
      <c r="X28" s="262">
        <v>0</v>
      </c>
      <c r="Y28" s="263">
        <v>0</v>
      </c>
      <c r="Z28" s="262">
        <v>0</v>
      </c>
      <c r="AA28" s="262">
        <v>0</v>
      </c>
      <c r="AB28" s="263">
        <v>0</v>
      </c>
      <c r="AC28" s="262">
        <v>0</v>
      </c>
      <c r="AD28" s="262">
        <v>0</v>
      </c>
      <c r="AE28" s="263">
        <v>0</v>
      </c>
      <c r="AF28" s="262">
        <v>0</v>
      </c>
      <c r="AG28" s="262">
        <v>0</v>
      </c>
      <c r="AH28" s="263">
        <v>0</v>
      </c>
      <c r="AI28" s="262">
        <v>0</v>
      </c>
      <c r="AJ28" s="262">
        <v>0</v>
      </c>
      <c r="AK28" s="263">
        <v>0</v>
      </c>
      <c r="AL28" s="262">
        <v>0</v>
      </c>
      <c r="AM28" s="262">
        <v>0</v>
      </c>
      <c r="AN28" s="263">
        <v>0</v>
      </c>
      <c r="AO28" s="262">
        <v>0</v>
      </c>
      <c r="AP28" s="262">
        <v>0</v>
      </c>
      <c r="AQ28" s="263">
        <v>0</v>
      </c>
      <c r="AR28" s="262">
        <v>0</v>
      </c>
      <c r="AS28" s="262">
        <v>0</v>
      </c>
      <c r="AT28" s="264">
        <v>0</v>
      </c>
      <c r="AU28" s="262">
        <v>-389553.408</v>
      </c>
      <c r="AV28" s="262">
        <v>-852042.89099999995</v>
      </c>
      <c r="AW28" s="263">
        <v>-0.54280070626162902</v>
      </c>
      <c r="AX28" s="262">
        <v>-9632574.8929999992</v>
      </c>
      <c r="AY28" s="262">
        <v>-13186771.473999999</v>
      </c>
      <c r="AZ28" s="263">
        <v>-0.26952742663416202</v>
      </c>
      <c r="BA28" s="262">
        <v>-10402558.766000001</v>
      </c>
      <c r="BB28" s="262">
        <v>-14304000.419</v>
      </c>
      <c r="BC28" s="263">
        <v>-0.27275178542484602</v>
      </c>
      <c r="BD28" s="262">
        <v>0</v>
      </c>
      <c r="BE28" s="262">
        <v>0</v>
      </c>
      <c r="BF28" s="263">
        <v>0</v>
      </c>
      <c r="BG28" s="262">
        <v>0</v>
      </c>
      <c r="BH28" s="262">
        <v>0</v>
      </c>
      <c r="BI28" s="263">
        <v>0</v>
      </c>
      <c r="BJ28" s="262">
        <v>0</v>
      </c>
      <c r="BK28" s="262">
        <v>0</v>
      </c>
      <c r="BL28" s="263">
        <v>0</v>
      </c>
      <c r="BM28" s="262">
        <v>0</v>
      </c>
      <c r="BN28" s="262">
        <v>0</v>
      </c>
      <c r="BO28" s="263">
        <v>0</v>
      </c>
      <c r="BP28" s="262">
        <v>0</v>
      </c>
      <c r="BQ28" s="262">
        <v>0</v>
      </c>
      <c r="BR28" s="263">
        <v>0</v>
      </c>
      <c r="BS28" s="262">
        <v>0</v>
      </c>
      <c r="BT28" s="262">
        <v>0</v>
      </c>
      <c r="BU28" s="263">
        <v>0</v>
      </c>
      <c r="BV28" s="262">
        <v>0</v>
      </c>
      <c r="BW28" s="262">
        <v>0</v>
      </c>
      <c r="BX28" s="263">
        <v>0</v>
      </c>
      <c r="BY28" s="262">
        <v>0</v>
      </c>
      <c r="BZ28" s="262">
        <v>0</v>
      </c>
      <c r="CA28" s="263">
        <v>0</v>
      </c>
      <c r="CB28" s="262">
        <v>0</v>
      </c>
      <c r="CC28" s="262">
        <v>0</v>
      </c>
      <c r="CD28" s="263">
        <v>0</v>
      </c>
      <c r="CE28" s="262">
        <v>0</v>
      </c>
      <c r="CF28" s="262">
        <v>0</v>
      </c>
      <c r="CG28" s="263">
        <v>0</v>
      </c>
      <c r="CH28" s="262">
        <v>0</v>
      </c>
      <c r="CI28" s="262">
        <v>0</v>
      </c>
      <c r="CJ28" s="263">
        <v>0</v>
      </c>
      <c r="CK28" s="262">
        <v>0</v>
      </c>
      <c r="CL28" s="262">
        <v>0</v>
      </c>
      <c r="CM28" s="264">
        <v>0</v>
      </c>
      <c r="CN28" s="262">
        <v>-594419.84199999995</v>
      </c>
      <c r="CO28" s="262">
        <v>-769983.87300000002</v>
      </c>
      <c r="CP28" s="263">
        <v>-0.22801001054212999</v>
      </c>
      <c r="CQ28" s="262">
        <v>-10226994.734999999</v>
      </c>
      <c r="CR28" s="262">
        <v>-13956755.346999999</v>
      </c>
      <c r="CS28" s="263">
        <v>-0.26723694148595301</v>
      </c>
      <c r="CT28" s="262">
        <v>-10226994.734999999</v>
      </c>
      <c r="CU28" s="262">
        <v>-13956755.346999999</v>
      </c>
      <c r="CV28" s="263">
        <v>-0.26723694148595301</v>
      </c>
      <c r="CW28" s="262">
        <v>0</v>
      </c>
      <c r="CX28" s="262">
        <v>0</v>
      </c>
      <c r="CY28" s="263">
        <v>0</v>
      </c>
      <c r="CZ28" s="262">
        <v>0</v>
      </c>
      <c r="DA28" s="262">
        <v>0</v>
      </c>
      <c r="DB28" s="263">
        <v>0</v>
      </c>
      <c r="DC28" s="262">
        <v>0</v>
      </c>
      <c r="DD28" s="262">
        <v>0</v>
      </c>
      <c r="DE28" s="263">
        <v>0</v>
      </c>
      <c r="DF28" s="262">
        <v>0</v>
      </c>
      <c r="DG28" s="262">
        <v>0</v>
      </c>
      <c r="DH28" s="263">
        <v>0</v>
      </c>
      <c r="DI28" s="262">
        <v>0</v>
      </c>
      <c r="DJ28" s="262">
        <v>0</v>
      </c>
      <c r="DK28" s="263">
        <v>0</v>
      </c>
      <c r="DL28" s="262">
        <v>0</v>
      </c>
      <c r="DM28" s="262">
        <v>0</v>
      </c>
      <c r="DN28" s="263">
        <v>0</v>
      </c>
      <c r="DO28" s="262">
        <v>0</v>
      </c>
      <c r="DP28" s="262">
        <v>0</v>
      </c>
      <c r="DQ28" s="263">
        <v>0</v>
      </c>
      <c r="DR28" s="262">
        <v>0</v>
      </c>
      <c r="DS28" s="262">
        <v>0</v>
      </c>
      <c r="DT28" s="263">
        <v>0</v>
      </c>
      <c r="DU28" s="262">
        <v>0</v>
      </c>
      <c r="DV28" s="262">
        <v>0</v>
      </c>
      <c r="DW28" s="263">
        <v>0</v>
      </c>
      <c r="DX28" s="262">
        <v>0</v>
      </c>
      <c r="DY28" s="262">
        <v>0</v>
      </c>
      <c r="DZ28" s="263">
        <v>0</v>
      </c>
      <c r="EA28" s="262">
        <v>0</v>
      </c>
      <c r="EB28" s="262">
        <v>0</v>
      </c>
      <c r="EC28" s="263">
        <v>0</v>
      </c>
      <c r="ED28" s="262">
        <v>0</v>
      </c>
      <c r="EE28" s="262">
        <v>0</v>
      </c>
      <c r="EF28" s="264">
        <v>0</v>
      </c>
      <c r="EG28" s="262">
        <v>-1098011.8430000001</v>
      </c>
      <c r="EH28" s="262">
        <v>-489047.81300000002</v>
      </c>
      <c r="EI28" s="263">
        <v>1.2452034623453101</v>
      </c>
      <c r="EJ28" s="262">
        <v>-1098011.8430000001</v>
      </c>
      <c r="EK28" s="262">
        <v>-489047.81300000002</v>
      </c>
      <c r="EL28" s="263">
        <v>1.2452034623453101</v>
      </c>
      <c r="EM28" s="262">
        <v>-10835958.765000001</v>
      </c>
      <c r="EN28" s="262">
        <v>-13523089.937999999</v>
      </c>
      <c r="EO28" s="263">
        <v>-0.19870689208751999</v>
      </c>
      <c r="EP28" s="262">
        <v>0</v>
      </c>
      <c r="EQ28" s="262">
        <v>0</v>
      </c>
      <c r="ER28" s="263">
        <v>0</v>
      </c>
      <c r="ES28" s="262">
        <v>0</v>
      </c>
      <c r="ET28" s="262">
        <v>0</v>
      </c>
      <c r="EU28" s="263">
        <v>0</v>
      </c>
      <c r="EV28" s="262">
        <v>0</v>
      </c>
      <c r="EW28" s="262">
        <v>0</v>
      </c>
      <c r="EX28" s="263">
        <v>0</v>
      </c>
      <c r="EY28" s="262">
        <v>0</v>
      </c>
      <c r="EZ28" s="262">
        <v>0</v>
      </c>
      <c r="FA28" s="263">
        <v>0</v>
      </c>
      <c r="FB28" s="262">
        <v>0</v>
      </c>
      <c r="FC28" s="262">
        <v>0</v>
      </c>
      <c r="FD28" s="263">
        <v>0</v>
      </c>
      <c r="FE28" s="262">
        <v>0</v>
      </c>
      <c r="FF28" s="262">
        <v>0</v>
      </c>
      <c r="FG28" s="263">
        <v>0</v>
      </c>
      <c r="FH28" s="262">
        <v>0</v>
      </c>
      <c r="FI28" s="262">
        <v>0</v>
      </c>
      <c r="FJ28" s="263">
        <v>0</v>
      </c>
      <c r="FK28" s="262">
        <v>0</v>
      </c>
      <c r="FL28" s="262">
        <v>0</v>
      </c>
      <c r="FM28" s="263">
        <v>0</v>
      </c>
      <c r="FN28" s="262">
        <v>0</v>
      </c>
      <c r="FO28" s="262">
        <v>0</v>
      </c>
      <c r="FP28" s="263">
        <v>0</v>
      </c>
      <c r="FQ28" s="262">
        <v>0</v>
      </c>
      <c r="FR28" s="262">
        <v>0</v>
      </c>
      <c r="FS28" s="263">
        <v>0</v>
      </c>
      <c r="FT28" s="262">
        <v>0</v>
      </c>
      <c r="FU28" s="262">
        <v>0</v>
      </c>
      <c r="FV28" s="263">
        <v>0</v>
      </c>
      <c r="FW28" s="262">
        <v>0</v>
      </c>
      <c r="FX28" s="262">
        <v>0</v>
      </c>
      <c r="FY28" s="264">
        <v>0</v>
      </c>
      <c r="FZ28" s="262">
        <v>-1182137.9099999999</v>
      </c>
      <c r="GA28" s="262">
        <v>-1120620.263</v>
      </c>
      <c r="GB28" s="263">
        <v>5.4896068749740103E-2</v>
      </c>
      <c r="GC28" s="262">
        <v>-2280149.753</v>
      </c>
      <c r="GD28" s="262">
        <v>-1609668.0759999999</v>
      </c>
      <c r="GE28" s="263">
        <v>0.41653412091400699</v>
      </c>
      <c r="GF28" s="262">
        <v>-10897476.412</v>
      </c>
      <c r="GG28" s="262">
        <v>-13720867.313999999</v>
      </c>
      <c r="GH28" s="263">
        <v>-0.20577350085728</v>
      </c>
      <c r="GI28" s="262">
        <v>0</v>
      </c>
      <c r="GJ28" s="262">
        <v>0</v>
      </c>
      <c r="GK28" s="263">
        <v>0</v>
      </c>
      <c r="GL28" s="262">
        <v>0</v>
      </c>
      <c r="GM28" s="262">
        <v>0</v>
      </c>
      <c r="GN28" s="263">
        <v>0</v>
      </c>
      <c r="GO28" s="262">
        <v>0</v>
      </c>
      <c r="GP28" s="262">
        <v>0</v>
      </c>
      <c r="GQ28" s="263">
        <v>0</v>
      </c>
      <c r="GR28" s="262">
        <v>0</v>
      </c>
      <c r="GS28" s="262">
        <v>0</v>
      </c>
      <c r="GT28" s="263">
        <v>0</v>
      </c>
      <c r="GU28" s="262">
        <v>0</v>
      </c>
      <c r="GV28" s="262">
        <v>0</v>
      </c>
      <c r="GW28" s="263">
        <v>0</v>
      </c>
      <c r="GX28" s="262">
        <v>0</v>
      </c>
      <c r="GY28" s="262">
        <v>0</v>
      </c>
      <c r="GZ28" s="263">
        <v>0</v>
      </c>
      <c r="HA28" s="262">
        <v>0</v>
      </c>
      <c r="HB28" s="262">
        <v>0</v>
      </c>
      <c r="HC28" s="263">
        <v>0</v>
      </c>
      <c r="HD28" s="262">
        <v>0</v>
      </c>
      <c r="HE28" s="262">
        <v>0</v>
      </c>
      <c r="HF28" s="263">
        <v>0</v>
      </c>
      <c r="HG28" s="262">
        <v>0</v>
      </c>
      <c r="HH28" s="262">
        <v>0</v>
      </c>
      <c r="HI28" s="263">
        <v>0</v>
      </c>
      <c r="HJ28" s="262">
        <v>0</v>
      </c>
      <c r="HK28" s="262">
        <v>0</v>
      </c>
      <c r="HL28" s="263">
        <v>0</v>
      </c>
      <c r="HM28" s="262">
        <v>0</v>
      </c>
      <c r="HN28" s="262">
        <v>0</v>
      </c>
      <c r="HO28" s="263">
        <v>0</v>
      </c>
      <c r="HP28" s="262">
        <v>0</v>
      </c>
      <c r="HQ28" s="262">
        <v>0</v>
      </c>
      <c r="HR28" s="264">
        <v>0</v>
      </c>
      <c r="HS28" s="262">
        <v>-1536783.1680000001</v>
      </c>
      <c r="HT28" s="262">
        <v>-833065.56799999997</v>
      </c>
      <c r="HU28" s="263">
        <v>0.84473254811078702</v>
      </c>
      <c r="HV28" s="262">
        <v>-3816932.9210000001</v>
      </c>
      <c r="HW28" s="262">
        <v>-2442733.6439999999</v>
      </c>
      <c r="HX28" s="263">
        <v>0.56256615631237505</v>
      </c>
      <c r="HY28" s="262">
        <v>-11601194.012</v>
      </c>
      <c r="HZ28" s="262">
        <v>-11947087.023</v>
      </c>
      <c r="IA28" s="263">
        <v>-2.89520793088811E-2</v>
      </c>
      <c r="IB28" s="262">
        <v>0</v>
      </c>
      <c r="IC28" s="262">
        <v>0</v>
      </c>
      <c r="ID28" s="263">
        <v>0</v>
      </c>
      <c r="IE28" s="262">
        <v>0</v>
      </c>
      <c r="IF28" s="262">
        <v>0</v>
      </c>
      <c r="IG28" s="263">
        <v>0</v>
      </c>
      <c r="IH28" s="262">
        <v>0</v>
      </c>
      <c r="II28" s="262">
        <v>0</v>
      </c>
      <c r="IJ28" s="263">
        <v>0</v>
      </c>
      <c r="IK28" s="262">
        <v>0</v>
      </c>
      <c r="IL28" s="262">
        <v>0</v>
      </c>
      <c r="IM28" s="263">
        <v>0</v>
      </c>
      <c r="IN28" s="262">
        <v>0</v>
      </c>
      <c r="IO28" s="262">
        <v>0</v>
      </c>
      <c r="IP28" s="263">
        <v>0</v>
      </c>
      <c r="IQ28" s="262">
        <v>0</v>
      </c>
      <c r="IR28" s="262">
        <v>0</v>
      </c>
      <c r="IS28" s="263">
        <v>0</v>
      </c>
      <c r="IT28" s="262">
        <v>0</v>
      </c>
      <c r="IU28" s="262">
        <v>0</v>
      </c>
      <c r="IV28" s="263">
        <v>0</v>
      </c>
      <c r="IW28" s="262">
        <v>0</v>
      </c>
      <c r="IX28" s="262">
        <v>0</v>
      </c>
      <c r="IY28" s="263">
        <v>0</v>
      </c>
      <c r="IZ28" s="262">
        <v>0</v>
      </c>
      <c r="JA28" s="262">
        <v>0</v>
      </c>
      <c r="JB28" s="263">
        <v>0</v>
      </c>
      <c r="JC28" s="262">
        <v>0</v>
      </c>
      <c r="JD28" s="262">
        <v>0</v>
      </c>
      <c r="JE28" s="263">
        <v>0</v>
      </c>
      <c r="JF28" s="262">
        <v>0</v>
      </c>
      <c r="JG28" s="262">
        <v>0</v>
      </c>
      <c r="JH28" s="263">
        <v>0</v>
      </c>
      <c r="JI28" s="262">
        <v>0</v>
      </c>
      <c r="JJ28" s="262">
        <v>0</v>
      </c>
      <c r="JK28" s="264">
        <v>0</v>
      </c>
      <c r="JL28" s="262">
        <v>-1081116.7790000001</v>
      </c>
      <c r="JM28" s="262">
        <v>-1190910.17</v>
      </c>
      <c r="JN28" s="263">
        <v>-9.2192840203891999E-2</v>
      </c>
      <c r="JO28" s="262">
        <v>-4898049.7</v>
      </c>
      <c r="JP28" s="262">
        <v>-3633643.8139999998</v>
      </c>
      <c r="JQ28" s="263">
        <v>0.34797188462126999</v>
      </c>
      <c r="JR28" s="262">
        <v>-11491400.620999999</v>
      </c>
      <c r="JS28" s="262">
        <v>-10776956.441</v>
      </c>
      <c r="JT28" s="263">
        <v>6.62936872679524E-2</v>
      </c>
      <c r="JU28" s="262">
        <v>0</v>
      </c>
      <c r="JV28" s="262">
        <v>0</v>
      </c>
      <c r="JW28" s="263">
        <v>0</v>
      </c>
      <c r="JX28" s="262">
        <v>0</v>
      </c>
      <c r="JY28" s="262">
        <v>0</v>
      </c>
      <c r="JZ28" s="263">
        <v>0</v>
      </c>
      <c r="KA28" s="262">
        <v>0</v>
      </c>
      <c r="KB28" s="262">
        <v>0</v>
      </c>
      <c r="KC28" s="263">
        <v>0</v>
      </c>
      <c r="KD28" s="262">
        <v>0</v>
      </c>
      <c r="KE28" s="262">
        <v>0</v>
      </c>
      <c r="KF28" s="263">
        <v>0</v>
      </c>
      <c r="KG28" s="262">
        <v>0</v>
      </c>
      <c r="KH28" s="262">
        <v>0</v>
      </c>
      <c r="KI28" s="263">
        <v>0</v>
      </c>
      <c r="KJ28" s="262">
        <v>0</v>
      </c>
      <c r="KK28" s="262">
        <v>0</v>
      </c>
      <c r="KL28" s="263">
        <v>0</v>
      </c>
      <c r="KM28" s="262">
        <v>0</v>
      </c>
      <c r="KN28" s="262">
        <v>0</v>
      </c>
      <c r="KO28" s="263">
        <v>0</v>
      </c>
      <c r="KP28" s="262">
        <v>0</v>
      </c>
      <c r="KQ28" s="262">
        <v>0</v>
      </c>
      <c r="KR28" s="263">
        <v>0</v>
      </c>
      <c r="KS28" s="262">
        <v>0</v>
      </c>
      <c r="KT28" s="262">
        <v>0</v>
      </c>
      <c r="KU28" s="263">
        <v>0</v>
      </c>
      <c r="KV28" s="262">
        <v>0</v>
      </c>
      <c r="KW28" s="262">
        <v>0</v>
      </c>
      <c r="KX28" s="263">
        <v>0</v>
      </c>
      <c r="KY28" s="262">
        <v>0</v>
      </c>
      <c r="KZ28" s="262">
        <v>0</v>
      </c>
      <c r="LA28" s="263">
        <v>0</v>
      </c>
      <c r="LB28" s="262">
        <v>0</v>
      </c>
      <c r="LC28" s="262">
        <v>0</v>
      </c>
      <c r="LD28" s="264">
        <v>0</v>
      </c>
      <c r="LE28" s="262">
        <v>-1001584.058</v>
      </c>
      <c r="LF28" s="262">
        <v>-992779.26599999995</v>
      </c>
      <c r="LG28" s="263">
        <v>8.86883147295707E-3</v>
      </c>
      <c r="LH28" s="262">
        <v>-5899633.7580000004</v>
      </c>
      <c r="LI28" s="262">
        <v>-4626423.08</v>
      </c>
      <c r="LJ28" s="263">
        <v>0.27520411687034901</v>
      </c>
      <c r="LK28" s="262">
        <v>-11500205.413000001</v>
      </c>
      <c r="LL28" s="262">
        <v>-10094844.739</v>
      </c>
      <c r="LM28" s="263">
        <v>0.13921567991735301</v>
      </c>
      <c r="LN28" s="262">
        <v>0</v>
      </c>
      <c r="LO28" s="262">
        <v>0</v>
      </c>
      <c r="LP28" s="263">
        <v>0</v>
      </c>
      <c r="LQ28" s="262">
        <v>0</v>
      </c>
      <c r="LR28" s="262">
        <v>0</v>
      </c>
      <c r="LS28" s="263">
        <v>0</v>
      </c>
      <c r="LT28" s="262">
        <v>0</v>
      </c>
      <c r="LU28" s="262">
        <v>0</v>
      </c>
      <c r="LV28" s="263">
        <v>0</v>
      </c>
      <c r="LW28" s="262">
        <v>0</v>
      </c>
      <c r="LX28" s="262">
        <v>0</v>
      </c>
      <c r="LY28" s="263">
        <v>0</v>
      </c>
      <c r="LZ28" s="262">
        <v>0</v>
      </c>
      <c r="MA28" s="262">
        <v>0</v>
      </c>
      <c r="MB28" s="263">
        <v>0</v>
      </c>
      <c r="MC28" s="262">
        <v>0</v>
      </c>
      <c r="MD28" s="262">
        <v>0</v>
      </c>
      <c r="ME28" s="263">
        <v>0</v>
      </c>
      <c r="MF28" s="262">
        <v>0</v>
      </c>
      <c r="MG28" s="262">
        <v>0</v>
      </c>
      <c r="MH28" s="263">
        <v>0</v>
      </c>
      <c r="MI28" s="262">
        <v>0</v>
      </c>
      <c r="MJ28" s="262">
        <v>0</v>
      </c>
      <c r="MK28" s="263">
        <v>0</v>
      </c>
      <c r="ML28" s="262">
        <v>0</v>
      </c>
      <c r="MM28" s="262">
        <v>0</v>
      </c>
      <c r="MN28" s="263">
        <v>0</v>
      </c>
      <c r="MO28" s="262">
        <v>0</v>
      </c>
      <c r="MP28" s="262">
        <v>0</v>
      </c>
      <c r="MQ28" s="263">
        <v>0</v>
      </c>
      <c r="MR28" s="262">
        <v>0</v>
      </c>
      <c r="MS28" s="262">
        <v>0</v>
      </c>
      <c r="MT28" s="263">
        <v>0</v>
      </c>
      <c r="MU28" s="262">
        <v>0</v>
      </c>
      <c r="MV28" s="262">
        <v>0</v>
      </c>
      <c r="MW28" s="264">
        <v>0</v>
      </c>
      <c r="MX28" s="262">
        <v>-1002527.289</v>
      </c>
      <c r="MY28" s="262">
        <v>-1232915.2309999999</v>
      </c>
      <c r="MZ28" s="263">
        <v>-0.186864381432887</v>
      </c>
      <c r="NA28" s="262">
        <v>-6902161.0470000003</v>
      </c>
      <c r="NB28" s="262">
        <v>-5859338.3109999998</v>
      </c>
      <c r="NC28" s="263">
        <v>0.17797619469117601</v>
      </c>
      <c r="ND28" s="262">
        <v>-11269817.471000001</v>
      </c>
      <c r="NE28" s="262">
        <v>-10256650.551000001</v>
      </c>
      <c r="NF28" s="263">
        <v>9.8781460376576702E-2</v>
      </c>
      <c r="NG28" s="262">
        <v>0</v>
      </c>
      <c r="NH28" s="262">
        <v>0</v>
      </c>
      <c r="NI28" s="263">
        <v>0</v>
      </c>
      <c r="NJ28" s="262">
        <v>0</v>
      </c>
      <c r="NK28" s="262">
        <v>0</v>
      </c>
      <c r="NL28" s="263">
        <v>0</v>
      </c>
      <c r="NM28" s="262">
        <v>0</v>
      </c>
      <c r="NN28" s="262">
        <v>0</v>
      </c>
      <c r="NO28" s="263">
        <v>0</v>
      </c>
      <c r="NP28" s="262">
        <v>0</v>
      </c>
      <c r="NQ28" s="262">
        <v>0</v>
      </c>
      <c r="NR28" s="263">
        <v>0</v>
      </c>
      <c r="NS28" s="262">
        <v>0</v>
      </c>
      <c r="NT28" s="262">
        <v>0</v>
      </c>
      <c r="NU28" s="263">
        <v>0</v>
      </c>
      <c r="NV28" s="262">
        <v>0</v>
      </c>
      <c r="NW28" s="262">
        <v>0</v>
      </c>
      <c r="NX28" s="263">
        <v>0</v>
      </c>
      <c r="NY28" s="262">
        <v>0</v>
      </c>
      <c r="NZ28" s="262">
        <v>0</v>
      </c>
      <c r="OA28" s="263">
        <v>0</v>
      </c>
      <c r="OB28" s="262">
        <v>0</v>
      </c>
      <c r="OC28" s="262">
        <v>0</v>
      </c>
      <c r="OD28" s="263">
        <v>0</v>
      </c>
      <c r="OE28" s="262">
        <v>0</v>
      </c>
      <c r="OF28" s="262">
        <v>0</v>
      </c>
      <c r="OG28" s="263">
        <v>0</v>
      </c>
      <c r="OH28" s="262">
        <v>0</v>
      </c>
      <c r="OI28" s="262">
        <v>0</v>
      </c>
      <c r="OJ28" s="263">
        <v>0</v>
      </c>
      <c r="OK28" s="262">
        <v>0</v>
      </c>
      <c r="OL28" s="262">
        <v>0</v>
      </c>
      <c r="OM28" s="263">
        <v>0</v>
      </c>
      <c r="ON28" s="262">
        <v>0</v>
      </c>
      <c r="OO28" s="262">
        <v>0</v>
      </c>
      <c r="OP28" s="264">
        <v>0</v>
      </c>
      <c r="OQ28" s="262">
        <v>-1419665.4539999999</v>
      </c>
      <c r="OR28" s="262">
        <v>-962854.09499999997</v>
      </c>
      <c r="OS28" s="263">
        <v>0.47443466395601702</v>
      </c>
      <c r="OT28" s="262">
        <v>-8321826.5010000002</v>
      </c>
      <c r="OU28" s="262">
        <v>-6822192.4060000004</v>
      </c>
      <c r="OV28" s="263">
        <v>0.21981703325768101</v>
      </c>
      <c r="OW28" s="262">
        <v>-11726628.83</v>
      </c>
      <c r="OX28" s="262">
        <v>-10707903.581</v>
      </c>
      <c r="OY28" s="263">
        <v>9.5137693507776497E-2</v>
      </c>
      <c r="OZ28" s="262">
        <v>0</v>
      </c>
      <c r="PA28" s="262">
        <v>0</v>
      </c>
      <c r="PB28" s="263">
        <v>0</v>
      </c>
      <c r="PC28" s="262">
        <v>0</v>
      </c>
      <c r="PD28" s="262">
        <v>0</v>
      </c>
      <c r="PE28" s="263">
        <v>0</v>
      </c>
      <c r="PF28" s="262">
        <v>0</v>
      </c>
      <c r="PG28" s="262">
        <v>0</v>
      </c>
      <c r="PH28" s="263">
        <v>0</v>
      </c>
      <c r="PI28" s="262">
        <v>0</v>
      </c>
      <c r="PJ28" s="262">
        <v>0</v>
      </c>
      <c r="PK28" s="263">
        <v>0</v>
      </c>
      <c r="PL28" s="262">
        <v>0</v>
      </c>
      <c r="PM28" s="262">
        <v>0</v>
      </c>
      <c r="PN28" s="263">
        <v>0</v>
      </c>
      <c r="PO28" s="262">
        <v>0</v>
      </c>
      <c r="PP28" s="262">
        <v>0</v>
      </c>
      <c r="PQ28" s="263">
        <v>0</v>
      </c>
      <c r="PR28" s="262">
        <v>0</v>
      </c>
      <c r="PS28" s="262">
        <v>0</v>
      </c>
      <c r="PT28" s="263">
        <v>0</v>
      </c>
      <c r="PU28" s="262">
        <v>0</v>
      </c>
      <c r="PV28" s="262">
        <v>0</v>
      </c>
      <c r="PW28" s="263">
        <v>0</v>
      </c>
      <c r="PX28" s="262">
        <v>0</v>
      </c>
      <c r="PY28" s="262">
        <v>0</v>
      </c>
      <c r="PZ28" s="263">
        <v>0</v>
      </c>
      <c r="QA28" s="262">
        <v>0</v>
      </c>
      <c r="QB28" s="262">
        <v>0</v>
      </c>
      <c r="QC28" s="263">
        <v>0</v>
      </c>
      <c r="QD28" s="262">
        <v>0</v>
      </c>
      <c r="QE28" s="262">
        <v>0</v>
      </c>
      <c r="QF28" s="263">
        <v>0</v>
      </c>
      <c r="QG28" s="262">
        <v>0</v>
      </c>
      <c r="QH28" s="262">
        <v>0</v>
      </c>
      <c r="QI28" s="264">
        <v>0</v>
      </c>
      <c r="QJ28" s="262">
        <v>-941573.77500000002</v>
      </c>
      <c r="QK28" s="262">
        <v>-399773.61300000001</v>
      </c>
      <c r="QL28" s="263">
        <v>1.3552674423261599</v>
      </c>
      <c r="QM28" s="262">
        <v>-9263400.2760000005</v>
      </c>
      <c r="QN28" s="262">
        <v>-7221966.0190000003</v>
      </c>
      <c r="QO28" s="263">
        <v>0.28267015541602802</v>
      </c>
      <c r="QP28" s="262">
        <v>-12268428.992000001</v>
      </c>
      <c r="QQ28" s="262">
        <v>-9863294.1239999998</v>
      </c>
      <c r="QR28" s="263">
        <v>0.24384701883194099</v>
      </c>
      <c r="QS28" s="262">
        <v>0</v>
      </c>
      <c r="QT28" s="262">
        <v>0</v>
      </c>
      <c r="QU28" s="263">
        <v>0</v>
      </c>
      <c r="QV28" s="262">
        <v>0</v>
      </c>
      <c r="QW28" s="262">
        <v>0</v>
      </c>
      <c r="QX28" s="263">
        <v>0</v>
      </c>
      <c r="QY28" s="262">
        <v>0</v>
      </c>
      <c r="QZ28" s="262">
        <v>0</v>
      </c>
      <c r="RA28" s="263">
        <v>0</v>
      </c>
      <c r="RB28" s="262">
        <v>0</v>
      </c>
      <c r="RC28" s="262">
        <v>0</v>
      </c>
      <c r="RD28" s="263">
        <v>0</v>
      </c>
      <c r="RE28" s="262">
        <v>0</v>
      </c>
      <c r="RF28" s="262">
        <v>0</v>
      </c>
      <c r="RG28" s="263">
        <v>0</v>
      </c>
      <c r="RH28" s="262">
        <v>0</v>
      </c>
      <c r="RI28" s="262">
        <v>0</v>
      </c>
      <c r="RJ28" s="263">
        <v>0</v>
      </c>
      <c r="RK28" s="262">
        <v>0</v>
      </c>
      <c r="RL28" s="262">
        <v>0</v>
      </c>
      <c r="RM28" s="263">
        <v>0</v>
      </c>
      <c r="RN28" s="262">
        <v>0</v>
      </c>
      <c r="RO28" s="262">
        <v>0</v>
      </c>
      <c r="RP28" s="263">
        <v>0</v>
      </c>
      <c r="RQ28" s="262">
        <v>0</v>
      </c>
      <c r="RR28" s="262">
        <v>0</v>
      </c>
      <c r="RS28" s="263">
        <v>0</v>
      </c>
      <c r="RT28" s="262">
        <v>0</v>
      </c>
      <c r="RU28" s="262">
        <v>0</v>
      </c>
      <c r="RV28" s="263">
        <v>0</v>
      </c>
      <c r="RW28" s="262">
        <v>0</v>
      </c>
      <c r="RX28" s="262">
        <v>0</v>
      </c>
      <c r="RY28" s="263">
        <v>0</v>
      </c>
      <c r="RZ28" s="262">
        <v>0</v>
      </c>
      <c r="SA28" s="262">
        <v>0</v>
      </c>
      <c r="SB28" s="264">
        <v>0</v>
      </c>
      <c r="SC28" s="262">
        <v>-676234.15</v>
      </c>
      <c r="SD28" s="262">
        <v>-1131786.2790000001</v>
      </c>
      <c r="SE28" s="263">
        <v>-0.40250720251044902</v>
      </c>
      <c r="SF28" s="262">
        <v>-9939634.4260000009</v>
      </c>
      <c r="SG28" s="262">
        <v>-8353752.2980000004</v>
      </c>
      <c r="SH28" s="263">
        <v>0.18984069331091899</v>
      </c>
      <c r="SI28" s="262">
        <v>-11812876.863</v>
      </c>
      <c r="SJ28" s="262">
        <v>-10350519.964</v>
      </c>
      <c r="SK28" s="263">
        <v>0.14128342383631001</v>
      </c>
      <c r="SL28" s="262">
        <v>0</v>
      </c>
      <c r="SM28" s="262">
        <v>0</v>
      </c>
      <c r="SN28" s="263">
        <v>0</v>
      </c>
      <c r="SO28" s="262">
        <v>0</v>
      </c>
      <c r="SP28" s="262">
        <v>0</v>
      </c>
      <c r="SQ28" s="263">
        <v>0</v>
      </c>
      <c r="SR28" s="262">
        <v>0</v>
      </c>
      <c r="SS28" s="262">
        <v>0</v>
      </c>
      <c r="ST28" s="263">
        <v>0</v>
      </c>
      <c r="SU28" s="262">
        <v>0</v>
      </c>
      <c r="SV28" s="262">
        <v>0</v>
      </c>
      <c r="SW28" s="263">
        <v>0</v>
      </c>
      <c r="SX28" s="262">
        <v>0</v>
      </c>
      <c r="SY28" s="262">
        <v>0</v>
      </c>
      <c r="SZ28" s="263">
        <v>0</v>
      </c>
      <c r="TA28" s="262">
        <v>0</v>
      </c>
      <c r="TB28" s="262">
        <v>0</v>
      </c>
      <c r="TC28" s="263">
        <v>0</v>
      </c>
      <c r="TD28" s="262">
        <v>0</v>
      </c>
      <c r="TE28" s="262">
        <v>0</v>
      </c>
      <c r="TF28" s="263">
        <v>0</v>
      </c>
      <c r="TG28" s="262">
        <v>0</v>
      </c>
      <c r="TH28" s="262">
        <v>0</v>
      </c>
      <c r="TI28" s="263">
        <v>0</v>
      </c>
      <c r="TJ28" s="262">
        <v>0</v>
      </c>
      <c r="TK28" s="262">
        <v>0</v>
      </c>
      <c r="TL28" s="263">
        <v>0</v>
      </c>
      <c r="TM28" s="262">
        <v>0</v>
      </c>
      <c r="TN28" s="262">
        <v>0</v>
      </c>
      <c r="TO28" s="263">
        <v>0</v>
      </c>
      <c r="TP28" s="262">
        <v>0</v>
      </c>
      <c r="TQ28" s="262">
        <v>0</v>
      </c>
      <c r="TR28" s="263">
        <v>0</v>
      </c>
      <c r="TS28" s="262">
        <v>0</v>
      </c>
      <c r="TT28" s="262">
        <v>0</v>
      </c>
      <c r="TU28" s="264">
        <v>0</v>
      </c>
      <c r="TV28" s="262">
        <v>-1270423.68</v>
      </c>
      <c r="TW28" s="262">
        <v>-889269.18700000003</v>
      </c>
      <c r="TX28" s="263">
        <v>0.42861542778272399</v>
      </c>
      <c r="TY28" s="262">
        <v>-11210058.106000001</v>
      </c>
      <c r="TZ28" s="262">
        <v>-9243021.4849999994</v>
      </c>
      <c r="UA28" s="263">
        <v>0.212813161171615</v>
      </c>
      <c r="UB28" s="262">
        <v>-12194031.356000001</v>
      </c>
      <c r="UC28" s="262">
        <v>-10865048.249</v>
      </c>
      <c r="UD28" s="263">
        <v>0.122317276144845</v>
      </c>
      <c r="UE28" s="262">
        <v>0</v>
      </c>
      <c r="UF28" s="262">
        <v>0</v>
      </c>
      <c r="UG28" s="263">
        <v>0</v>
      </c>
      <c r="UH28" s="262">
        <v>0</v>
      </c>
      <c r="UI28" s="262">
        <v>0</v>
      </c>
      <c r="UJ28" s="263">
        <v>0</v>
      </c>
      <c r="UK28" s="262">
        <v>0</v>
      </c>
      <c r="UL28" s="262">
        <v>0</v>
      </c>
      <c r="UM28" s="263">
        <v>0</v>
      </c>
      <c r="UN28" s="262">
        <v>0</v>
      </c>
      <c r="UO28" s="262">
        <v>0</v>
      </c>
      <c r="UP28" s="263">
        <v>0</v>
      </c>
      <c r="UQ28" s="262">
        <v>0</v>
      </c>
      <c r="UR28" s="262">
        <v>0</v>
      </c>
      <c r="US28" s="263">
        <v>0</v>
      </c>
      <c r="UT28" s="262">
        <v>0</v>
      </c>
      <c r="UU28" s="262">
        <v>0</v>
      </c>
      <c r="UV28" s="263">
        <v>0</v>
      </c>
      <c r="UW28" s="262">
        <v>0</v>
      </c>
      <c r="UX28" s="262">
        <v>0</v>
      </c>
      <c r="UY28" s="263">
        <v>0</v>
      </c>
      <c r="UZ28" s="262">
        <v>0</v>
      </c>
      <c r="VA28" s="262">
        <v>0</v>
      </c>
      <c r="VB28" s="263">
        <v>0</v>
      </c>
      <c r="VC28" s="262">
        <v>0</v>
      </c>
      <c r="VD28" s="262">
        <v>0</v>
      </c>
      <c r="VE28" s="263">
        <v>0</v>
      </c>
      <c r="VF28" s="262">
        <v>0</v>
      </c>
      <c r="VG28" s="262">
        <v>0</v>
      </c>
      <c r="VH28" s="263">
        <v>0</v>
      </c>
      <c r="VI28" s="262">
        <v>0</v>
      </c>
      <c r="VJ28" s="262">
        <v>0</v>
      </c>
      <c r="VK28" s="263">
        <v>0</v>
      </c>
      <c r="VL28" s="262">
        <v>0</v>
      </c>
      <c r="VM28" s="262">
        <v>0</v>
      </c>
      <c r="VN28" s="264">
        <v>0</v>
      </c>
    </row>
    <row r="29" spans="1:586" ht="21">
      <c r="A29" s="269" t="s">
        <v>117</v>
      </c>
      <c r="B29" s="265">
        <v>19018010.682390001</v>
      </c>
      <c r="C29" s="265">
        <v>18646680.871513002</v>
      </c>
      <c r="D29" s="266">
        <v>1.9913989703352099E-2</v>
      </c>
      <c r="E29" s="265">
        <v>194448656.73628399</v>
      </c>
      <c r="F29" s="265">
        <v>192304212.698612</v>
      </c>
      <c r="G29" s="266">
        <v>1.1151310767345801E-2</v>
      </c>
      <c r="H29" s="265">
        <v>233521451.47130799</v>
      </c>
      <c r="I29" s="265">
        <v>229643122.93353099</v>
      </c>
      <c r="J29" s="266">
        <v>1.6888502857102899E-2</v>
      </c>
      <c r="K29" s="265">
        <v>15980.857</v>
      </c>
      <c r="L29" s="265">
        <v>15672.695</v>
      </c>
      <c r="M29" s="266">
        <v>1.96623490727026E-2</v>
      </c>
      <c r="N29" s="265">
        <v>157306.033</v>
      </c>
      <c r="O29" s="265">
        <v>156146.78700000001</v>
      </c>
      <c r="P29" s="266">
        <v>7.4240784730332902E-3</v>
      </c>
      <c r="Q29" s="265">
        <v>187389.13</v>
      </c>
      <c r="R29" s="265">
        <v>187039.462</v>
      </c>
      <c r="S29" s="266">
        <v>1.8694878410202901E-3</v>
      </c>
      <c r="T29" s="265">
        <v>16701.7</v>
      </c>
      <c r="U29" s="265">
        <v>16825.106</v>
      </c>
      <c r="V29" s="266">
        <v>-7.3346343256321302E-3</v>
      </c>
      <c r="W29" s="265">
        <v>171254.557</v>
      </c>
      <c r="X29" s="265">
        <v>170748.253</v>
      </c>
      <c r="Y29" s="266">
        <v>2.96520749761365E-3</v>
      </c>
      <c r="Z29" s="265">
        <v>202554.465</v>
      </c>
      <c r="AA29" s="265">
        <v>200656.91899999999</v>
      </c>
      <c r="AB29" s="266">
        <v>9.4566686733588406E-3</v>
      </c>
      <c r="AC29" s="265">
        <v>504435.141</v>
      </c>
      <c r="AD29" s="265">
        <v>498668.21500000003</v>
      </c>
      <c r="AE29" s="266">
        <v>1.15646552688345E-2</v>
      </c>
      <c r="AF29" s="265">
        <v>5226170.5310000004</v>
      </c>
      <c r="AG29" s="265">
        <v>5247297.6449999996</v>
      </c>
      <c r="AH29" s="266">
        <v>-4.02628465723333E-3</v>
      </c>
      <c r="AI29" s="265">
        <v>6026039.3020000001</v>
      </c>
      <c r="AJ29" s="265">
        <v>6008743.415</v>
      </c>
      <c r="AK29" s="266">
        <v>2.8784532481157801E-3</v>
      </c>
      <c r="AL29" s="265">
        <v>778087.39</v>
      </c>
      <c r="AM29" s="265">
        <v>812235.26300000004</v>
      </c>
      <c r="AN29" s="266">
        <v>-4.2041849887031899E-2</v>
      </c>
      <c r="AO29" s="265">
        <v>7390949.4939999999</v>
      </c>
      <c r="AP29" s="265">
        <v>7371051.2120000003</v>
      </c>
      <c r="AQ29" s="266">
        <v>2.6995175352474E-3</v>
      </c>
      <c r="AR29" s="265">
        <v>8872484.7980000004</v>
      </c>
      <c r="AS29" s="265">
        <v>8799316.3110000007</v>
      </c>
      <c r="AT29" s="267">
        <v>8.3152468230439508E-3</v>
      </c>
      <c r="AU29" s="265">
        <v>18738242.215712</v>
      </c>
      <c r="AV29" s="265">
        <v>18966231.240862999</v>
      </c>
      <c r="AW29" s="266">
        <v>-1.2020786958444E-2</v>
      </c>
      <c r="AX29" s="265">
        <v>213186898.951996</v>
      </c>
      <c r="AY29" s="265">
        <v>211270443.939475</v>
      </c>
      <c r="AZ29" s="266">
        <v>9.07109852559446E-3</v>
      </c>
      <c r="BA29" s="265">
        <v>233293462.44615701</v>
      </c>
      <c r="BB29" s="265">
        <v>230409428.09477001</v>
      </c>
      <c r="BC29" s="266">
        <v>1.25169980032276E-2</v>
      </c>
      <c r="BD29" s="265">
        <v>14706.832</v>
      </c>
      <c r="BE29" s="265">
        <v>14659.133</v>
      </c>
      <c r="BF29" s="266">
        <v>3.2538759284059002E-3</v>
      </c>
      <c r="BG29" s="265">
        <v>172012.86499999999</v>
      </c>
      <c r="BH29" s="265">
        <v>170805.92</v>
      </c>
      <c r="BI29" s="266">
        <v>7.0661777999264097E-3</v>
      </c>
      <c r="BJ29" s="265">
        <v>187436.829</v>
      </c>
      <c r="BK29" s="265">
        <v>186540.83300000001</v>
      </c>
      <c r="BL29" s="266">
        <v>4.8032164625317402E-3</v>
      </c>
      <c r="BM29" s="265">
        <v>15365.933000000001</v>
      </c>
      <c r="BN29" s="265">
        <v>15214.311</v>
      </c>
      <c r="BO29" s="266">
        <v>9.9657486954224401E-3</v>
      </c>
      <c r="BP29" s="265">
        <v>186620.49</v>
      </c>
      <c r="BQ29" s="265">
        <v>185962.56400000001</v>
      </c>
      <c r="BR29" s="266">
        <v>3.5379486378774999E-3</v>
      </c>
      <c r="BS29" s="265">
        <v>202706.087</v>
      </c>
      <c r="BT29" s="265">
        <v>201147.93599999999</v>
      </c>
      <c r="BU29" s="266">
        <v>7.7462937526735698E-3</v>
      </c>
      <c r="BV29" s="265">
        <v>385174.299</v>
      </c>
      <c r="BW29" s="265">
        <v>377481.717</v>
      </c>
      <c r="BX29" s="266">
        <v>2.0378687638532698E-2</v>
      </c>
      <c r="BY29" s="265">
        <v>5611344.8300000001</v>
      </c>
      <c r="BZ29" s="265">
        <v>5624779.3619999997</v>
      </c>
      <c r="CA29" s="266">
        <v>-2.3884549304744201E-3</v>
      </c>
      <c r="CB29" s="265">
        <v>6033731.8839999996</v>
      </c>
      <c r="CC29" s="265">
        <v>6023578.8260000004</v>
      </c>
      <c r="CD29" s="266">
        <v>1.6855524420424099E-3</v>
      </c>
      <c r="CE29" s="265">
        <v>748315.21600000001</v>
      </c>
      <c r="CF29" s="265">
        <v>739605.37600000005</v>
      </c>
      <c r="CG29" s="266">
        <v>1.1776334086571199E-2</v>
      </c>
      <c r="CH29" s="265">
        <v>8139264.71</v>
      </c>
      <c r="CI29" s="265">
        <v>8110656.5880000005</v>
      </c>
      <c r="CJ29" s="266">
        <v>3.5272263952499301E-3</v>
      </c>
      <c r="CK29" s="265">
        <v>8881194.6380000003</v>
      </c>
      <c r="CL29" s="265">
        <v>8829609.4000000004</v>
      </c>
      <c r="CM29" s="267">
        <v>5.84230124607776E-3</v>
      </c>
      <c r="CN29" s="265">
        <v>20440060.751896001</v>
      </c>
      <c r="CO29" s="265">
        <v>20106563.494160999</v>
      </c>
      <c r="CP29" s="266">
        <v>1.6586487185233999E-2</v>
      </c>
      <c r="CQ29" s="265">
        <v>233626959.70389199</v>
      </c>
      <c r="CR29" s="265">
        <v>231377007.43363601</v>
      </c>
      <c r="CS29" s="266">
        <v>9.7241826022892892E-3</v>
      </c>
      <c r="CT29" s="265">
        <v>233626959.70389199</v>
      </c>
      <c r="CU29" s="265">
        <v>231377007.43363601</v>
      </c>
      <c r="CV29" s="266">
        <v>9.7241826022892892E-3</v>
      </c>
      <c r="CW29" s="265">
        <v>14502.299000000001</v>
      </c>
      <c r="CX29" s="265">
        <v>15423.964</v>
      </c>
      <c r="CY29" s="266">
        <v>-5.9755391026586897E-2</v>
      </c>
      <c r="CZ29" s="265">
        <v>186515.16399999999</v>
      </c>
      <c r="DA29" s="265">
        <v>186229.88399999999</v>
      </c>
      <c r="DB29" s="266">
        <v>1.53187014818754E-3</v>
      </c>
      <c r="DC29" s="265">
        <v>186515.16399999999</v>
      </c>
      <c r="DD29" s="265">
        <v>186229.88399999999</v>
      </c>
      <c r="DE29" s="266">
        <v>1.53187014818754E-3</v>
      </c>
      <c r="DF29" s="265">
        <v>16395.311000000002</v>
      </c>
      <c r="DG29" s="265">
        <v>16085.597</v>
      </c>
      <c r="DH29" s="266">
        <v>1.9254119073106299E-2</v>
      </c>
      <c r="DI29" s="265">
        <v>203015.80100000001</v>
      </c>
      <c r="DJ29" s="265">
        <v>202048.16099999999</v>
      </c>
      <c r="DK29" s="266">
        <v>4.7891551955279296E-3</v>
      </c>
      <c r="DL29" s="265">
        <v>203015.80100000001</v>
      </c>
      <c r="DM29" s="265">
        <v>202048.16099999999</v>
      </c>
      <c r="DN29" s="266">
        <v>4.7891551955279296E-3</v>
      </c>
      <c r="DO29" s="265">
        <v>452590.342</v>
      </c>
      <c r="DP29" s="265">
        <v>422387.054</v>
      </c>
      <c r="DQ29" s="266">
        <v>7.1506187781976996E-2</v>
      </c>
      <c r="DR29" s="265">
        <v>6063935.1720000003</v>
      </c>
      <c r="DS29" s="265">
        <v>6047166.4160000002</v>
      </c>
      <c r="DT29" s="266">
        <v>2.7729939688172001E-3</v>
      </c>
      <c r="DU29" s="265">
        <v>6063935.1720000003</v>
      </c>
      <c r="DV29" s="265">
        <v>6047166.4160000002</v>
      </c>
      <c r="DW29" s="266">
        <v>2.7729939688172001E-3</v>
      </c>
      <c r="DX29" s="265">
        <v>757221.86800000002</v>
      </c>
      <c r="DY29" s="265">
        <v>741929.92799999996</v>
      </c>
      <c r="DZ29" s="266">
        <v>2.0611029994735498E-2</v>
      </c>
      <c r="EA29" s="265">
        <v>8896486.5779999997</v>
      </c>
      <c r="EB29" s="265">
        <v>8852586.5160000008</v>
      </c>
      <c r="EC29" s="266">
        <v>4.9590096544840099E-3</v>
      </c>
      <c r="ED29" s="265">
        <v>8896486.5779999997</v>
      </c>
      <c r="EE29" s="265">
        <v>8852586.5160000008</v>
      </c>
      <c r="EF29" s="267">
        <v>4.9590096544840099E-3</v>
      </c>
      <c r="EG29" s="265">
        <v>21683816.445223998</v>
      </c>
      <c r="EH29" s="265">
        <v>21122754.694843002</v>
      </c>
      <c r="EI29" s="266">
        <v>2.6561959293973501E-2</v>
      </c>
      <c r="EJ29" s="265">
        <v>21683816.445223998</v>
      </c>
      <c r="EK29" s="265">
        <v>21122754.694843002</v>
      </c>
      <c r="EL29" s="266">
        <v>2.6561959293973501E-2</v>
      </c>
      <c r="EM29" s="265">
        <v>234188021.45427299</v>
      </c>
      <c r="EN29" s="265">
        <v>231580627.44440699</v>
      </c>
      <c r="EO29" s="266">
        <v>1.1259119722749801E-2</v>
      </c>
      <c r="EP29" s="265">
        <v>17093.042000000001</v>
      </c>
      <c r="EQ29" s="265">
        <v>15948.752</v>
      </c>
      <c r="ER29" s="266">
        <v>7.1747933631421498E-2</v>
      </c>
      <c r="ES29" s="265">
        <v>17093.042000000001</v>
      </c>
      <c r="ET29" s="265">
        <v>15948.752</v>
      </c>
      <c r="EU29" s="266">
        <v>7.1747933631421498E-2</v>
      </c>
      <c r="EV29" s="265">
        <v>187659.454</v>
      </c>
      <c r="EW29" s="265">
        <v>185536.40400000001</v>
      </c>
      <c r="EX29" s="266">
        <v>1.1442767857029201E-2</v>
      </c>
      <c r="EY29" s="265">
        <v>18605.823</v>
      </c>
      <c r="EZ29" s="265">
        <v>16549.522000000001</v>
      </c>
      <c r="FA29" s="266">
        <v>0.12425138321215599</v>
      </c>
      <c r="FB29" s="265">
        <v>18605.823</v>
      </c>
      <c r="FC29" s="265">
        <v>16549.522000000001</v>
      </c>
      <c r="FD29" s="266">
        <v>0.12425138321215599</v>
      </c>
      <c r="FE29" s="265">
        <v>205072.10200000001</v>
      </c>
      <c r="FF29" s="265">
        <v>202339.40700000001</v>
      </c>
      <c r="FG29" s="266">
        <v>1.3505500685785699E-2</v>
      </c>
      <c r="FH29" s="265">
        <v>458812.978</v>
      </c>
      <c r="FI29" s="265">
        <v>449315.06</v>
      </c>
      <c r="FJ29" s="266">
        <v>2.1138659362986902E-2</v>
      </c>
      <c r="FK29" s="265">
        <v>458812.978</v>
      </c>
      <c r="FL29" s="265">
        <v>449315.06</v>
      </c>
      <c r="FM29" s="266">
        <v>2.1138659362986902E-2</v>
      </c>
      <c r="FN29" s="265">
        <v>6073433.0899999999</v>
      </c>
      <c r="FO29" s="265">
        <v>6042425.7290000003</v>
      </c>
      <c r="FP29" s="266">
        <v>5.1316081306854904E-3</v>
      </c>
      <c r="FQ29" s="265">
        <v>756452.91500000004</v>
      </c>
      <c r="FR29" s="265">
        <v>749003.701</v>
      </c>
      <c r="FS29" s="266">
        <v>9.9454969181789806E-3</v>
      </c>
      <c r="FT29" s="265">
        <v>756452.91500000004</v>
      </c>
      <c r="FU29" s="265">
        <v>749003.701</v>
      </c>
      <c r="FV29" s="266">
        <v>9.9454969181789806E-3</v>
      </c>
      <c r="FW29" s="265">
        <v>8903935.7919999994</v>
      </c>
      <c r="FX29" s="265">
        <v>8873654.8780000005</v>
      </c>
      <c r="FY29" s="267">
        <v>3.4124511733124498E-3</v>
      </c>
      <c r="FZ29" s="265">
        <v>19134937.40292</v>
      </c>
      <c r="GA29" s="265">
        <v>19197835.311872002</v>
      </c>
      <c r="GB29" s="266">
        <v>-3.27630214189332E-3</v>
      </c>
      <c r="GC29" s="265">
        <v>40818753.848144002</v>
      </c>
      <c r="GD29" s="265">
        <v>40320590.006715</v>
      </c>
      <c r="GE29" s="266">
        <v>1.23550732106358E-2</v>
      </c>
      <c r="GF29" s="265">
        <v>234125123.54532099</v>
      </c>
      <c r="GG29" s="265">
        <v>231341025.95368299</v>
      </c>
      <c r="GH29" s="266">
        <v>1.2034603806915701E-2</v>
      </c>
      <c r="GI29" s="265">
        <v>15508.661</v>
      </c>
      <c r="GJ29" s="265">
        <v>14658.486000000001</v>
      </c>
      <c r="GK29" s="266">
        <v>5.7998827436885302E-2</v>
      </c>
      <c r="GL29" s="265">
        <v>32601.703000000001</v>
      </c>
      <c r="GM29" s="265">
        <v>30607.238000000001</v>
      </c>
      <c r="GN29" s="266">
        <v>6.5163181336388307E-2</v>
      </c>
      <c r="GO29" s="265">
        <v>188509.62899999999</v>
      </c>
      <c r="GP29" s="265">
        <v>184494.647</v>
      </c>
      <c r="GQ29" s="266">
        <v>2.1762051448571199E-2</v>
      </c>
      <c r="GR29" s="265">
        <v>16301.544</v>
      </c>
      <c r="GS29" s="265">
        <v>15029.584000000001</v>
      </c>
      <c r="GT29" s="266">
        <v>8.4630419577814003E-2</v>
      </c>
      <c r="GU29" s="265">
        <v>34907.366999999998</v>
      </c>
      <c r="GV29" s="265">
        <v>31579.106</v>
      </c>
      <c r="GW29" s="266">
        <v>0.105394402235453</v>
      </c>
      <c r="GX29" s="265">
        <v>206344.06200000001</v>
      </c>
      <c r="GY29" s="265">
        <v>202468.32</v>
      </c>
      <c r="GZ29" s="266">
        <v>1.91424613984056E-2</v>
      </c>
      <c r="HA29" s="265">
        <v>420232.12900000002</v>
      </c>
      <c r="HB29" s="265">
        <v>410087.55200000003</v>
      </c>
      <c r="HC29" s="266">
        <v>2.4737588230915E-2</v>
      </c>
      <c r="HD29" s="265">
        <v>879045.10699999996</v>
      </c>
      <c r="HE29" s="265">
        <v>859402.61199999996</v>
      </c>
      <c r="HF29" s="266">
        <v>2.2855987084200301E-2</v>
      </c>
      <c r="HG29" s="265">
        <v>6083577.6670000004</v>
      </c>
      <c r="HH29" s="265">
        <v>6017835.4869999997</v>
      </c>
      <c r="HI29" s="266">
        <v>1.0924555870963601E-2</v>
      </c>
      <c r="HJ29" s="265">
        <v>677406.42799999996</v>
      </c>
      <c r="HK29" s="265">
        <v>697913.48699999996</v>
      </c>
      <c r="HL29" s="266">
        <v>-2.9383382585354601E-2</v>
      </c>
      <c r="HM29" s="265">
        <v>1433859.3430000001</v>
      </c>
      <c r="HN29" s="265">
        <v>1446917.1880000001</v>
      </c>
      <c r="HO29" s="266">
        <v>-9.0245973358358995E-3</v>
      </c>
      <c r="HP29" s="265">
        <v>8883428.7329999991</v>
      </c>
      <c r="HQ29" s="265">
        <v>8914048.7039999999</v>
      </c>
      <c r="HR29" s="267">
        <v>-3.4350239735911302E-3</v>
      </c>
      <c r="HS29" s="265">
        <v>20641274.454613999</v>
      </c>
      <c r="HT29" s="265">
        <v>19520230.854350001</v>
      </c>
      <c r="HU29" s="266">
        <v>5.74298331115373E-2</v>
      </c>
      <c r="HV29" s="265">
        <v>61460028.302758001</v>
      </c>
      <c r="HW29" s="265">
        <v>59840820.861065</v>
      </c>
      <c r="HX29" s="266">
        <v>2.7058576710576699E-2</v>
      </c>
      <c r="HY29" s="265">
        <v>235246167.145585</v>
      </c>
      <c r="HZ29" s="265">
        <v>231391716.58609399</v>
      </c>
      <c r="IA29" s="266">
        <v>1.6657686006909901E-2</v>
      </c>
      <c r="IB29" s="265">
        <v>16984.402999999998</v>
      </c>
      <c r="IC29" s="265">
        <v>15348.767</v>
      </c>
      <c r="ID29" s="266">
        <v>0.106564651088912</v>
      </c>
      <c r="IE29" s="265">
        <v>49586.106</v>
      </c>
      <c r="IF29" s="265">
        <v>45956.004999999997</v>
      </c>
      <c r="IG29" s="266">
        <v>7.8990786949387798E-2</v>
      </c>
      <c r="IH29" s="265">
        <v>190145.26500000001</v>
      </c>
      <c r="II29" s="265">
        <v>184457.079</v>
      </c>
      <c r="IJ29" s="266">
        <v>3.0837450266682501E-2</v>
      </c>
      <c r="IK29" s="265">
        <v>17234.951000000001</v>
      </c>
      <c r="IL29" s="265">
        <v>15502.040999999999</v>
      </c>
      <c r="IM29" s="266">
        <v>0.111785925479103</v>
      </c>
      <c r="IN29" s="265">
        <v>52142.317999999999</v>
      </c>
      <c r="IO29" s="265">
        <v>47081.146999999997</v>
      </c>
      <c r="IP29" s="266">
        <v>0.10749888909885801</v>
      </c>
      <c r="IQ29" s="265">
        <v>208076.97200000001</v>
      </c>
      <c r="IR29" s="265">
        <v>202769.71400000001</v>
      </c>
      <c r="IS29" s="266">
        <v>2.6173820021268099E-2</v>
      </c>
      <c r="IT29" s="265">
        <v>454294.42200000002</v>
      </c>
      <c r="IU29" s="265">
        <v>431346.505</v>
      </c>
      <c r="IV29" s="266">
        <v>5.3200655932056098E-2</v>
      </c>
      <c r="IW29" s="265">
        <v>1333339.5290000001</v>
      </c>
      <c r="IX29" s="265">
        <v>1290749.1170000001</v>
      </c>
      <c r="IY29" s="266">
        <v>3.2996661736240197E-2</v>
      </c>
      <c r="IZ29" s="265">
        <v>6106525.5839999998</v>
      </c>
      <c r="JA29" s="265">
        <v>6031877.1009999998</v>
      </c>
      <c r="JB29" s="266">
        <v>1.23756637859255E-2</v>
      </c>
      <c r="JC29" s="265">
        <v>737250.35600000003</v>
      </c>
      <c r="JD29" s="265">
        <v>732217.86800000002</v>
      </c>
      <c r="JE29" s="266">
        <v>6.8729379873587199E-3</v>
      </c>
      <c r="JF29" s="265">
        <v>2171109.699</v>
      </c>
      <c r="JG29" s="265">
        <v>2179135.0559999999</v>
      </c>
      <c r="JH29" s="266">
        <v>-3.6828176289041602E-3</v>
      </c>
      <c r="JI29" s="265">
        <v>8888461.2210000008</v>
      </c>
      <c r="JJ29" s="265">
        <v>8923987.4890000001</v>
      </c>
      <c r="JK29" s="267">
        <v>-3.9809858590445198E-3</v>
      </c>
      <c r="JL29" s="265">
        <v>17602243.849015001</v>
      </c>
      <c r="JM29" s="265">
        <v>18119223.505656999</v>
      </c>
      <c r="JN29" s="266">
        <v>-2.8532108811428401E-2</v>
      </c>
      <c r="JO29" s="265">
        <v>79062272.151773006</v>
      </c>
      <c r="JP29" s="265">
        <v>77960044.366722003</v>
      </c>
      <c r="JQ29" s="266">
        <v>1.41383678524622E-2</v>
      </c>
      <c r="JR29" s="265">
        <v>234729187.48894301</v>
      </c>
      <c r="JS29" s="265">
        <v>232314387.20952001</v>
      </c>
      <c r="JT29" s="266">
        <v>1.03945360785818E-2</v>
      </c>
      <c r="JU29" s="265">
        <v>14961.291999999999</v>
      </c>
      <c r="JV29" s="265">
        <v>14360.009</v>
      </c>
      <c r="JW29" s="266">
        <v>4.1872048965986002E-2</v>
      </c>
      <c r="JX29" s="265">
        <v>64547.398000000001</v>
      </c>
      <c r="JY29" s="265">
        <v>60316.014000000003</v>
      </c>
      <c r="JZ29" s="266">
        <v>7.0153574803533902E-2</v>
      </c>
      <c r="KA29" s="265">
        <v>190746.54800000001</v>
      </c>
      <c r="KB29" s="265">
        <v>185036.133</v>
      </c>
      <c r="KC29" s="266">
        <v>3.0861080522040601E-2</v>
      </c>
      <c r="KD29" s="265">
        <v>15892.477999999999</v>
      </c>
      <c r="KE29" s="265">
        <v>14777.86</v>
      </c>
      <c r="KF29" s="266">
        <v>7.5424858538381101E-2</v>
      </c>
      <c r="KG29" s="265">
        <v>68034.796000000002</v>
      </c>
      <c r="KH29" s="265">
        <v>61859.006999999998</v>
      </c>
      <c r="KI29" s="266">
        <v>9.9836536334959203E-2</v>
      </c>
      <c r="KJ29" s="265">
        <v>209191.59</v>
      </c>
      <c r="KK29" s="265">
        <v>203086.23</v>
      </c>
      <c r="KL29" s="266">
        <v>3.0062894958461699E-2</v>
      </c>
      <c r="KM29" s="265">
        <v>428291.94300000003</v>
      </c>
      <c r="KN29" s="265">
        <v>433963.52600000001</v>
      </c>
      <c r="KO29" s="266">
        <v>-1.3069261954517301E-2</v>
      </c>
      <c r="KP29" s="265">
        <v>1761631.4720000001</v>
      </c>
      <c r="KQ29" s="265">
        <v>1724712.6429999999</v>
      </c>
      <c r="KR29" s="266">
        <v>2.1405785566564299E-2</v>
      </c>
      <c r="KS29" s="265">
        <v>6100854.0010000002</v>
      </c>
      <c r="KT29" s="265">
        <v>6057602.0190000003</v>
      </c>
      <c r="KU29" s="266">
        <v>7.1401161489874302E-3</v>
      </c>
      <c r="KV29" s="265">
        <v>697207.14300000004</v>
      </c>
      <c r="KW29" s="265">
        <v>712750.63500000001</v>
      </c>
      <c r="KX29" s="266">
        <v>-2.1807756088495101E-2</v>
      </c>
      <c r="KY29" s="265">
        <v>2868316.8420000002</v>
      </c>
      <c r="KZ29" s="265">
        <v>2891885.6910000001</v>
      </c>
      <c r="LA29" s="266">
        <v>-8.14999329791956E-3</v>
      </c>
      <c r="LB29" s="265">
        <v>8872917.7290000003</v>
      </c>
      <c r="LC29" s="265">
        <v>8953037.5730000008</v>
      </c>
      <c r="LD29" s="267">
        <v>-8.9489006771981908E-3</v>
      </c>
      <c r="LE29" s="265">
        <v>18262423.822431002</v>
      </c>
      <c r="LF29" s="265">
        <v>18312817.936349999</v>
      </c>
      <c r="LG29" s="266">
        <v>-2.75184922900213E-3</v>
      </c>
      <c r="LH29" s="265">
        <v>97324695.974204004</v>
      </c>
      <c r="LI29" s="265">
        <v>96272862.303072006</v>
      </c>
      <c r="LJ29" s="266">
        <v>1.09255468879775E-2</v>
      </c>
      <c r="LK29" s="265">
        <v>234678793.37502399</v>
      </c>
      <c r="LL29" s="265">
        <v>232588633.84400699</v>
      </c>
      <c r="LM29" s="266">
        <v>8.9865076228047708E-3</v>
      </c>
      <c r="LN29" s="265">
        <v>15775.602999999999</v>
      </c>
      <c r="LO29" s="265">
        <v>14826.504000000001</v>
      </c>
      <c r="LP29" s="266">
        <v>6.4013674430600798E-2</v>
      </c>
      <c r="LQ29" s="265">
        <v>80323.001000000004</v>
      </c>
      <c r="LR29" s="265">
        <v>75142.517999999996</v>
      </c>
      <c r="LS29" s="266">
        <v>6.8942100130315098E-2</v>
      </c>
      <c r="LT29" s="265">
        <v>191695.647</v>
      </c>
      <c r="LU29" s="265">
        <v>185690.12400000001</v>
      </c>
      <c r="LV29" s="266">
        <v>3.2341639235482403E-2</v>
      </c>
      <c r="LW29" s="265">
        <v>17155.358</v>
      </c>
      <c r="LX29" s="265">
        <v>15472.332</v>
      </c>
      <c r="LY29" s="266">
        <v>0.10877649212801301</v>
      </c>
      <c r="LZ29" s="265">
        <v>85190.153999999995</v>
      </c>
      <c r="MA29" s="265">
        <v>77331.339000000007</v>
      </c>
      <c r="MB29" s="266">
        <v>0.101625228550614</v>
      </c>
      <c r="MC29" s="265">
        <v>210874.61600000001</v>
      </c>
      <c r="MD29" s="265">
        <v>203054.57</v>
      </c>
      <c r="ME29" s="266">
        <v>3.8512041368977699E-2</v>
      </c>
      <c r="MF29" s="265">
        <v>475516.12300000002</v>
      </c>
      <c r="MG29" s="265">
        <v>479675.54300000001</v>
      </c>
      <c r="MH29" s="266">
        <v>-8.6713197299701401E-3</v>
      </c>
      <c r="MI29" s="265">
        <v>2237147.5950000002</v>
      </c>
      <c r="MJ29" s="265">
        <v>2204388.1860000002</v>
      </c>
      <c r="MK29" s="266">
        <v>1.48609982615832E-2</v>
      </c>
      <c r="ML29" s="265">
        <v>6096694.5810000002</v>
      </c>
      <c r="MM29" s="265">
        <v>6072923.6660000002</v>
      </c>
      <c r="MN29" s="266">
        <v>3.9142456430143304E-3</v>
      </c>
      <c r="MO29" s="265">
        <v>712152.76699999999</v>
      </c>
      <c r="MP29" s="265">
        <v>716142.71900000004</v>
      </c>
      <c r="MQ29" s="266">
        <v>-5.5714481124258296E-3</v>
      </c>
      <c r="MR29" s="265">
        <v>3580469.6090000002</v>
      </c>
      <c r="MS29" s="265">
        <v>3608028.41</v>
      </c>
      <c r="MT29" s="266">
        <v>-7.6381884698075303E-3</v>
      </c>
      <c r="MU29" s="265">
        <v>8868927.7770000007</v>
      </c>
      <c r="MV29" s="265">
        <v>8958414.5989999995</v>
      </c>
      <c r="MW29" s="267">
        <v>-9.9891360252502594E-3</v>
      </c>
      <c r="MX29" s="265">
        <v>20469573.731038</v>
      </c>
      <c r="MY29" s="265">
        <v>18372935.849849999</v>
      </c>
      <c r="MZ29" s="266">
        <v>0.114115560970901</v>
      </c>
      <c r="NA29" s="265">
        <v>117794269.70524199</v>
      </c>
      <c r="NB29" s="265">
        <v>114645798.152922</v>
      </c>
      <c r="NC29" s="266">
        <v>2.74625987436573E-2</v>
      </c>
      <c r="ND29" s="265">
        <v>236775431.256212</v>
      </c>
      <c r="NE29" s="265">
        <v>232293356.01590499</v>
      </c>
      <c r="NF29" s="266">
        <v>1.9294892101864899E-2</v>
      </c>
      <c r="NG29" s="265">
        <v>16861.954000000002</v>
      </c>
      <c r="NH29" s="265">
        <v>14871.231</v>
      </c>
      <c r="NI29" s="266">
        <v>0.13386403586898801</v>
      </c>
      <c r="NJ29" s="265">
        <v>97184.955000000002</v>
      </c>
      <c r="NK29" s="265">
        <v>90013.748999999996</v>
      </c>
      <c r="NL29" s="266">
        <v>7.9667896067744104E-2</v>
      </c>
      <c r="NM29" s="265">
        <v>193686.37</v>
      </c>
      <c r="NN29" s="265">
        <v>185562.05</v>
      </c>
      <c r="NO29" s="266">
        <v>4.3782228101058397E-2</v>
      </c>
      <c r="NP29" s="265">
        <v>20078.651999999998</v>
      </c>
      <c r="NQ29" s="265">
        <v>15852.468999999999</v>
      </c>
      <c r="NR29" s="266">
        <v>0.26659462320979799</v>
      </c>
      <c r="NS29" s="265">
        <v>105268.806</v>
      </c>
      <c r="NT29" s="265">
        <v>93183.808000000005</v>
      </c>
      <c r="NU29" s="266">
        <v>0.12968989204648099</v>
      </c>
      <c r="NV29" s="265">
        <v>215100.799</v>
      </c>
      <c r="NW29" s="265">
        <v>202260.092</v>
      </c>
      <c r="NX29" s="266">
        <v>6.3486112722622501E-2</v>
      </c>
      <c r="NY29" s="265">
        <v>623453.00399999996</v>
      </c>
      <c r="NZ29" s="265">
        <v>541043.63</v>
      </c>
      <c r="OA29" s="266">
        <v>0.15231557942933299</v>
      </c>
      <c r="OB29" s="265">
        <v>2860600.5989999999</v>
      </c>
      <c r="OC29" s="265">
        <v>2745431.8160000001</v>
      </c>
      <c r="OD29" s="266">
        <v>4.1949241765471101E-2</v>
      </c>
      <c r="OE29" s="265">
        <v>6179103.9550000001</v>
      </c>
      <c r="OF29" s="265">
        <v>6062718.7390000001</v>
      </c>
      <c r="OG29" s="266">
        <v>1.9196868766370601E-2</v>
      </c>
      <c r="OH29" s="265">
        <v>706361.01300000004</v>
      </c>
      <c r="OI29" s="265">
        <v>700510.81299999997</v>
      </c>
      <c r="OJ29" s="266">
        <v>8.3513343283682807E-3</v>
      </c>
      <c r="OK29" s="265">
        <v>4286830.6220000004</v>
      </c>
      <c r="OL29" s="265">
        <v>4308539.2230000002</v>
      </c>
      <c r="OM29" s="266">
        <v>-5.0385060635203399E-3</v>
      </c>
      <c r="ON29" s="265">
        <v>8874777.977</v>
      </c>
      <c r="OO29" s="265">
        <v>8936653.5739999991</v>
      </c>
      <c r="OP29" s="267">
        <v>-6.9237994387541003E-3</v>
      </c>
      <c r="OQ29" s="265">
        <v>21907194.233612999</v>
      </c>
      <c r="OR29" s="265">
        <v>21283278.658344001</v>
      </c>
      <c r="OS29" s="266">
        <v>2.93148243409567E-2</v>
      </c>
      <c r="OT29" s="265">
        <v>139701463.93885499</v>
      </c>
      <c r="OU29" s="265">
        <v>135929076.81126601</v>
      </c>
      <c r="OV29" s="266">
        <v>2.7752613466410201E-2</v>
      </c>
      <c r="OW29" s="265">
        <v>237399346.83148101</v>
      </c>
      <c r="OX29" s="265">
        <v>232328809.80511501</v>
      </c>
      <c r="OY29" s="266">
        <v>2.1824831068602099E-2</v>
      </c>
      <c r="OZ29" s="265">
        <v>19304.875</v>
      </c>
      <c r="PA29" s="265">
        <v>16901.150000000001</v>
      </c>
      <c r="PB29" s="266">
        <v>0.14222257065347599</v>
      </c>
      <c r="PC29" s="265">
        <v>116489.83</v>
      </c>
      <c r="PD29" s="265">
        <v>106914.899</v>
      </c>
      <c r="PE29" s="266">
        <v>8.9556564048196799E-2</v>
      </c>
      <c r="PF29" s="265">
        <v>196090.095</v>
      </c>
      <c r="PG29" s="265">
        <v>185436.48800000001</v>
      </c>
      <c r="PH29" s="266">
        <v>5.7451514073109403E-2</v>
      </c>
      <c r="PI29" s="265">
        <v>23595.456999999999</v>
      </c>
      <c r="PJ29" s="265">
        <v>20462.221000000001</v>
      </c>
      <c r="PK29" s="266">
        <v>0.15312296744327</v>
      </c>
      <c r="PL29" s="265">
        <v>128864.26300000001</v>
      </c>
      <c r="PM29" s="265">
        <v>113646.02899999999</v>
      </c>
      <c r="PN29" s="266">
        <v>0.13390906953730899</v>
      </c>
      <c r="PO29" s="265">
        <v>218234.035</v>
      </c>
      <c r="PP29" s="265">
        <v>200774.375</v>
      </c>
      <c r="PQ29" s="266">
        <v>8.6961595572144099E-2</v>
      </c>
      <c r="PR29" s="265">
        <v>722692.45299999998</v>
      </c>
      <c r="PS29" s="265">
        <v>685337.75600000005</v>
      </c>
      <c r="PT29" s="266">
        <v>5.4505529095641901E-2</v>
      </c>
      <c r="PU29" s="265">
        <v>3583293.0520000001</v>
      </c>
      <c r="PV29" s="265">
        <v>3430769.5720000002</v>
      </c>
      <c r="PW29" s="266">
        <v>4.4457512170100501E-2</v>
      </c>
      <c r="PX29" s="265">
        <v>6216458.6519999998</v>
      </c>
      <c r="PY29" s="265">
        <v>6006454.7240000004</v>
      </c>
      <c r="PZ29" s="266">
        <v>3.4963041869089002E-2</v>
      </c>
      <c r="QA29" s="265">
        <v>781957.65300000005</v>
      </c>
      <c r="QB29" s="265">
        <v>768229.98100000003</v>
      </c>
      <c r="QC29" s="266">
        <v>1.78692218990603E-2</v>
      </c>
      <c r="QD29" s="265">
        <v>5068788.2750000004</v>
      </c>
      <c r="QE29" s="265">
        <v>5076769.2039999999</v>
      </c>
      <c r="QF29" s="266">
        <v>-1.5720488127985599E-3</v>
      </c>
      <c r="QG29" s="265">
        <v>8888505.6490000002</v>
      </c>
      <c r="QH29" s="265">
        <v>8933685.8330000006</v>
      </c>
      <c r="QI29" s="267">
        <v>-5.0572837286386304E-3</v>
      </c>
      <c r="QJ29" s="265">
        <v>20643213.244991999</v>
      </c>
      <c r="QK29" s="265">
        <v>20890420.749155998</v>
      </c>
      <c r="QL29" s="266">
        <v>-1.18335339978245E-2</v>
      </c>
      <c r="QM29" s="265">
        <v>160344677.18384701</v>
      </c>
      <c r="QN29" s="265">
        <v>156819497.560422</v>
      </c>
      <c r="QO29" s="266">
        <v>2.24792176882644E-2</v>
      </c>
      <c r="QP29" s="265">
        <v>237152139.327317</v>
      </c>
      <c r="QQ29" s="265">
        <v>232947526.28793499</v>
      </c>
      <c r="QR29" s="266">
        <v>1.8049614462034999E-2</v>
      </c>
      <c r="QS29" s="265">
        <v>19179.328000000001</v>
      </c>
      <c r="QT29" s="265">
        <v>18083.274000000001</v>
      </c>
      <c r="QU29" s="266">
        <v>6.0611479978681097E-2</v>
      </c>
      <c r="QV29" s="265">
        <v>135669.158</v>
      </c>
      <c r="QW29" s="265">
        <v>124998.173</v>
      </c>
      <c r="QX29" s="266">
        <v>8.5369127755171498E-2</v>
      </c>
      <c r="QY29" s="265">
        <v>197186.149</v>
      </c>
      <c r="QZ29" s="265">
        <v>186458.742</v>
      </c>
      <c r="RA29" s="266">
        <v>5.7532336027452197E-2</v>
      </c>
      <c r="RB29" s="265">
        <v>22996.899000000001</v>
      </c>
      <c r="RC29" s="265">
        <v>22526.546999999999</v>
      </c>
      <c r="RD29" s="266">
        <v>2.08798978378711E-2</v>
      </c>
      <c r="RE29" s="265">
        <v>151861.16200000001</v>
      </c>
      <c r="RF29" s="265">
        <v>136172.576</v>
      </c>
      <c r="RG29" s="266">
        <v>0.115211053949659</v>
      </c>
      <c r="RH29" s="265">
        <v>218704.38699999999</v>
      </c>
      <c r="RI29" s="265">
        <v>201507.61799999999</v>
      </c>
      <c r="RJ29" s="266">
        <v>8.5340540326371297E-2</v>
      </c>
      <c r="RK29" s="265">
        <v>728539.01100000006</v>
      </c>
      <c r="RL29" s="265">
        <v>733537.48699999996</v>
      </c>
      <c r="RM29" s="266">
        <v>-6.8142066200906001E-3</v>
      </c>
      <c r="RN29" s="265">
        <v>4311832.0630000001</v>
      </c>
      <c r="RO29" s="265">
        <v>4164307.0589999999</v>
      </c>
      <c r="RP29" s="266">
        <v>3.5426062946334699E-2</v>
      </c>
      <c r="RQ29" s="265">
        <v>6211460.176</v>
      </c>
      <c r="RR29" s="265">
        <v>6032024.8890000004</v>
      </c>
      <c r="RS29" s="266">
        <v>2.9747106535852899E-2</v>
      </c>
      <c r="RT29" s="265">
        <v>817401.99300000002</v>
      </c>
      <c r="RU29" s="265">
        <v>790665.451</v>
      </c>
      <c r="RV29" s="266">
        <v>3.3815240018625702E-2</v>
      </c>
      <c r="RW29" s="265">
        <v>5886190.2680000002</v>
      </c>
      <c r="RX29" s="265">
        <v>5867434.6550000003</v>
      </c>
      <c r="RY29" s="266">
        <v>3.1965610360937102E-3</v>
      </c>
      <c r="RZ29" s="265">
        <v>8915242.1909999996</v>
      </c>
      <c r="SA29" s="265">
        <v>8913311.2469999995</v>
      </c>
      <c r="SB29" s="267">
        <v>2.1663598930756999E-4</v>
      </c>
      <c r="SC29" s="265">
        <v>19352227.601519998</v>
      </c>
      <c r="SD29" s="265">
        <v>18611148.493471999</v>
      </c>
      <c r="SE29" s="266">
        <v>3.9819095974003897E-2</v>
      </c>
      <c r="SF29" s="265">
        <v>179696904.78536701</v>
      </c>
      <c r="SG29" s="265">
        <v>175430646.05389401</v>
      </c>
      <c r="SH29" s="266">
        <v>2.4318776835390001E-2</v>
      </c>
      <c r="SI29" s="265">
        <v>237893218.43536499</v>
      </c>
      <c r="SJ29" s="265">
        <v>233150121.660431</v>
      </c>
      <c r="SK29" s="266">
        <v>2.0343531202792899E-2</v>
      </c>
      <c r="SL29" s="265">
        <v>17860.031999999999</v>
      </c>
      <c r="SM29" s="265">
        <v>16327.003000000001</v>
      </c>
      <c r="SN29" s="266">
        <v>9.3895309506588504E-2</v>
      </c>
      <c r="SO29" s="265">
        <v>153529.19</v>
      </c>
      <c r="SP29" s="265">
        <v>141325.17600000001</v>
      </c>
      <c r="SQ29" s="266">
        <v>8.6354139760632595E-2</v>
      </c>
      <c r="SR29" s="265">
        <v>198719.17800000001</v>
      </c>
      <c r="SS29" s="265">
        <v>187080.96799999999</v>
      </c>
      <c r="ST29" s="266">
        <v>6.2209481404864202E-2</v>
      </c>
      <c r="SU29" s="265">
        <v>20088.042000000001</v>
      </c>
      <c r="SV29" s="265">
        <v>18380.280999999999</v>
      </c>
      <c r="SW29" s="266">
        <v>9.2912670921625307E-2</v>
      </c>
      <c r="SX29" s="265">
        <v>171949.204</v>
      </c>
      <c r="SY29" s="265">
        <v>154552.85699999999</v>
      </c>
      <c r="SZ29" s="266">
        <v>0.11255920684791999</v>
      </c>
      <c r="TA29" s="265">
        <v>220412.14799999999</v>
      </c>
      <c r="TB29" s="265">
        <v>202677.87100000001</v>
      </c>
      <c r="TC29" s="266">
        <v>8.7499818862810094E-2</v>
      </c>
      <c r="TD29" s="265">
        <v>604226.11800000002</v>
      </c>
      <c r="TE29" s="265">
        <v>557428.33100000001</v>
      </c>
      <c r="TF29" s="266">
        <v>8.3953011351337301E-2</v>
      </c>
      <c r="TG29" s="265">
        <v>4916058.1809999999</v>
      </c>
      <c r="TH29" s="265">
        <v>4721735.3899999997</v>
      </c>
      <c r="TI29" s="266">
        <v>4.1154951506081797E-2</v>
      </c>
      <c r="TJ29" s="265">
        <v>6258257.9630000005</v>
      </c>
      <c r="TK29" s="265">
        <v>6020272.3760000002</v>
      </c>
      <c r="TL29" s="266">
        <v>3.9530700961095698E-2</v>
      </c>
      <c r="TM29" s="265">
        <v>782453.87899999996</v>
      </c>
      <c r="TN29" s="265">
        <v>745427.44900000002</v>
      </c>
      <c r="TO29" s="266">
        <v>4.9671406720629002E-2</v>
      </c>
      <c r="TP29" s="265">
        <v>6668644.1469999999</v>
      </c>
      <c r="TQ29" s="265">
        <v>6612862.1040000003</v>
      </c>
      <c r="TR29" s="266">
        <v>8.4353857864748194E-3</v>
      </c>
      <c r="TS29" s="265">
        <v>8952268.6209999993</v>
      </c>
      <c r="TT29" s="265">
        <v>8906632.6710000001</v>
      </c>
      <c r="TU29" s="267">
        <v>5.1238163384227002E-3</v>
      </c>
      <c r="TV29" s="265">
        <v>18888604.987119999</v>
      </c>
      <c r="TW29" s="265">
        <v>19018010.682390001</v>
      </c>
      <c r="TX29" s="266">
        <v>-6.8043759902725797E-3</v>
      </c>
      <c r="TY29" s="265">
        <v>198585509.77248701</v>
      </c>
      <c r="TZ29" s="265">
        <v>194448656.73628399</v>
      </c>
      <c r="UA29" s="266">
        <v>2.12747833059783E-2</v>
      </c>
      <c r="UB29" s="265">
        <v>237763812.74009499</v>
      </c>
      <c r="UC29" s="265">
        <v>233521451.47130799</v>
      </c>
      <c r="UD29" s="266">
        <v>1.81669017645185E-2</v>
      </c>
      <c r="UE29" s="265">
        <v>17791.593000000001</v>
      </c>
      <c r="UF29" s="265">
        <v>15980.857</v>
      </c>
      <c r="UG29" s="266">
        <v>0.113306564222432</v>
      </c>
      <c r="UH29" s="265">
        <v>171320.783</v>
      </c>
      <c r="UI29" s="265">
        <v>157306.033</v>
      </c>
      <c r="UJ29" s="266">
        <v>8.9092260053369995E-2</v>
      </c>
      <c r="UK29" s="265">
        <v>200529.91399999999</v>
      </c>
      <c r="UL29" s="265">
        <v>187389.13</v>
      </c>
      <c r="UM29" s="266">
        <v>7.0125647095965596E-2</v>
      </c>
      <c r="UN29" s="265">
        <v>19175.146000000001</v>
      </c>
      <c r="UO29" s="265">
        <v>16701.7</v>
      </c>
      <c r="UP29" s="266">
        <v>0.14809546333606799</v>
      </c>
      <c r="UQ29" s="265">
        <v>191124.35</v>
      </c>
      <c r="UR29" s="265">
        <v>171254.557</v>
      </c>
      <c r="US29" s="266">
        <v>0.116024900873148</v>
      </c>
      <c r="UT29" s="265">
        <v>222885.59400000001</v>
      </c>
      <c r="UU29" s="265">
        <v>202554.465</v>
      </c>
      <c r="UV29" s="266">
        <v>0.100373640245353</v>
      </c>
      <c r="UW29" s="265">
        <v>501831.64299999998</v>
      </c>
      <c r="UX29" s="265">
        <v>504435.141</v>
      </c>
      <c r="UY29" s="266">
        <v>-5.1612145712901904E-3</v>
      </c>
      <c r="UZ29" s="265">
        <v>5417889.824</v>
      </c>
      <c r="VA29" s="265">
        <v>5226170.5310000004</v>
      </c>
      <c r="VB29" s="266">
        <v>3.6684469414608699E-2</v>
      </c>
      <c r="VC29" s="265">
        <v>6255654.4649999999</v>
      </c>
      <c r="VD29" s="265">
        <v>6026039.3020000001</v>
      </c>
      <c r="VE29" s="266">
        <v>3.8103827654059903E-2</v>
      </c>
      <c r="VF29" s="265">
        <v>790284.14300000004</v>
      </c>
      <c r="VG29" s="265">
        <v>778087.39</v>
      </c>
      <c r="VH29" s="266">
        <v>1.5675299660106001E-2</v>
      </c>
      <c r="VI29" s="265">
        <v>7458928.29</v>
      </c>
      <c r="VJ29" s="265">
        <v>7390949.4939999999</v>
      </c>
      <c r="VK29" s="266">
        <v>9.1975727956449295E-3</v>
      </c>
      <c r="VL29" s="265">
        <v>8964465.3739999998</v>
      </c>
      <c r="VM29" s="265">
        <v>8872484.7980000004</v>
      </c>
      <c r="VN29" s="267">
        <v>1.0366946587582001E-2</v>
      </c>
    </row>
    <row r="31" spans="1:586">
      <c r="C31" s="215" t="str">
        <f t="shared" ref="C31:O31" si="0">MID(UPPER(TEXT(C32,"mmm")),1,1)</f>
        <v>O</v>
      </c>
      <c r="D31" s="215" t="str">
        <f t="shared" si="0"/>
        <v>N</v>
      </c>
      <c r="E31" s="215" t="str">
        <f t="shared" si="0"/>
        <v>D</v>
      </c>
      <c r="F31" s="215" t="str">
        <f t="shared" si="0"/>
        <v>E</v>
      </c>
      <c r="G31" s="215" t="str">
        <f t="shared" si="0"/>
        <v>F</v>
      </c>
      <c r="H31" s="215" t="str">
        <f t="shared" si="0"/>
        <v>M</v>
      </c>
      <c r="I31" s="215" t="str">
        <f t="shared" si="0"/>
        <v>A</v>
      </c>
      <c r="J31" s="215" t="str">
        <f t="shared" si="0"/>
        <v>M</v>
      </c>
      <c r="K31" s="215" t="str">
        <f t="shared" si="0"/>
        <v>J</v>
      </c>
      <c r="L31" s="215" t="str">
        <f t="shared" si="0"/>
        <v>J</v>
      </c>
      <c r="M31" s="215" t="str">
        <f t="shared" si="0"/>
        <v>A</v>
      </c>
      <c r="N31" s="215" t="str">
        <f t="shared" si="0"/>
        <v>S</v>
      </c>
      <c r="O31" s="215" t="str">
        <f t="shared" si="0"/>
        <v>O</v>
      </c>
    </row>
    <row r="32" spans="1:586">
      <c r="A32" s="216"/>
      <c r="B32" s="216" t="s">
        <v>28</v>
      </c>
      <c r="C32" s="217" t="s">
        <v>198</v>
      </c>
      <c r="D32" s="217" t="s">
        <v>199</v>
      </c>
      <c r="E32" s="217" t="s">
        <v>200</v>
      </c>
      <c r="F32" s="217" t="s">
        <v>204</v>
      </c>
      <c r="G32" s="217" t="s">
        <v>212</v>
      </c>
      <c r="H32" s="217" t="s">
        <v>213</v>
      </c>
      <c r="I32" s="217" t="s">
        <v>215</v>
      </c>
      <c r="J32" s="217" t="s">
        <v>226</v>
      </c>
      <c r="K32" s="217" t="s">
        <v>227</v>
      </c>
      <c r="L32" s="217" t="s">
        <v>229</v>
      </c>
      <c r="M32" s="217" t="s">
        <v>243</v>
      </c>
      <c r="N32" s="217" t="s">
        <v>245</v>
      </c>
      <c r="O32" s="217" t="s">
        <v>247</v>
      </c>
    </row>
    <row r="33" spans="1:15">
      <c r="A33" s="216"/>
      <c r="B33" s="216" t="s">
        <v>101</v>
      </c>
      <c r="C33" s="217" t="s">
        <v>159</v>
      </c>
      <c r="D33" s="217" t="s">
        <v>159</v>
      </c>
      <c r="E33" s="217" t="s">
        <v>159</v>
      </c>
      <c r="F33" s="217" t="s">
        <v>159</v>
      </c>
      <c r="G33" s="217" t="s">
        <v>159</v>
      </c>
      <c r="H33" s="217" t="s">
        <v>159</v>
      </c>
      <c r="I33" s="217" t="s">
        <v>159</v>
      </c>
      <c r="J33" s="217" t="s">
        <v>159</v>
      </c>
      <c r="K33" s="217" t="s">
        <v>159</v>
      </c>
      <c r="L33" s="217" t="s">
        <v>159</v>
      </c>
      <c r="M33" s="217" t="s">
        <v>159</v>
      </c>
      <c r="N33" s="217" t="s">
        <v>159</v>
      </c>
      <c r="O33" s="217" t="s">
        <v>159</v>
      </c>
    </row>
    <row r="34" spans="1:15">
      <c r="A34" s="216" t="s">
        <v>154</v>
      </c>
      <c r="B34" s="216" t="s">
        <v>155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>
      <c r="A35" s="327" t="s">
        <v>4</v>
      </c>
      <c r="B35" s="219" t="s">
        <v>145</v>
      </c>
      <c r="C35" s="296">
        <v>51713.344319999997</v>
      </c>
      <c r="D35" s="296">
        <v>53657.082240000003</v>
      </c>
      <c r="E35" s="296">
        <v>38736.866880000001</v>
      </c>
      <c r="F35" s="296">
        <v>35681.292479999996</v>
      </c>
      <c r="G35" s="296">
        <v>23147.126400000001</v>
      </c>
      <c r="H35" s="296"/>
      <c r="I35" s="296"/>
      <c r="J35" s="296"/>
      <c r="K35" s="296">
        <v>1617.5318400000001</v>
      </c>
      <c r="L35" s="296">
        <v>10500.46176</v>
      </c>
      <c r="M35" s="296"/>
      <c r="N35" s="296"/>
      <c r="O35" s="296"/>
    </row>
    <row r="36" spans="1:15">
      <c r="A36" s="328"/>
      <c r="B36" s="219" t="s">
        <v>146</v>
      </c>
      <c r="C36" s="296">
        <v>246257.15424</v>
      </c>
      <c r="D36" s="296">
        <v>222896.04</v>
      </c>
      <c r="E36" s="296">
        <v>263746.18943999999</v>
      </c>
      <c r="F36" s="296">
        <v>249889.7328</v>
      </c>
      <c r="G36" s="296">
        <v>243785.82527999999</v>
      </c>
      <c r="H36" s="296">
        <v>182917.99679999999</v>
      </c>
      <c r="I36" s="296">
        <v>163033.35456000001</v>
      </c>
      <c r="J36" s="296">
        <v>137785.67808000001</v>
      </c>
      <c r="K36" s="296">
        <v>146358.57983999999</v>
      </c>
      <c r="L36" s="296">
        <v>91200.833280000006</v>
      </c>
      <c r="M36" s="296">
        <v>0.1056</v>
      </c>
      <c r="N36" s="296">
        <v>6949.3612800000001</v>
      </c>
      <c r="O36" s="296">
        <v>20273.385600000001</v>
      </c>
    </row>
    <row r="37" spans="1:15">
      <c r="A37" s="219" t="s">
        <v>135</v>
      </c>
      <c r="B37" s="219" t="s">
        <v>236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6">
        <v>60825.505440000001</v>
      </c>
      <c r="M37" s="296">
        <v>91988.79032</v>
      </c>
      <c r="N37" s="296">
        <v>103633.34071999999</v>
      </c>
      <c r="O37" s="296">
        <v>116669.82208</v>
      </c>
    </row>
    <row r="38" spans="1:15">
      <c r="A38" s="219" t="s">
        <v>230</v>
      </c>
      <c r="B38" s="219" t="s">
        <v>246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>
        <v>7.6999999999999996E-4</v>
      </c>
      <c r="O38" s="296">
        <v>3.234</v>
      </c>
    </row>
    <row r="39" spans="1:15">
      <c r="A39" s="219" t="s">
        <v>11</v>
      </c>
      <c r="B39" s="219" t="s">
        <v>147</v>
      </c>
      <c r="C39" s="296">
        <v>838011.63063000003</v>
      </c>
      <c r="D39" s="296">
        <v>1297032.93836</v>
      </c>
      <c r="E39" s="296">
        <v>1671017.93826</v>
      </c>
      <c r="F39" s="296">
        <v>1034663.26215</v>
      </c>
      <c r="G39" s="296">
        <v>962381.59062000003</v>
      </c>
      <c r="H39" s="296">
        <v>730636.49213999999</v>
      </c>
      <c r="I39" s="296">
        <v>748777.62951</v>
      </c>
      <c r="J39" s="296">
        <v>996169.89812000003</v>
      </c>
      <c r="K39" s="296">
        <v>1472863.5088200001</v>
      </c>
      <c r="L39" s="296">
        <v>1324084.3846499999</v>
      </c>
      <c r="M39" s="296">
        <v>1309188.13433</v>
      </c>
      <c r="N39" s="296">
        <v>1166084.58742</v>
      </c>
      <c r="O39" s="296">
        <v>1672413.8261599999</v>
      </c>
    </row>
    <row r="40" spans="1:15">
      <c r="A40" s="333" t="s">
        <v>9</v>
      </c>
      <c r="B40" s="219" t="s">
        <v>148</v>
      </c>
      <c r="C40" s="296">
        <v>24179.360000000001</v>
      </c>
      <c r="D40" s="296">
        <v>32410.155500000001</v>
      </c>
      <c r="E40" s="296">
        <v>24790.218000000001</v>
      </c>
      <c r="F40" s="296">
        <v>23621.755000000001</v>
      </c>
      <c r="G40" s="296">
        <v>31602.338500000002</v>
      </c>
      <c r="H40" s="296">
        <v>25175.731500000002</v>
      </c>
      <c r="I40" s="296">
        <v>22555.780999999999</v>
      </c>
      <c r="J40" s="296">
        <v>28023.944500000001</v>
      </c>
      <c r="K40" s="296">
        <v>21802.124</v>
      </c>
      <c r="L40" s="296">
        <v>30459.991000000002</v>
      </c>
      <c r="M40" s="296">
        <v>18379.370999999999</v>
      </c>
      <c r="N40" s="296">
        <v>26267.919999999998</v>
      </c>
      <c r="O40" s="296">
        <v>28720.957999999999</v>
      </c>
    </row>
    <row r="41" spans="1:15">
      <c r="A41" s="334"/>
      <c r="B41" s="219" t="s">
        <v>149</v>
      </c>
      <c r="C41" s="296">
        <v>422927.03843999997</v>
      </c>
      <c r="D41" s="296">
        <v>531751.18104000005</v>
      </c>
      <c r="E41" s="296">
        <v>523991.51747999998</v>
      </c>
      <c r="F41" s="296">
        <v>496467.22032000002</v>
      </c>
      <c r="G41" s="296">
        <v>471179.67191999999</v>
      </c>
      <c r="H41" s="296">
        <v>396421.37316000002</v>
      </c>
      <c r="I41" s="296">
        <v>391817.42495999997</v>
      </c>
      <c r="J41" s="296">
        <v>396246.30047999998</v>
      </c>
      <c r="K41" s="296">
        <v>475194.22992000001</v>
      </c>
      <c r="L41" s="296">
        <v>445069.96451999998</v>
      </c>
      <c r="M41" s="296">
        <v>421484.33412000001</v>
      </c>
      <c r="N41" s="296">
        <v>430007.43635999999</v>
      </c>
      <c r="O41" s="296">
        <v>469098.01188000001</v>
      </c>
    </row>
    <row r="42" spans="1:15">
      <c r="A42" s="328"/>
      <c r="B42" s="219" t="s">
        <v>150</v>
      </c>
      <c r="C42" s="296">
        <v>344.93056000000001</v>
      </c>
      <c r="D42" s="296">
        <v>496.20209999999997</v>
      </c>
      <c r="E42" s="296">
        <v>655.55813999999998</v>
      </c>
      <c r="F42" s="296">
        <v>783.45360000000005</v>
      </c>
      <c r="G42" s="296">
        <v>795.70594000000006</v>
      </c>
      <c r="H42" s="296">
        <v>542.23149999999998</v>
      </c>
      <c r="I42" s="296">
        <v>697.72749999999996</v>
      </c>
      <c r="J42" s="296">
        <v>657.79139999999995</v>
      </c>
      <c r="K42" s="296">
        <v>781.17474000000004</v>
      </c>
      <c r="L42" s="296">
        <v>819.31420000000003</v>
      </c>
      <c r="M42" s="296">
        <v>387.38492000000002</v>
      </c>
      <c r="N42" s="296">
        <v>614.66672000000005</v>
      </c>
      <c r="O42" s="296">
        <v>865.46975999999995</v>
      </c>
    </row>
    <row r="43" spans="1:15">
      <c r="A43" s="333" t="s">
        <v>67</v>
      </c>
      <c r="B43" s="219" t="s">
        <v>151</v>
      </c>
      <c r="C43" s="296">
        <v>31438.095399999998</v>
      </c>
      <c r="D43" s="296">
        <v>10994.634050000001</v>
      </c>
      <c r="E43" s="296">
        <v>6832.7951999999996</v>
      </c>
      <c r="F43" s="296">
        <v>9.5E-4</v>
      </c>
      <c r="G43" s="296"/>
      <c r="H43" s="296">
        <v>1.9E-3</v>
      </c>
      <c r="I43" s="296">
        <v>2.0899999999999998E-2</v>
      </c>
      <c r="J43" s="296">
        <v>9.5E-4</v>
      </c>
      <c r="K43" s="296"/>
      <c r="L43" s="296">
        <v>2.2800000000000001E-2</v>
      </c>
      <c r="M43" s="296">
        <v>9.5E-4</v>
      </c>
      <c r="N43" s="296"/>
      <c r="O43" s="296"/>
    </row>
    <row r="44" spans="1:15">
      <c r="A44" s="334"/>
      <c r="B44" s="219" t="s">
        <v>152</v>
      </c>
      <c r="C44" s="296">
        <v>13485.35736</v>
      </c>
      <c r="D44" s="296">
        <v>15591.66288</v>
      </c>
      <c r="E44" s="296">
        <v>16330.187159999999</v>
      </c>
      <c r="F44" s="296">
        <v>13426.70412</v>
      </c>
      <c r="G44" s="296">
        <v>12951.663119999999</v>
      </c>
      <c r="H44" s="296">
        <v>12392.938319999999</v>
      </c>
      <c r="I44" s="296">
        <v>8915.5421999999999</v>
      </c>
      <c r="J44" s="296">
        <v>7060.4531999999999</v>
      </c>
      <c r="K44" s="296">
        <v>5692.48128</v>
      </c>
      <c r="L44" s="296">
        <v>12488.84952</v>
      </c>
      <c r="M44" s="296">
        <v>14171.85348</v>
      </c>
      <c r="N44" s="296">
        <v>10850.79816</v>
      </c>
      <c r="O44" s="296">
        <v>12428.530559999999</v>
      </c>
    </row>
    <row r="45" spans="1:15">
      <c r="A45" s="328"/>
      <c r="B45" s="219" t="s">
        <v>153</v>
      </c>
      <c r="C45" s="296">
        <v>7571.4187199999997</v>
      </c>
      <c r="D45" s="296">
        <v>9412.7603999999992</v>
      </c>
      <c r="E45" s="296">
        <v>8657.0051999999996</v>
      </c>
      <c r="F45" s="296">
        <v>8613.4380000000001</v>
      </c>
      <c r="G45" s="296">
        <v>8362.5669600000001</v>
      </c>
      <c r="H45" s="296">
        <v>5973.1339200000002</v>
      </c>
      <c r="I45" s="296">
        <v>4499.8785600000001</v>
      </c>
      <c r="J45" s="296">
        <v>3011.7919200000001</v>
      </c>
      <c r="K45" s="296">
        <v>8495.9349600000005</v>
      </c>
      <c r="L45" s="296">
        <v>7778.7225600000002</v>
      </c>
      <c r="M45" s="296">
        <v>8188.4534400000002</v>
      </c>
      <c r="N45" s="296">
        <v>5963.8089600000003</v>
      </c>
      <c r="O45" s="296">
        <v>8968.3408799999997</v>
      </c>
    </row>
    <row r="46" spans="1:15">
      <c r="A46" s="297" t="s">
        <v>15</v>
      </c>
      <c r="B46" s="298"/>
      <c r="C46" s="299">
        <v>1635928.3296699999</v>
      </c>
      <c r="D46" s="299">
        <v>2174242.6565700001</v>
      </c>
      <c r="E46" s="299">
        <v>2554758.2757600001</v>
      </c>
      <c r="F46" s="299">
        <v>1863146.8594200001</v>
      </c>
      <c r="G46" s="299">
        <v>1754206.4887399999</v>
      </c>
      <c r="H46" s="299">
        <v>1354059.8992399999</v>
      </c>
      <c r="I46" s="299">
        <v>1340297.35919</v>
      </c>
      <c r="J46" s="299">
        <v>1568955.8586500001</v>
      </c>
      <c r="K46" s="299">
        <v>2132805.5654000002</v>
      </c>
      <c r="L46" s="299">
        <v>1983228.0497300001</v>
      </c>
      <c r="M46" s="299">
        <v>1863788.4281599999</v>
      </c>
      <c r="N46" s="299">
        <v>1750371.9203900001</v>
      </c>
      <c r="O46" s="299">
        <v>2329441.5789200002</v>
      </c>
    </row>
    <row r="47" spans="1:15">
      <c r="A47" s="242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5">
        <f>(+O46/C46-1)*100</f>
        <v>42.392642554817563</v>
      </c>
    </row>
    <row r="48" spans="1:15">
      <c r="A48" s="242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</row>
    <row r="49" spans="1:14">
      <c r="A49" s="242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</row>
    <row r="50" spans="1:14">
      <c r="C50" s="190" t="s">
        <v>30</v>
      </c>
      <c r="D50" s="190" t="s">
        <v>31</v>
      </c>
      <c r="E50" s="190" t="s">
        <v>32</v>
      </c>
      <c r="F50" s="188"/>
      <c r="G50" s="188"/>
      <c r="H50" s="189"/>
    </row>
    <row r="51" spans="1:14">
      <c r="A51" s="187"/>
      <c r="C51" s="223"/>
      <c r="D51" s="223"/>
      <c r="E51" s="223"/>
      <c r="F51" s="188"/>
      <c r="G51" s="188"/>
      <c r="H51" s="189"/>
    </row>
    <row r="52" spans="1:14">
      <c r="A52" s="187">
        <v>0</v>
      </c>
      <c r="B52" s="222">
        <v>45200</v>
      </c>
      <c r="C52" s="221">
        <v>2.1056485495590422</v>
      </c>
      <c r="D52" s="221">
        <v>40.400211353346023</v>
      </c>
      <c r="E52" s="221">
        <f t="shared" ref="E52" si="1">IF(C52&lt;D52,C52,D52)</f>
        <v>2.1056485495590422</v>
      </c>
      <c r="F52" s="188">
        <f t="shared" ref="F52:F115" si="2">IF(DAY(B52)=1,600,"")</f>
        <v>600</v>
      </c>
      <c r="G52">
        <f>YEAR(B52)</f>
        <v>2023</v>
      </c>
      <c r="H52" s="188"/>
      <c r="I52" s="189"/>
    </row>
    <row r="53" spans="1:14">
      <c r="A53" s="187">
        <v>1</v>
      </c>
      <c r="B53" s="222">
        <v>45201</v>
      </c>
      <c r="C53" s="221">
        <v>2.635984137558109</v>
      </c>
      <c r="D53" s="221">
        <v>40.400211353346023</v>
      </c>
      <c r="E53" s="221">
        <f t="shared" ref="E53" si="3">IF(C53&lt;D53,C53,D53)</f>
        <v>2.635984137558109</v>
      </c>
      <c r="F53" s="188" t="str">
        <f t="shared" si="2"/>
        <v/>
      </c>
      <c r="G53" t="str">
        <f>IF(MONTH(B53)=1,IF(DAY(B53)=1,YEAR(B53),""),"")</f>
        <v/>
      </c>
      <c r="H53" s="188"/>
      <c r="I53" s="189"/>
    </row>
    <row r="54" spans="1:14">
      <c r="A54" s="187">
        <v>2</v>
      </c>
      <c r="B54" s="222">
        <v>45202</v>
      </c>
      <c r="C54" s="221">
        <v>3.8150691695590395</v>
      </c>
      <c r="D54" s="221">
        <v>40.400211353346023</v>
      </c>
      <c r="E54" s="221">
        <f t="shared" ref="E54:E58" si="4">IF(C54&lt;D54,C54,D54)</f>
        <v>3.8150691695590395</v>
      </c>
      <c r="F54" s="188" t="str">
        <f t="shared" si="2"/>
        <v/>
      </c>
      <c r="G54" t="str">
        <f t="shared" ref="G54:G117" si="5">IF(MONTH(B54)=1,IF(DAY(B54)=1,YEAR(B54),""),"")</f>
        <v/>
      </c>
      <c r="H54" s="188"/>
      <c r="I54" s="189"/>
    </row>
    <row r="55" spans="1:14">
      <c r="A55" s="187">
        <v>3</v>
      </c>
      <c r="B55" s="222">
        <v>45203</v>
      </c>
      <c r="C55" s="221">
        <v>8.2569853218427092</v>
      </c>
      <c r="D55" s="221">
        <v>40.400211353346023</v>
      </c>
      <c r="E55" s="221">
        <f t="shared" si="4"/>
        <v>8.2569853218427092</v>
      </c>
      <c r="F55" s="188" t="str">
        <f t="shared" si="2"/>
        <v/>
      </c>
      <c r="G55" t="str">
        <f t="shared" si="5"/>
        <v/>
      </c>
      <c r="H55" s="188"/>
      <c r="I55" s="189"/>
    </row>
    <row r="56" spans="1:14">
      <c r="A56" s="187">
        <v>4</v>
      </c>
      <c r="B56" s="222">
        <v>45204</v>
      </c>
      <c r="C56" s="221">
        <v>20.672574646844573</v>
      </c>
      <c r="D56" s="221">
        <v>40.400211353346023</v>
      </c>
      <c r="E56" s="221">
        <f t="shared" si="4"/>
        <v>20.672574646844573</v>
      </c>
      <c r="F56" s="188" t="str">
        <f t="shared" si="2"/>
        <v/>
      </c>
      <c r="G56" t="str">
        <f t="shared" si="5"/>
        <v/>
      </c>
      <c r="H56" s="188"/>
      <c r="I56" s="189"/>
    </row>
    <row r="57" spans="1:14">
      <c r="A57" s="187">
        <v>5</v>
      </c>
      <c r="B57" s="222">
        <v>45205</v>
      </c>
      <c r="C57" s="221">
        <v>22.144515225843644</v>
      </c>
      <c r="D57" s="221">
        <v>40.400211353346023</v>
      </c>
      <c r="E57" s="221">
        <f t="shared" si="4"/>
        <v>22.144515225843644</v>
      </c>
      <c r="F57" s="188" t="str">
        <f t="shared" si="2"/>
        <v/>
      </c>
      <c r="G57" t="str">
        <f t="shared" si="5"/>
        <v/>
      </c>
      <c r="H57" s="188"/>
      <c r="I57" s="189"/>
    </row>
    <row r="58" spans="1:14">
      <c r="A58" s="187">
        <v>6</v>
      </c>
      <c r="B58" s="222">
        <v>45206</v>
      </c>
      <c r="C58" s="221">
        <v>5.1140933218445719</v>
      </c>
      <c r="D58" s="221">
        <v>40.400211353346023</v>
      </c>
      <c r="E58" s="221">
        <f t="shared" si="4"/>
        <v>5.1140933218445719</v>
      </c>
      <c r="F58" s="188" t="str">
        <f t="shared" si="2"/>
        <v/>
      </c>
      <c r="G58" t="str">
        <f t="shared" si="5"/>
        <v/>
      </c>
      <c r="H58" s="188"/>
      <c r="I58" s="189"/>
    </row>
    <row r="59" spans="1:14">
      <c r="A59" s="187">
        <v>7</v>
      </c>
      <c r="B59" s="222">
        <v>45207</v>
      </c>
      <c r="C59" s="221">
        <v>3.4750962828436425</v>
      </c>
      <c r="D59" s="221">
        <v>40.400211353346023</v>
      </c>
      <c r="E59" s="221">
        <f t="shared" ref="E59:E115" si="6">IF(C59&lt;D59,C59,D59)</f>
        <v>3.4750962828436425</v>
      </c>
      <c r="F59" s="188" t="str">
        <f t="shared" si="2"/>
        <v/>
      </c>
      <c r="G59" t="str">
        <f t="shared" si="5"/>
        <v/>
      </c>
      <c r="H59" s="188"/>
      <c r="I59" s="189"/>
    </row>
    <row r="60" spans="1:14">
      <c r="A60" s="187">
        <v>8</v>
      </c>
      <c r="B60" s="222">
        <v>45208</v>
      </c>
      <c r="C60" s="221">
        <v>22.509661284844572</v>
      </c>
      <c r="D60" s="221">
        <v>40.400211353346023</v>
      </c>
      <c r="E60" s="221">
        <f t="shared" si="6"/>
        <v>22.509661284844572</v>
      </c>
      <c r="F60" s="188" t="str">
        <f t="shared" si="2"/>
        <v/>
      </c>
      <c r="G60" t="str">
        <f t="shared" si="5"/>
        <v/>
      </c>
      <c r="H60" s="188"/>
      <c r="I60" s="189"/>
    </row>
    <row r="61" spans="1:14">
      <c r="A61" s="187">
        <v>9</v>
      </c>
      <c r="B61" s="222">
        <v>45209</v>
      </c>
      <c r="C61" s="221">
        <v>24.315748561843641</v>
      </c>
      <c r="D61" s="221">
        <v>40.400211353346023</v>
      </c>
      <c r="E61" s="221">
        <f t="shared" si="6"/>
        <v>24.315748561843641</v>
      </c>
      <c r="F61" s="188" t="str">
        <f t="shared" si="2"/>
        <v/>
      </c>
      <c r="G61" t="str">
        <f t="shared" si="5"/>
        <v/>
      </c>
      <c r="H61" s="188"/>
      <c r="I61" s="189"/>
    </row>
    <row r="62" spans="1:14">
      <c r="A62" s="187">
        <v>10</v>
      </c>
      <c r="B62" s="222">
        <v>45210</v>
      </c>
      <c r="C62" s="221">
        <v>16.618847536526957</v>
      </c>
      <c r="D62" s="221">
        <v>40.400211353346023</v>
      </c>
      <c r="E62" s="221">
        <f t="shared" si="6"/>
        <v>16.618847536526957</v>
      </c>
      <c r="F62" s="188" t="str">
        <f t="shared" si="2"/>
        <v/>
      </c>
      <c r="G62" t="str">
        <f t="shared" si="5"/>
        <v/>
      </c>
      <c r="H62" s="188"/>
      <c r="I62" s="189"/>
    </row>
    <row r="63" spans="1:14">
      <c r="A63" s="187">
        <v>11</v>
      </c>
      <c r="B63" s="222">
        <v>45211</v>
      </c>
      <c r="C63" s="221">
        <v>8.7665859895250904</v>
      </c>
      <c r="D63" s="221">
        <v>40.400211353346023</v>
      </c>
      <c r="E63" s="221">
        <f t="shared" si="6"/>
        <v>8.7665859895250904</v>
      </c>
      <c r="F63" s="188" t="str">
        <f t="shared" si="2"/>
        <v/>
      </c>
      <c r="G63" t="str">
        <f t="shared" si="5"/>
        <v/>
      </c>
      <c r="H63" s="188"/>
      <c r="I63" s="189"/>
    </row>
    <row r="64" spans="1:14">
      <c r="A64" s="187">
        <v>12</v>
      </c>
      <c r="B64" s="222">
        <v>45212</v>
      </c>
      <c r="C64" s="221">
        <v>4.0539202715278808</v>
      </c>
      <c r="D64" s="221">
        <v>40.400211353346023</v>
      </c>
      <c r="E64" s="221">
        <f t="shared" si="6"/>
        <v>4.0539202715278808</v>
      </c>
      <c r="F64" s="188" t="str">
        <f t="shared" si="2"/>
        <v/>
      </c>
      <c r="G64" t="str">
        <f t="shared" si="5"/>
        <v/>
      </c>
      <c r="H64" s="188"/>
      <c r="I64" s="189"/>
    </row>
    <row r="65" spans="1:9">
      <c r="A65" s="187">
        <v>13</v>
      </c>
      <c r="B65" s="222">
        <v>45213</v>
      </c>
      <c r="C65" s="221">
        <v>11.487250864526956</v>
      </c>
      <c r="D65" s="221">
        <v>40.400211353346023</v>
      </c>
      <c r="E65" s="221">
        <f t="shared" si="6"/>
        <v>11.487250864526956</v>
      </c>
      <c r="F65" s="188" t="str">
        <f t="shared" si="2"/>
        <v/>
      </c>
      <c r="G65" t="str">
        <f t="shared" si="5"/>
        <v/>
      </c>
      <c r="H65" s="188"/>
      <c r="I65" s="189"/>
    </row>
    <row r="66" spans="1:9">
      <c r="A66" s="187">
        <v>14</v>
      </c>
      <c r="B66" s="222">
        <v>45214</v>
      </c>
      <c r="C66" s="221">
        <v>5.1308790605269534</v>
      </c>
      <c r="D66" s="221">
        <v>40.400211353346023</v>
      </c>
      <c r="E66" s="221">
        <f t="shared" si="6"/>
        <v>5.1308790605269534</v>
      </c>
      <c r="F66" s="188" t="str">
        <f t="shared" si="2"/>
        <v/>
      </c>
      <c r="G66" t="str">
        <f t="shared" si="5"/>
        <v/>
      </c>
      <c r="H66" s="188" t="str">
        <f>IF(DAY(B66)=15,IF(MONTH(B66)=1,"E",IF(MONTH(B66)=2,"F",IF(MONTH(B66)=3,"M",IF(MONTH(B66)=4,"A",IF(MONTH(B66)=5,"M",IF(MONTH(B66)=6,"J",IF(MONTH(B66)=7,"J",IF(MONTH(B66)=8,"A",IF(MONTH(B66)=9,"S",IF(MONTH(B66)=10,"O",IF(MONTH(B66)=11,"N",IF(MONTH(B66)=12,"D","")))))))))))),"")</f>
        <v>O</v>
      </c>
      <c r="I66" s="189">
        <f>IF(DAY(B66)=15,D66,"")</f>
        <v>40.400211353346023</v>
      </c>
    </row>
    <row r="67" spans="1:9">
      <c r="A67" s="187">
        <v>15</v>
      </c>
      <c r="B67" s="222">
        <v>45215</v>
      </c>
      <c r="C67" s="221">
        <v>27.555892200526948</v>
      </c>
      <c r="D67" s="221">
        <v>40.400211353346023</v>
      </c>
      <c r="E67" s="221">
        <f t="shared" si="6"/>
        <v>27.555892200526948</v>
      </c>
      <c r="F67" s="188" t="str">
        <f t="shared" si="2"/>
        <v/>
      </c>
      <c r="G67" t="str">
        <f t="shared" si="5"/>
        <v/>
      </c>
      <c r="H67" s="188" t="str">
        <f t="shared" ref="H67:H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I67" s="189"/>
    </row>
    <row r="68" spans="1:9">
      <c r="A68" s="187">
        <v>16</v>
      </c>
      <c r="B68" s="222">
        <v>45216</v>
      </c>
      <c r="C68" s="221">
        <v>5.8518849325269544</v>
      </c>
      <c r="D68" s="221">
        <v>40.400211353346023</v>
      </c>
      <c r="E68" s="221">
        <f t="shared" si="6"/>
        <v>5.8518849325269544</v>
      </c>
      <c r="F68" s="188" t="str">
        <f t="shared" si="2"/>
        <v/>
      </c>
      <c r="G68" t="str">
        <f t="shared" si="5"/>
        <v/>
      </c>
      <c r="H68" s="188" t="str">
        <f t="shared" si="7"/>
        <v/>
      </c>
      <c r="I68" s="189"/>
    </row>
    <row r="69" spans="1:9">
      <c r="A69" s="187">
        <v>17</v>
      </c>
      <c r="B69" s="222">
        <v>45217</v>
      </c>
      <c r="C69" s="221">
        <v>70.60312873297741</v>
      </c>
      <c r="D69" s="221">
        <v>40.400211353346023</v>
      </c>
      <c r="E69" s="221">
        <f t="shared" si="6"/>
        <v>40.400211353346023</v>
      </c>
      <c r="F69" s="188" t="str">
        <f t="shared" si="2"/>
        <v/>
      </c>
      <c r="G69" t="str">
        <f t="shared" si="5"/>
        <v/>
      </c>
      <c r="H69" s="188" t="str">
        <f t="shared" si="7"/>
        <v/>
      </c>
      <c r="I69" s="189"/>
    </row>
    <row r="70" spans="1:9">
      <c r="A70" s="187">
        <v>18</v>
      </c>
      <c r="B70" s="222">
        <v>45218</v>
      </c>
      <c r="C70" s="221">
        <v>78.534630715978338</v>
      </c>
      <c r="D70" s="221">
        <v>40.400211353346023</v>
      </c>
      <c r="E70" s="221">
        <f t="shared" si="6"/>
        <v>40.400211353346023</v>
      </c>
      <c r="F70" s="188" t="str">
        <f t="shared" si="2"/>
        <v/>
      </c>
      <c r="G70" t="str">
        <f t="shared" si="5"/>
        <v/>
      </c>
      <c r="H70" s="188" t="str">
        <f t="shared" si="7"/>
        <v/>
      </c>
      <c r="I70" s="189"/>
    </row>
    <row r="71" spans="1:9">
      <c r="A71" s="187">
        <v>19</v>
      </c>
      <c r="B71" s="222">
        <v>45219</v>
      </c>
      <c r="C71" s="221">
        <v>90.890940400979275</v>
      </c>
      <c r="D71" s="221">
        <v>40.400211353346023</v>
      </c>
      <c r="E71" s="221">
        <f t="shared" si="6"/>
        <v>40.400211353346023</v>
      </c>
      <c r="F71" s="188" t="str">
        <f t="shared" si="2"/>
        <v/>
      </c>
      <c r="G71" t="str">
        <f t="shared" si="5"/>
        <v/>
      </c>
      <c r="H71" s="188" t="str">
        <f t="shared" si="7"/>
        <v/>
      </c>
      <c r="I71" s="189"/>
    </row>
    <row r="72" spans="1:9">
      <c r="A72" s="187">
        <v>20</v>
      </c>
      <c r="B72" s="222">
        <v>45220</v>
      </c>
      <c r="C72" s="221">
        <v>96.171797856979282</v>
      </c>
      <c r="D72" s="221">
        <v>40.400211353346023</v>
      </c>
      <c r="E72" s="221">
        <f t="shared" si="6"/>
        <v>40.400211353346023</v>
      </c>
      <c r="F72" s="188" t="str">
        <f t="shared" si="2"/>
        <v/>
      </c>
      <c r="G72" t="str">
        <f t="shared" si="5"/>
        <v/>
      </c>
      <c r="H72" s="188" t="str">
        <f t="shared" si="7"/>
        <v/>
      </c>
      <c r="I72" s="189"/>
    </row>
    <row r="73" spans="1:9">
      <c r="A73" s="187">
        <v>21</v>
      </c>
      <c r="B73" s="222">
        <v>45221</v>
      </c>
      <c r="C73" s="221">
        <v>104.0859269489774</v>
      </c>
      <c r="D73" s="221">
        <v>40.400211353346023</v>
      </c>
      <c r="E73" s="221">
        <f t="shared" si="6"/>
        <v>40.400211353346023</v>
      </c>
      <c r="F73" s="188" t="str">
        <f t="shared" si="2"/>
        <v/>
      </c>
      <c r="G73" t="str">
        <f t="shared" si="5"/>
        <v/>
      </c>
      <c r="H73" s="188" t="str">
        <f t="shared" si="7"/>
        <v/>
      </c>
      <c r="I73" s="189"/>
    </row>
    <row r="74" spans="1:9">
      <c r="A74" s="187">
        <v>22</v>
      </c>
      <c r="B74" s="222">
        <v>45222</v>
      </c>
      <c r="C74" s="221">
        <v>122.76917567297927</v>
      </c>
      <c r="D74" s="221">
        <v>40.400211353346023</v>
      </c>
      <c r="E74" s="221">
        <f t="shared" si="6"/>
        <v>40.400211353346023</v>
      </c>
      <c r="F74" s="188" t="str">
        <f t="shared" si="2"/>
        <v/>
      </c>
      <c r="G74" t="str">
        <f t="shared" si="5"/>
        <v/>
      </c>
      <c r="H74" s="188" t="str">
        <f t="shared" si="7"/>
        <v/>
      </c>
      <c r="I74" s="189"/>
    </row>
    <row r="75" spans="1:9">
      <c r="A75" s="187">
        <v>23</v>
      </c>
      <c r="B75" s="222">
        <v>45223</v>
      </c>
      <c r="C75" s="221">
        <v>101.42940740097833</v>
      </c>
      <c r="D75" s="221">
        <v>40.400211353346023</v>
      </c>
      <c r="E75" s="221">
        <f t="shared" si="6"/>
        <v>40.400211353346023</v>
      </c>
      <c r="F75" s="188" t="str">
        <f t="shared" si="2"/>
        <v/>
      </c>
      <c r="G75" t="str">
        <f t="shared" si="5"/>
        <v/>
      </c>
      <c r="H75" s="188" t="str">
        <f t="shared" si="7"/>
        <v/>
      </c>
      <c r="I75" s="189"/>
    </row>
    <row r="76" spans="1:9">
      <c r="A76" s="187">
        <v>24</v>
      </c>
      <c r="B76" s="222">
        <v>45224</v>
      </c>
      <c r="C76" s="221">
        <v>155.50635443682236</v>
      </c>
      <c r="D76" s="221">
        <v>40.400211353346023</v>
      </c>
      <c r="E76" s="221">
        <f t="shared" si="6"/>
        <v>40.400211353346023</v>
      </c>
      <c r="F76" s="188" t="str">
        <f t="shared" si="2"/>
        <v/>
      </c>
      <c r="G76" t="str">
        <f t="shared" si="5"/>
        <v/>
      </c>
      <c r="H76" s="188" t="str">
        <f t="shared" si="7"/>
        <v/>
      </c>
      <c r="I76" s="189"/>
    </row>
    <row r="77" spans="1:9">
      <c r="A77" s="187">
        <v>25</v>
      </c>
      <c r="B77" s="222">
        <v>45225</v>
      </c>
      <c r="C77" s="221">
        <v>161.22304439982139</v>
      </c>
      <c r="D77" s="221">
        <v>40.400211353346023</v>
      </c>
      <c r="E77" s="221">
        <f t="shared" si="6"/>
        <v>40.400211353346023</v>
      </c>
      <c r="F77" s="188" t="str">
        <f t="shared" si="2"/>
        <v/>
      </c>
      <c r="G77" t="str">
        <f t="shared" si="5"/>
        <v/>
      </c>
      <c r="H77" s="188" t="str">
        <f t="shared" si="7"/>
        <v/>
      </c>
      <c r="I77" s="189"/>
    </row>
    <row r="78" spans="1:9">
      <c r="A78" s="187">
        <v>26</v>
      </c>
      <c r="B78" s="222">
        <v>45226</v>
      </c>
      <c r="C78" s="221">
        <v>173.31285210182233</v>
      </c>
      <c r="D78" s="221">
        <v>40.400211353346023</v>
      </c>
      <c r="E78" s="221">
        <f t="shared" si="6"/>
        <v>40.400211353346023</v>
      </c>
      <c r="F78" s="188" t="str">
        <f t="shared" si="2"/>
        <v/>
      </c>
      <c r="G78" t="str">
        <f t="shared" si="5"/>
        <v/>
      </c>
      <c r="H78" s="188" t="str">
        <f t="shared" si="7"/>
        <v/>
      </c>
      <c r="I78" s="189"/>
    </row>
    <row r="79" spans="1:9">
      <c r="A79" s="187">
        <v>27</v>
      </c>
      <c r="B79" s="222">
        <v>45227</v>
      </c>
      <c r="C79" s="221">
        <v>167.54062048382141</v>
      </c>
      <c r="D79" s="221">
        <v>40.400211353346023</v>
      </c>
      <c r="E79" s="221">
        <f t="shared" si="6"/>
        <v>40.400211353346023</v>
      </c>
      <c r="F79" s="188" t="str">
        <f t="shared" si="2"/>
        <v/>
      </c>
      <c r="G79" t="str">
        <f t="shared" si="5"/>
        <v/>
      </c>
      <c r="H79" s="188" t="str">
        <f t="shared" si="7"/>
        <v/>
      </c>
      <c r="I79" s="189"/>
    </row>
    <row r="80" spans="1:9">
      <c r="A80" s="187">
        <v>28</v>
      </c>
      <c r="B80" s="222">
        <v>45228</v>
      </c>
      <c r="C80" s="221">
        <v>177.79013328882235</v>
      </c>
      <c r="D80" s="221">
        <v>40.400211353346023</v>
      </c>
      <c r="E80" s="221">
        <f t="shared" si="6"/>
        <v>40.400211353346023</v>
      </c>
      <c r="F80" s="188" t="str">
        <f t="shared" si="2"/>
        <v/>
      </c>
      <c r="G80" t="str">
        <f t="shared" si="5"/>
        <v/>
      </c>
      <c r="H80" s="188" t="str">
        <f t="shared" si="7"/>
        <v/>
      </c>
      <c r="I80" s="189"/>
    </row>
    <row r="81" spans="1:9">
      <c r="A81" s="187">
        <v>29</v>
      </c>
      <c r="B81" s="222">
        <v>45229</v>
      </c>
      <c r="C81" s="221">
        <v>178.86842101782236</v>
      </c>
      <c r="D81" s="221">
        <v>40.400211353346023</v>
      </c>
      <c r="E81" s="221">
        <f t="shared" si="6"/>
        <v>40.400211353346023</v>
      </c>
      <c r="F81" s="188" t="str">
        <f t="shared" si="2"/>
        <v/>
      </c>
      <c r="G81" t="str">
        <f t="shared" si="5"/>
        <v/>
      </c>
      <c r="H81" s="188" t="str">
        <f t="shared" si="7"/>
        <v/>
      </c>
      <c r="I81" s="189"/>
    </row>
    <row r="82" spans="1:9">
      <c r="A82" s="187">
        <v>30</v>
      </c>
      <c r="B82" s="222">
        <v>45230</v>
      </c>
      <c r="C82" s="221">
        <v>219.01297562782048</v>
      </c>
      <c r="D82" s="221">
        <v>40.400211353346023</v>
      </c>
      <c r="E82" s="221">
        <f t="shared" si="6"/>
        <v>40.400211353346023</v>
      </c>
      <c r="F82" s="188" t="str">
        <f t="shared" si="2"/>
        <v/>
      </c>
      <c r="G82" t="str">
        <f t="shared" si="5"/>
        <v/>
      </c>
      <c r="H82" s="188" t="str">
        <f t="shared" si="7"/>
        <v/>
      </c>
      <c r="I82" s="189"/>
    </row>
    <row r="83" spans="1:9">
      <c r="A83" s="187">
        <v>31</v>
      </c>
      <c r="B83" s="222">
        <v>45231</v>
      </c>
      <c r="C83" s="221">
        <v>253.6148215318982</v>
      </c>
      <c r="D83" s="221">
        <v>80.938788836501317</v>
      </c>
      <c r="E83" s="221">
        <f t="shared" si="6"/>
        <v>80.938788836501317</v>
      </c>
      <c r="F83" s="188">
        <f t="shared" si="2"/>
        <v>600</v>
      </c>
      <c r="G83" t="str">
        <f t="shared" si="5"/>
        <v/>
      </c>
      <c r="H83" s="188" t="str">
        <f t="shared" si="7"/>
        <v/>
      </c>
      <c r="I83" s="189"/>
    </row>
    <row r="84" spans="1:9">
      <c r="A84" s="187">
        <v>32</v>
      </c>
      <c r="B84" s="222">
        <v>45232</v>
      </c>
      <c r="C84" s="221">
        <v>254.10288048389819</v>
      </c>
      <c r="D84" s="221">
        <v>80.938788836501317</v>
      </c>
      <c r="E84" s="221">
        <f t="shared" si="6"/>
        <v>80.938788836501317</v>
      </c>
      <c r="F84" s="188" t="str">
        <f t="shared" si="2"/>
        <v/>
      </c>
      <c r="G84" t="str">
        <f t="shared" si="5"/>
        <v/>
      </c>
      <c r="H84" s="188" t="str">
        <f t="shared" si="7"/>
        <v/>
      </c>
      <c r="I84" s="189"/>
    </row>
    <row r="85" spans="1:9">
      <c r="A85" s="187">
        <v>33</v>
      </c>
      <c r="B85" s="222">
        <v>45233</v>
      </c>
      <c r="C85" s="221">
        <v>263.87942528789819</v>
      </c>
      <c r="D85" s="221">
        <v>80.938788836501317</v>
      </c>
      <c r="E85" s="221">
        <f t="shared" si="6"/>
        <v>80.938788836501317</v>
      </c>
      <c r="F85" s="188" t="str">
        <f t="shared" si="2"/>
        <v/>
      </c>
      <c r="G85" t="str">
        <f t="shared" si="5"/>
        <v/>
      </c>
      <c r="H85" s="188" t="str">
        <f t="shared" si="7"/>
        <v/>
      </c>
      <c r="I85" s="189"/>
    </row>
    <row r="86" spans="1:9">
      <c r="A86" s="187">
        <v>34</v>
      </c>
      <c r="B86" s="222">
        <v>45234</v>
      </c>
      <c r="C86" s="221">
        <v>260.97814761189818</v>
      </c>
      <c r="D86" s="221">
        <v>80.938788836501317</v>
      </c>
      <c r="E86" s="221">
        <f t="shared" si="6"/>
        <v>80.938788836501317</v>
      </c>
      <c r="F86" s="188" t="str">
        <f t="shared" si="2"/>
        <v/>
      </c>
      <c r="G86" t="str">
        <f t="shared" si="5"/>
        <v/>
      </c>
      <c r="H86" s="188" t="str">
        <f t="shared" si="7"/>
        <v/>
      </c>
      <c r="I86" s="189"/>
    </row>
    <row r="87" spans="1:9">
      <c r="A87" s="187">
        <v>35</v>
      </c>
      <c r="B87" s="222">
        <v>45235</v>
      </c>
      <c r="C87" s="221">
        <v>260.26990864389916</v>
      </c>
      <c r="D87" s="221">
        <v>80.938788836501317</v>
      </c>
      <c r="E87" s="221">
        <f t="shared" si="6"/>
        <v>80.938788836501317</v>
      </c>
      <c r="F87" s="188" t="str">
        <f t="shared" si="2"/>
        <v/>
      </c>
      <c r="G87" t="str">
        <f t="shared" si="5"/>
        <v/>
      </c>
      <c r="H87" s="188" t="str">
        <f t="shared" si="7"/>
        <v/>
      </c>
      <c r="I87" s="189"/>
    </row>
    <row r="88" spans="1:9">
      <c r="A88" s="187">
        <v>36</v>
      </c>
      <c r="B88" s="222">
        <v>45236</v>
      </c>
      <c r="C88" s="221">
        <v>271.86419665289731</v>
      </c>
      <c r="D88" s="221">
        <v>80.938788836501317</v>
      </c>
      <c r="E88" s="221">
        <f t="shared" si="6"/>
        <v>80.938788836501317</v>
      </c>
      <c r="F88" s="188" t="str">
        <f t="shared" si="2"/>
        <v/>
      </c>
      <c r="G88" t="str">
        <f t="shared" si="5"/>
        <v/>
      </c>
      <c r="H88" s="188" t="str">
        <f t="shared" si="7"/>
        <v/>
      </c>
      <c r="I88" s="189"/>
    </row>
    <row r="89" spans="1:9">
      <c r="A89" s="187">
        <v>37</v>
      </c>
      <c r="B89" s="222">
        <v>45237</v>
      </c>
      <c r="C89" s="221">
        <v>288.43707496989913</v>
      </c>
      <c r="D89" s="221">
        <v>80.938788836501317</v>
      </c>
      <c r="E89" s="221">
        <f t="shared" si="6"/>
        <v>80.938788836501317</v>
      </c>
      <c r="F89" s="188" t="str">
        <f t="shared" si="2"/>
        <v/>
      </c>
      <c r="G89" t="str">
        <f t="shared" si="5"/>
        <v/>
      </c>
      <c r="H89" s="188" t="str">
        <f t="shared" si="7"/>
        <v/>
      </c>
      <c r="I89" s="189"/>
    </row>
    <row r="90" spans="1:9">
      <c r="A90" s="187">
        <v>38</v>
      </c>
      <c r="B90" s="222">
        <v>45238</v>
      </c>
      <c r="C90" s="221">
        <v>201.7189202797035</v>
      </c>
      <c r="D90" s="221">
        <v>80.938788836501317</v>
      </c>
      <c r="E90" s="221">
        <f t="shared" si="6"/>
        <v>80.938788836501317</v>
      </c>
      <c r="F90" s="188" t="str">
        <f t="shared" si="2"/>
        <v/>
      </c>
      <c r="G90" t="str">
        <f t="shared" si="5"/>
        <v/>
      </c>
      <c r="H90" s="188" t="str">
        <f t="shared" si="7"/>
        <v/>
      </c>
      <c r="I90" s="189"/>
    </row>
    <row r="91" spans="1:9">
      <c r="A91" s="187">
        <v>39</v>
      </c>
      <c r="B91" s="222">
        <v>45239</v>
      </c>
      <c r="C91" s="221">
        <v>192.57401201370166</v>
      </c>
      <c r="D91" s="221">
        <v>80.938788836501317</v>
      </c>
      <c r="E91" s="221">
        <f t="shared" si="6"/>
        <v>80.938788836501317</v>
      </c>
      <c r="F91" s="188" t="str">
        <f t="shared" si="2"/>
        <v/>
      </c>
      <c r="G91" t="str">
        <f t="shared" si="5"/>
        <v/>
      </c>
      <c r="H91" s="188" t="str">
        <f t="shared" si="7"/>
        <v/>
      </c>
      <c r="I91" s="189"/>
    </row>
    <row r="92" spans="1:9">
      <c r="A92" s="187">
        <v>40</v>
      </c>
      <c r="B92" s="222">
        <v>45240</v>
      </c>
      <c r="C92" s="221">
        <v>190.53594786770165</v>
      </c>
      <c r="D92" s="221">
        <v>80.938788836501317</v>
      </c>
      <c r="E92" s="221">
        <f t="shared" si="6"/>
        <v>80.938788836501317</v>
      </c>
      <c r="F92" s="188" t="str">
        <f t="shared" si="2"/>
        <v/>
      </c>
      <c r="G92" t="str">
        <f t="shared" si="5"/>
        <v/>
      </c>
      <c r="H92" s="188" t="str">
        <f t="shared" si="7"/>
        <v/>
      </c>
      <c r="I92" s="189"/>
    </row>
    <row r="93" spans="1:9">
      <c r="A93" s="187">
        <v>41</v>
      </c>
      <c r="B93" s="222">
        <v>45241</v>
      </c>
      <c r="C93" s="221">
        <v>165.43634698970351</v>
      </c>
      <c r="D93" s="221">
        <v>80.938788836501317</v>
      </c>
      <c r="E93" s="221">
        <f t="shared" si="6"/>
        <v>80.938788836501317</v>
      </c>
      <c r="F93" s="188" t="str">
        <f t="shared" si="2"/>
        <v/>
      </c>
      <c r="G93" t="str">
        <f t="shared" si="5"/>
        <v/>
      </c>
      <c r="H93" s="188" t="str">
        <f t="shared" si="7"/>
        <v/>
      </c>
      <c r="I93" s="189"/>
    </row>
    <row r="94" spans="1:9">
      <c r="A94" s="187">
        <v>42</v>
      </c>
      <c r="B94" s="222">
        <v>45242</v>
      </c>
      <c r="C94" s="221">
        <v>171.5012587987035</v>
      </c>
      <c r="D94" s="221">
        <v>80.938788836501317</v>
      </c>
      <c r="E94" s="221">
        <f t="shared" si="6"/>
        <v>80.938788836501317</v>
      </c>
      <c r="F94" s="188" t="str">
        <f t="shared" si="2"/>
        <v/>
      </c>
      <c r="G94" t="str">
        <f t="shared" si="5"/>
        <v/>
      </c>
      <c r="H94" s="188" t="str">
        <f>IF(DAY(B94)=15,IF(MONTH(B94)=1,"E",IF(MONTH(B94)=2,"F",IF(MONTH(B94)=3,"M",IF(MONTH(B94)=4,"A",IF(MONTH(B94)=5,"M",IF(MONTH(B94)=6,"J",IF(MONTH(B94)=7,"J",IF(MONTH(B94)=8,"A",IF(MONTH(B94)=9,"S",IF(MONTH(B94)=10,"O",IF(MONTH(B94)=11,"N",IF(MONTH(B94)=12,"D","")))))))))))),"")</f>
        <v/>
      </c>
      <c r="I94" s="189"/>
    </row>
    <row r="95" spans="1:9">
      <c r="A95" s="187">
        <v>43</v>
      </c>
      <c r="B95" s="222">
        <v>45243</v>
      </c>
      <c r="C95" s="221">
        <v>186.9203967267035</v>
      </c>
      <c r="D95" s="221">
        <v>80.938788836501317</v>
      </c>
      <c r="E95" s="221">
        <f t="shared" si="6"/>
        <v>80.938788836501317</v>
      </c>
      <c r="F95" s="188" t="str">
        <f t="shared" si="2"/>
        <v/>
      </c>
      <c r="G95" t="str">
        <f t="shared" si="5"/>
        <v/>
      </c>
      <c r="H95" s="188" t="str">
        <f t="shared" si="7"/>
        <v/>
      </c>
      <c r="I95" s="189"/>
    </row>
    <row r="96" spans="1:9">
      <c r="A96" s="187">
        <v>44</v>
      </c>
      <c r="B96" s="222">
        <v>45244</v>
      </c>
      <c r="C96" s="221">
        <v>195.15432373870163</v>
      </c>
      <c r="D96" s="221">
        <v>80.938788836501317</v>
      </c>
      <c r="E96" s="221">
        <f t="shared" si="6"/>
        <v>80.938788836501317</v>
      </c>
      <c r="F96" s="188" t="str">
        <f t="shared" si="2"/>
        <v/>
      </c>
      <c r="G96" t="str">
        <f t="shared" si="5"/>
        <v/>
      </c>
      <c r="H96" s="188" t="str">
        <f>IF(DAY(B96)=15,IF(MONTH(B96)=1,"E",IF(MONTH(B96)=2,"F",IF(MONTH(B96)=3,"M",IF(MONTH(B96)=4,"A",IF(MONTH(B96)=5,"M",IF(MONTH(B96)=6,"J",IF(MONTH(B96)=7,"J",IF(MONTH(B96)=8,"A",IF(MONTH(B96)=9,"S",IF(MONTH(B96)=10,"O",IF(MONTH(B96)=11,"N",IF(MONTH(B96)=12,"D","")))))))))))),"")</f>
        <v/>
      </c>
      <c r="I96" s="189"/>
    </row>
    <row r="97" spans="1:9">
      <c r="A97" s="187">
        <v>45</v>
      </c>
      <c r="B97" s="222">
        <v>45245</v>
      </c>
      <c r="C97" s="221">
        <v>136.88150827041906</v>
      </c>
      <c r="D97" s="221">
        <v>80.938788836501317</v>
      </c>
      <c r="E97" s="221">
        <f t="shared" si="6"/>
        <v>80.938788836501317</v>
      </c>
      <c r="F97" s="188" t="str">
        <f t="shared" si="2"/>
        <v/>
      </c>
      <c r="G97" t="str">
        <f t="shared" si="5"/>
        <v/>
      </c>
      <c r="H97" s="188" t="str">
        <f>IF(DAY(B97)=15,IF(MONTH(B97)=1,"E",IF(MONTH(B97)=2,"F",IF(MONTH(B97)=3,"M",IF(MONTH(B97)=4,"A",IF(MONTH(B97)=5,"M",IF(MONTH(B97)=6,"J",IF(MONTH(B97)=7,"J",IF(MONTH(B97)=8,"A",IF(MONTH(B97)=9,"S",IF(MONTH(B97)=10,"O",IF(MONTH(B97)=11,"N",IF(MONTH(B97)=12,"D","")))))))))))),"")</f>
        <v>N</v>
      </c>
      <c r="I97" s="189">
        <f>IF(DAY(B97)=15,D97,"")</f>
        <v>80.938788836501317</v>
      </c>
    </row>
    <row r="98" spans="1:9">
      <c r="A98" s="187">
        <v>46</v>
      </c>
      <c r="B98" s="222">
        <v>45246</v>
      </c>
      <c r="C98" s="221">
        <v>137.88263202641906</v>
      </c>
      <c r="D98" s="221">
        <v>80.938788836501317</v>
      </c>
      <c r="E98" s="221">
        <f t="shared" si="6"/>
        <v>80.938788836501317</v>
      </c>
      <c r="F98" s="188" t="str">
        <f t="shared" si="2"/>
        <v/>
      </c>
      <c r="G98" t="str">
        <f t="shared" si="5"/>
        <v/>
      </c>
      <c r="H98" s="188" t="str">
        <f t="shared" si="7"/>
        <v/>
      </c>
      <c r="I98" s="189"/>
    </row>
    <row r="99" spans="1:9">
      <c r="A99" s="187">
        <v>47</v>
      </c>
      <c r="B99" s="222">
        <v>45247</v>
      </c>
      <c r="C99" s="221">
        <v>154.00726435041909</v>
      </c>
      <c r="D99" s="221">
        <v>80.938788836501317</v>
      </c>
      <c r="E99" s="221">
        <f t="shared" si="6"/>
        <v>80.938788836501317</v>
      </c>
      <c r="F99" s="188" t="str">
        <f t="shared" si="2"/>
        <v/>
      </c>
      <c r="G99" t="str">
        <f t="shared" si="5"/>
        <v/>
      </c>
      <c r="H99" s="188" t="str">
        <f t="shared" si="7"/>
        <v/>
      </c>
      <c r="I99" s="189"/>
    </row>
    <row r="100" spans="1:9">
      <c r="A100" s="187">
        <v>48</v>
      </c>
      <c r="B100" s="222">
        <v>45248</v>
      </c>
      <c r="C100" s="221">
        <v>147.38477178242093</v>
      </c>
      <c r="D100" s="221">
        <v>80.938788836501317</v>
      </c>
      <c r="E100" s="221">
        <f t="shared" si="6"/>
        <v>80.938788836501317</v>
      </c>
      <c r="F100" s="188" t="str">
        <f t="shared" si="2"/>
        <v/>
      </c>
      <c r="G100" t="str">
        <f t="shared" si="5"/>
        <v/>
      </c>
      <c r="H100" s="188" t="str">
        <f t="shared" si="7"/>
        <v/>
      </c>
      <c r="I100" s="189"/>
    </row>
    <row r="101" spans="1:9">
      <c r="A101" s="187">
        <v>49</v>
      </c>
      <c r="B101" s="222">
        <v>45249</v>
      </c>
      <c r="C101" s="221">
        <v>113.46929277041906</v>
      </c>
      <c r="D101" s="221">
        <v>80.938788836501317</v>
      </c>
      <c r="E101" s="221">
        <f t="shared" si="6"/>
        <v>80.938788836501317</v>
      </c>
      <c r="F101" s="188" t="str">
        <f t="shared" si="2"/>
        <v/>
      </c>
      <c r="G101" t="str">
        <f t="shared" si="5"/>
        <v/>
      </c>
      <c r="H101" s="188" t="str">
        <f t="shared" si="7"/>
        <v/>
      </c>
      <c r="I101" s="189"/>
    </row>
    <row r="102" spans="1:9">
      <c r="A102" s="187">
        <v>50</v>
      </c>
      <c r="B102" s="222">
        <v>45250</v>
      </c>
      <c r="C102" s="221">
        <v>133.41938511441907</v>
      </c>
      <c r="D102" s="221">
        <v>80.938788836501317</v>
      </c>
      <c r="E102" s="221">
        <f t="shared" si="6"/>
        <v>80.938788836501317</v>
      </c>
      <c r="F102" s="188" t="str">
        <f t="shared" si="2"/>
        <v/>
      </c>
      <c r="G102" t="str">
        <f t="shared" si="5"/>
        <v/>
      </c>
      <c r="H102" s="188" t="str">
        <f t="shared" si="7"/>
        <v/>
      </c>
      <c r="I102" s="189"/>
    </row>
    <row r="103" spans="1:9">
      <c r="A103" s="187">
        <v>51</v>
      </c>
      <c r="B103" s="222">
        <v>45251</v>
      </c>
      <c r="C103" s="221">
        <v>96.503505298420933</v>
      </c>
      <c r="D103" s="221">
        <v>80.938788836501317</v>
      </c>
      <c r="E103" s="221">
        <f t="shared" si="6"/>
        <v>80.938788836501317</v>
      </c>
      <c r="F103" s="188" t="str">
        <f t="shared" si="2"/>
        <v/>
      </c>
      <c r="G103" t="str">
        <f t="shared" si="5"/>
        <v/>
      </c>
      <c r="H103" s="188" t="str">
        <f t="shared" si="7"/>
        <v/>
      </c>
      <c r="I103" s="189"/>
    </row>
    <row r="104" spans="1:9">
      <c r="A104" s="187">
        <v>52</v>
      </c>
      <c r="B104" s="222">
        <v>45252</v>
      </c>
      <c r="C104" s="221">
        <v>54.502371812797733</v>
      </c>
      <c r="D104" s="221">
        <v>80.938788836501317</v>
      </c>
      <c r="E104" s="221">
        <f t="shared" si="6"/>
        <v>54.502371812797733</v>
      </c>
      <c r="F104" s="188" t="str">
        <f t="shared" si="2"/>
        <v/>
      </c>
      <c r="G104" t="str">
        <f t="shared" si="5"/>
        <v/>
      </c>
      <c r="H104" s="188" t="str">
        <f t="shared" si="7"/>
        <v/>
      </c>
      <c r="I104" s="189"/>
    </row>
    <row r="105" spans="1:9">
      <c r="A105" s="187">
        <v>53</v>
      </c>
      <c r="B105" s="222">
        <v>45253</v>
      </c>
      <c r="C105" s="221">
        <v>69.862290128795863</v>
      </c>
      <c r="D105" s="221">
        <v>80.938788836501317</v>
      </c>
      <c r="E105" s="221">
        <f t="shared" si="6"/>
        <v>69.862290128795863</v>
      </c>
      <c r="F105" s="188" t="str">
        <f t="shared" si="2"/>
        <v/>
      </c>
      <c r="G105" t="str">
        <f t="shared" si="5"/>
        <v/>
      </c>
      <c r="H105" s="188" t="str">
        <f t="shared" si="7"/>
        <v/>
      </c>
      <c r="I105" s="189"/>
    </row>
    <row r="106" spans="1:9">
      <c r="A106" s="187">
        <v>54</v>
      </c>
      <c r="B106" s="222">
        <v>45254</v>
      </c>
      <c r="C106" s="221">
        <v>82.498538988797733</v>
      </c>
      <c r="D106" s="221">
        <v>80.938788836501317</v>
      </c>
      <c r="E106" s="221">
        <f t="shared" si="6"/>
        <v>80.938788836501317</v>
      </c>
      <c r="F106" s="188" t="str">
        <f t="shared" si="2"/>
        <v/>
      </c>
      <c r="G106" t="str">
        <f t="shared" si="5"/>
        <v/>
      </c>
      <c r="H106" s="188" t="str">
        <f t="shared" si="7"/>
        <v/>
      </c>
      <c r="I106" s="189"/>
    </row>
    <row r="107" spans="1:9">
      <c r="A107" s="187">
        <v>55</v>
      </c>
      <c r="B107" s="222">
        <v>45255</v>
      </c>
      <c r="C107" s="221">
        <v>78.329930240797736</v>
      </c>
      <c r="D107" s="221">
        <v>80.938788836501317</v>
      </c>
      <c r="E107" s="221">
        <f t="shared" si="6"/>
        <v>78.329930240797736</v>
      </c>
      <c r="F107" s="188" t="str">
        <f t="shared" si="2"/>
        <v/>
      </c>
      <c r="G107" t="str">
        <f t="shared" si="5"/>
        <v/>
      </c>
      <c r="H107" s="188" t="str">
        <f t="shared" si="7"/>
        <v/>
      </c>
      <c r="I107" s="189"/>
    </row>
    <row r="108" spans="1:9">
      <c r="A108" s="187">
        <v>56</v>
      </c>
      <c r="B108" s="222">
        <v>45256</v>
      </c>
      <c r="C108" s="221">
        <v>119.80415644079773</v>
      </c>
      <c r="D108" s="221">
        <v>80.938788836501317</v>
      </c>
      <c r="E108" s="221">
        <f t="shared" si="6"/>
        <v>80.938788836501317</v>
      </c>
      <c r="F108" s="188" t="str">
        <f t="shared" si="2"/>
        <v/>
      </c>
      <c r="G108" t="str">
        <f t="shared" si="5"/>
        <v/>
      </c>
      <c r="H108" s="188" t="str">
        <f t="shared" si="7"/>
        <v/>
      </c>
      <c r="I108" s="189"/>
    </row>
    <row r="109" spans="1:9">
      <c r="A109" s="187">
        <v>57</v>
      </c>
      <c r="B109" s="222">
        <v>45257</v>
      </c>
      <c r="C109" s="221">
        <v>116.94519380879588</v>
      </c>
      <c r="D109" s="221">
        <v>80.938788836501317</v>
      </c>
      <c r="E109" s="221">
        <f t="shared" si="6"/>
        <v>80.938788836501317</v>
      </c>
      <c r="F109" s="188" t="str">
        <f t="shared" si="2"/>
        <v/>
      </c>
      <c r="G109" t="str">
        <f t="shared" si="5"/>
        <v/>
      </c>
      <c r="H109" s="188" t="str">
        <f t="shared" si="7"/>
        <v/>
      </c>
      <c r="I109" s="189"/>
    </row>
    <row r="110" spans="1:9">
      <c r="A110" s="187">
        <v>58</v>
      </c>
      <c r="B110" s="222">
        <v>45258</v>
      </c>
      <c r="C110" s="221">
        <v>112.09005923679774</v>
      </c>
      <c r="D110" s="221">
        <v>80.938788836501317</v>
      </c>
      <c r="E110" s="221">
        <f t="shared" si="6"/>
        <v>80.938788836501317</v>
      </c>
      <c r="F110" s="188" t="str">
        <f t="shared" si="2"/>
        <v/>
      </c>
      <c r="G110" t="str">
        <f t="shared" si="5"/>
        <v/>
      </c>
      <c r="H110" s="188" t="str">
        <f t="shared" si="7"/>
        <v/>
      </c>
      <c r="I110" s="189"/>
    </row>
    <row r="111" spans="1:9">
      <c r="A111" s="187">
        <v>59</v>
      </c>
      <c r="B111" s="222">
        <v>45259</v>
      </c>
      <c r="C111" s="221">
        <v>138.81680317065374</v>
      </c>
      <c r="D111" s="221">
        <v>80.938788836501317</v>
      </c>
      <c r="E111" s="221">
        <f t="shared" si="6"/>
        <v>80.938788836501317</v>
      </c>
      <c r="F111" s="188" t="str">
        <f t="shared" si="2"/>
        <v/>
      </c>
      <c r="G111" t="str">
        <f t="shared" si="5"/>
        <v/>
      </c>
      <c r="H111" s="188" t="str">
        <f t="shared" si="7"/>
        <v/>
      </c>
      <c r="I111" s="189"/>
    </row>
    <row r="112" spans="1:9">
      <c r="A112" s="187">
        <v>60</v>
      </c>
      <c r="B112" s="222">
        <v>45260</v>
      </c>
      <c r="C112" s="221">
        <v>161.78593439865745</v>
      </c>
      <c r="D112" s="221">
        <v>80.938788836501317</v>
      </c>
      <c r="E112" s="221">
        <f t="shared" si="6"/>
        <v>80.938788836501317</v>
      </c>
      <c r="F112" s="188" t="str">
        <f t="shared" si="2"/>
        <v/>
      </c>
      <c r="G112" t="str">
        <f t="shared" si="5"/>
        <v/>
      </c>
      <c r="H112" s="188" t="str">
        <f t="shared" si="7"/>
        <v/>
      </c>
      <c r="I112" s="189"/>
    </row>
    <row r="113" spans="1:9">
      <c r="A113" s="187">
        <v>61</v>
      </c>
      <c r="B113" s="222">
        <v>45261</v>
      </c>
      <c r="C113" s="221">
        <v>161.11846028265373</v>
      </c>
      <c r="D113" s="221">
        <v>105.77564059458246</v>
      </c>
      <c r="E113" s="221">
        <f t="shared" si="6"/>
        <v>105.77564059458246</v>
      </c>
      <c r="F113" s="188">
        <f t="shared" si="2"/>
        <v>600</v>
      </c>
      <c r="G113" t="str">
        <f t="shared" si="5"/>
        <v/>
      </c>
      <c r="H113" s="188" t="str">
        <f t="shared" si="7"/>
        <v/>
      </c>
      <c r="I113" s="189"/>
    </row>
    <row r="114" spans="1:9">
      <c r="A114" s="187">
        <v>62</v>
      </c>
      <c r="B114" s="222">
        <v>45262</v>
      </c>
      <c r="C114" s="221">
        <v>157.50765632665559</v>
      </c>
      <c r="D114" s="221">
        <v>105.77564059458246</v>
      </c>
      <c r="E114" s="221">
        <f t="shared" si="6"/>
        <v>105.77564059458246</v>
      </c>
      <c r="F114" s="188" t="str">
        <f t="shared" si="2"/>
        <v/>
      </c>
      <c r="G114" t="str">
        <f t="shared" si="5"/>
        <v/>
      </c>
      <c r="H114" s="188" t="str">
        <f t="shared" si="7"/>
        <v/>
      </c>
      <c r="I114" s="189"/>
    </row>
    <row r="115" spans="1:9">
      <c r="A115" s="187">
        <v>63</v>
      </c>
      <c r="B115" s="222">
        <v>45263</v>
      </c>
      <c r="C115" s="221">
        <v>164.27959961465373</v>
      </c>
      <c r="D115" s="221">
        <v>105.77564059458246</v>
      </c>
      <c r="E115" s="221">
        <f t="shared" si="6"/>
        <v>105.77564059458246</v>
      </c>
      <c r="F115" s="188" t="str">
        <f t="shared" si="2"/>
        <v/>
      </c>
      <c r="G115" t="str">
        <f t="shared" si="5"/>
        <v/>
      </c>
      <c r="H115" s="188" t="str">
        <f t="shared" si="7"/>
        <v/>
      </c>
      <c r="I115" s="189"/>
    </row>
    <row r="116" spans="1:9">
      <c r="A116" s="187">
        <v>64</v>
      </c>
      <c r="B116" s="222">
        <v>45264</v>
      </c>
      <c r="C116" s="221">
        <v>172.60810895065745</v>
      </c>
      <c r="D116" s="221">
        <v>105.77564059458246</v>
      </c>
      <c r="E116" s="221">
        <f t="shared" ref="E116:E179" si="8">IF(C116&lt;D116,C116,D116)</f>
        <v>105.77564059458246</v>
      </c>
      <c r="F116" s="188" t="str">
        <f t="shared" ref="F116:F179" si="9">IF(DAY(B116)=1,600,"")</f>
        <v/>
      </c>
      <c r="G116" t="str">
        <f t="shared" si="5"/>
        <v/>
      </c>
      <c r="H116" s="188" t="str">
        <f t="shared" si="7"/>
        <v/>
      </c>
      <c r="I116" s="189"/>
    </row>
    <row r="117" spans="1:9">
      <c r="A117" s="187">
        <v>65</v>
      </c>
      <c r="B117" s="222">
        <v>45265</v>
      </c>
      <c r="C117" s="221">
        <v>201.47537958265372</v>
      </c>
      <c r="D117" s="221">
        <v>105.77564059458246</v>
      </c>
      <c r="E117" s="221">
        <f t="shared" si="8"/>
        <v>105.77564059458246</v>
      </c>
      <c r="F117" s="188" t="str">
        <f t="shared" si="9"/>
        <v/>
      </c>
      <c r="G117" t="str">
        <f t="shared" si="5"/>
        <v/>
      </c>
      <c r="H117" s="188" t="str">
        <f t="shared" si="7"/>
        <v/>
      </c>
      <c r="I117" s="189"/>
    </row>
    <row r="118" spans="1:9">
      <c r="A118" s="187">
        <v>66</v>
      </c>
      <c r="B118" s="222">
        <v>45266</v>
      </c>
      <c r="C118" s="221">
        <v>204.49060813522718</v>
      </c>
      <c r="D118" s="221">
        <v>105.77564059458246</v>
      </c>
      <c r="E118" s="221">
        <f t="shared" si="8"/>
        <v>105.77564059458246</v>
      </c>
      <c r="F118" s="188" t="str">
        <f t="shared" si="9"/>
        <v/>
      </c>
      <c r="G118" t="str">
        <f t="shared" ref="G118:G181" si="10">IF(MONTH(B118)=1,IF(DAY(B118)=1,YEAR(B118),""),"")</f>
        <v/>
      </c>
      <c r="H118" s="188" t="str">
        <f t="shared" si="7"/>
        <v/>
      </c>
      <c r="I118" s="189"/>
    </row>
    <row r="119" spans="1:9">
      <c r="A119" s="187">
        <v>67</v>
      </c>
      <c r="B119" s="222">
        <v>45267</v>
      </c>
      <c r="C119" s="221">
        <v>176.03838892322719</v>
      </c>
      <c r="D119" s="221">
        <v>105.77564059458246</v>
      </c>
      <c r="E119" s="221">
        <f t="shared" si="8"/>
        <v>105.77564059458246</v>
      </c>
      <c r="F119" s="188" t="str">
        <f t="shared" si="9"/>
        <v/>
      </c>
      <c r="G119" t="str">
        <f t="shared" si="10"/>
        <v/>
      </c>
      <c r="H119" s="188" t="str">
        <f t="shared" si="7"/>
        <v/>
      </c>
      <c r="I119" s="189"/>
    </row>
    <row r="120" spans="1:9">
      <c r="A120" s="187">
        <v>68</v>
      </c>
      <c r="B120" s="222">
        <v>45268</v>
      </c>
      <c r="C120" s="221">
        <v>131.1346977272253</v>
      </c>
      <c r="D120" s="221">
        <v>105.77564059458246</v>
      </c>
      <c r="E120" s="221">
        <f t="shared" si="8"/>
        <v>105.77564059458246</v>
      </c>
      <c r="F120" s="188" t="str">
        <f t="shared" si="9"/>
        <v/>
      </c>
      <c r="G120" t="str">
        <f t="shared" si="10"/>
        <v/>
      </c>
      <c r="H120" s="188" t="str">
        <f t="shared" si="7"/>
        <v/>
      </c>
      <c r="I120" s="189"/>
    </row>
    <row r="121" spans="1:9">
      <c r="A121" s="187">
        <v>69</v>
      </c>
      <c r="B121" s="222">
        <v>45269</v>
      </c>
      <c r="C121" s="221">
        <v>134.04051455122718</v>
      </c>
      <c r="D121" s="221">
        <v>105.77564059458246</v>
      </c>
      <c r="E121" s="221">
        <f t="shared" si="8"/>
        <v>105.77564059458246</v>
      </c>
      <c r="F121" s="188" t="str">
        <f t="shared" si="9"/>
        <v/>
      </c>
      <c r="G121" t="str">
        <f t="shared" si="10"/>
        <v/>
      </c>
      <c r="H121" s="188" t="str">
        <f t="shared" si="7"/>
        <v/>
      </c>
      <c r="I121" s="189"/>
    </row>
    <row r="122" spans="1:9">
      <c r="A122" s="187">
        <v>70</v>
      </c>
      <c r="B122" s="222">
        <v>45270</v>
      </c>
      <c r="C122" s="221">
        <v>140.68438737922534</v>
      </c>
      <c r="D122" s="221">
        <v>105.77564059458246</v>
      </c>
      <c r="E122" s="221">
        <f t="shared" si="8"/>
        <v>105.77564059458246</v>
      </c>
      <c r="F122" s="188" t="str">
        <f t="shared" si="9"/>
        <v/>
      </c>
      <c r="G122" t="str">
        <f t="shared" si="10"/>
        <v/>
      </c>
      <c r="H122" s="188" t="str">
        <f t="shared" si="7"/>
        <v/>
      </c>
      <c r="I122" s="189"/>
    </row>
    <row r="123" spans="1:9">
      <c r="A123" s="187">
        <v>71</v>
      </c>
      <c r="B123" s="222">
        <v>45271</v>
      </c>
      <c r="C123" s="221">
        <v>161.31594569722719</v>
      </c>
      <c r="D123" s="221">
        <v>105.77564059458246</v>
      </c>
      <c r="E123" s="221">
        <f t="shared" si="8"/>
        <v>105.77564059458246</v>
      </c>
      <c r="F123" s="188" t="str">
        <f t="shared" si="9"/>
        <v/>
      </c>
      <c r="G123" t="str">
        <f t="shared" si="10"/>
        <v/>
      </c>
      <c r="H123" s="188" t="str">
        <f t="shared" si="7"/>
        <v/>
      </c>
      <c r="I123" s="189"/>
    </row>
    <row r="124" spans="1:9">
      <c r="A124" s="187">
        <v>72</v>
      </c>
      <c r="B124" s="222">
        <v>45272</v>
      </c>
      <c r="C124" s="221">
        <v>173.59638009122719</v>
      </c>
      <c r="D124" s="221">
        <v>105.77564059458246</v>
      </c>
      <c r="E124" s="221">
        <f t="shared" si="8"/>
        <v>105.77564059458246</v>
      </c>
      <c r="F124" s="188" t="str">
        <f t="shared" si="9"/>
        <v/>
      </c>
      <c r="G124" t="str">
        <f t="shared" si="10"/>
        <v/>
      </c>
      <c r="H124" s="188" t="str">
        <f t="shared" si="7"/>
        <v/>
      </c>
      <c r="I124" s="189"/>
    </row>
    <row r="125" spans="1:9">
      <c r="A125" s="187">
        <v>73</v>
      </c>
      <c r="B125" s="222">
        <v>45273</v>
      </c>
      <c r="C125" s="221">
        <v>144.47361120657493</v>
      </c>
      <c r="D125" s="221">
        <v>105.77564059458246</v>
      </c>
      <c r="E125" s="221">
        <f t="shared" si="8"/>
        <v>105.77564059458246</v>
      </c>
      <c r="F125" s="188" t="str">
        <f t="shared" si="9"/>
        <v/>
      </c>
      <c r="G125" t="str">
        <f t="shared" si="10"/>
        <v/>
      </c>
      <c r="H125" s="188" t="str">
        <f t="shared" si="7"/>
        <v/>
      </c>
      <c r="I125" s="189"/>
    </row>
    <row r="126" spans="1:9">
      <c r="A126" s="187">
        <v>74</v>
      </c>
      <c r="B126" s="222">
        <v>45274</v>
      </c>
      <c r="C126" s="221">
        <v>142.99797357457305</v>
      </c>
      <c r="D126" s="221">
        <v>105.77564059458246</v>
      </c>
      <c r="E126" s="221">
        <f t="shared" si="8"/>
        <v>105.77564059458246</v>
      </c>
      <c r="F126" s="188" t="str">
        <f t="shared" si="9"/>
        <v/>
      </c>
      <c r="G126" t="str">
        <f t="shared" si="10"/>
        <v/>
      </c>
      <c r="H126" s="188" t="str">
        <f t="shared" si="7"/>
        <v/>
      </c>
      <c r="I126" s="189"/>
    </row>
    <row r="127" spans="1:9">
      <c r="A127" s="187">
        <v>75</v>
      </c>
      <c r="B127" s="222">
        <v>45275</v>
      </c>
      <c r="C127" s="221">
        <v>155.57880703057305</v>
      </c>
      <c r="D127" s="221">
        <v>105.77564059458246</v>
      </c>
      <c r="E127" s="221">
        <f t="shared" si="8"/>
        <v>105.77564059458246</v>
      </c>
      <c r="F127" s="188" t="str">
        <f t="shared" si="9"/>
        <v/>
      </c>
      <c r="G127" t="str">
        <f t="shared" si="10"/>
        <v/>
      </c>
      <c r="H127" s="188" t="str">
        <f>IF(DAY(B127)=15,IF(MONTH(B127)=1,"E",IF(MONTH(B127)=2,"F",IF(MONTH(B127)=3,"M",IF(MONTH(B127)=4,"A",IF(MONTH(B127)=5,"M",IF(MONTH(B127)=6,"J",IF(MONTH(B127)=7,"J",IF(MONTH(B127)=8,"A",IF(MONTH(B127)=9,"S",IF(MONTH(B127)=10,"O",IF(MONTH(B127)=11,"N",IF(MONTH(B127)=12,"D","")))))))))))),"")</f>
        <v>D</v>
      </c>
      <c r="I127" s="189">
        <f>IF(DAY(B127)=15,D127,"")</f>
        <v>105.77564059458246</v>
      </c>
    </row>
    <row r="128" spans="1:9">
      <c r="A128" s="187">
        <v>76</v>
      </c>
      <c r="B128" s="222">
        <v>45276</v>
      </c>
      <c r="C128" s="221">
        <v>156.43636204257305</v>
      </c>
      <c r="D128" s="221">
        <v>105.77564059458246</v>
      </c>
      <c r="E128" s="221">
        <f t="shared" si="8"/>
        <v>105.77564059458246</v>
      </c>
      <c r="F128" s="188" t="str">
        <f t="shared" si="9"/>
        <v/>
      </c>
      <c r="G128" t="str">
        <f t="shared" si="10"/>
        <v/>
      </c>
      <c r="H128" s="188" t="str">
        <f t="shared" si="7"/>
        <v/>
      </c>
      <c r="I128" s="189"/>
    </row>
    <row r="129" spans="1:9">
      <c r="A129" s="187">
        <v>77</v>
      </c>
      <c r="B129" s="222">
        <v>45277</v>
      </c>
      <c r="C129" s="221">
        <v>163.83536717457494</v>
      </c>
      <c r="D129" s="221">
        <v>105.77564059458246</v>
      </c>
      <c r="E129" s="221">
        <f t="shared" si="8"/>
        <v>105.77564059458246</v>
      </c>
      <c r="F129" s="188" t="str">
        <f t="shared" si="9"/>
        <v/>
      </c>
      <c r="G129" t="str">
        <f t="shared" si="10"/>
        <v/>
      </c>
      <c r="H129" s="188" t="str">
        <f t="shared" si="7"/>
        <v/>
      </c>
      <c r="I129" s="189"/>
    </row>
    <row r="130" spans="1:9">
      <c r="A130" s="187">
        <v>78</v>
      </c>
      <c r="B130" s="222">
        <v>45278</v>
      </c>
      <c r="C130" s="221">
        <v>189.10055625057305</v>
      </c>
      <c r="D130" s="221">
        <v>105.77564059458246</v>
      </c>
      <c r="E130" s="221">
        <f t="shared" si="8"/>
        <v>105.77564059458246</v>
      </c>
      <c r="F130" s="188" t="str">
        <f t="shared" si="9"/>
        <v/>
      </c>
      <c r="G130" t="str">
        <f t="shared" si="10"/>
        <v/>
      </c>
      <c r="H130" s="188" t="str">
        <f t="shared" si="7"/>
        <v/>
      </c>
      <c r="I130" s="189"/>
    </row>
    <row r="131" spans="1:9">
      <c r="A131" s="187">
        <v>79</v>
      </c>
      <c r="B131" s="222">
        <v>45279</v>
      </c>
      <c r="C131" s="221">
        <v>184.65076205057304</v>
      </c>
      <c r="D131" s="221">
        <v>105.77564059458246</v>
      </c>
      <c r="E131" s="221">
        <f t="shared" si="8"/>
        <v>105.77564059458246</v>
      </c>
      <c r="F131" s="188" t="str">
        <f t="shared" si="9"/>
        <v/>
      </c>
      <c r="G131" t="str">
        <f t="shared" si="10"/>
        <v/>
      </c>
      <c r="H131" s="188" t="str">
        <f t="shared" ref="H131:H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I131" s="189"/>
    </row>
    <row r="132" spans="1:9">
      <c r="A132" s="187">
        <v>80</v>
      </c>
      <c r="B132" s="222">
        <v>45280</v>
      </c>
      <c r="C132" s="221">
        <v>91.702290069493571</v>
      </c>
      <c r="D132" s="221">
        <v>105.77564059458246</v>
      </c>
      <c r="E132" s="221">
        <f t="shared" si="8"/>
        <v>91.702290069493571</v>
      </c>
      <c r="F132" s="188" t="str">
        <f t="shared" si="9"/>
        <v/>
      </c>
      <c r="G132" t="str">
        <f t="shared" si="10"/>
        <v/>
      </c>
      <c r="H132" s="188" t="str">
        <f t="shared" si="11"/>
        <v/>
      </c>
      <c r="I132" s="189"/>
    </row>
    <row r="133" spans="1:9">
      <c r="A133" s="187">
        <v>81</v>
      </c>
      <c r="B133" s="222">
        <v>45281</v>
      </c>
      <c r="C133" s="221">
        <v>96.763374213493563</v>
      </c>
      <c r="D133" s="221">
        <v>105.77564059458246</v>
      </c>
      <c r="E133" s="221">
        <f t="shared" si="8"/>
        <v>96.763374213493563</v>
      </c>
      <c r="F133" s="188" t="str">
        <f t="shared" si="9"/>
        <v/>
      </c>
      <c r="G133" t="str">
        <f t="shared" si="10"/>
        <v/>
      </c>
      <c r="H133" s="188" t="str">
        <f t="shared" si="11"/>
        <v/>
      </c>
      <c r="I133" s="189"/>
    </row>
    <row r="134" spans="1:9">
      <c r="A134" s="187">
        <v>82</v>
      </c>
      <c r="B134" s="222">
        <v>45282</v>
      </c>
      <c r="C134" s="221">
        <v>85.367497525495438</v>
      </c>
      <c r="D134" s="221">
        <v>105.77564059458246</v>
      </c>
      <c r="E134" s="221">
        <f t="shared" si="8"/>
        <v>85.367497525495438</v>
      </c>
      <c r="F134" s="188" t="str">
        <f t="shared" si="9"/>
        <v/>
      </c>
      <c r="G134" t="str">
        <f t="shared" si="10"/>
        <v/>
      </c>
      <c r="H134" s="188" t="str">
        <f t="shared" si="11"/>
        <v/>
      </c>
      <c r="I134" s="189"/>
    </row>
    <row r="135" spans="1:9">
      <c r="A135" s="187">
        <v>83</v>
      </c>
      <c r="B135" s="222">
        <v>45283</v>
      </c>
      <c r="C135" s="221">
        <v>83.527756937491702</v>
      </c>
      <c r="D135" s="221">
        <v>105.77564059458246</v>
      </c>
      <c r="E135" s="221">
        <f t="shared" si="8"/>
        <v>83.527756937491702</v>
      </c>
      <c r="F135" s="188" t="str">
        <f t="shared" si="9"/>
        <v/>
      </c>
      <c r="G135" t="str">
        <f t="shared" si="10"/>
        <v/>
      </c>
      <c r="H135" s="188" t="str">
        <f t="shared" si="11"/>
        <v/>
      </c>
      <c r="I135" s="189"/>
    </row>
    <row r="136" spans="1:9">
      <c r="A136" s="187">
        <v>84</v>
      </c>
      <c r="B136" s="222">
        <v>45284</v>
      </c>
      <c r="C136" s="221">
        <v>107.22605843349544</v>
      </c>
      <c r="D136" s="221">
        <v>105.77564059458246</v>
      </c>
      <c r="E136" s="221">
        <f t="shared" si="8"/>
        <v>105.77564059458246</v>
      </c>
      <c r="F136" s="188" t="str">
        <f t="shared" si="9"/>
        <v/>
      </c>
      <c r="G136" t="str">
        <f t="shared" si="10"/>
        <v/>
      </c>
      <c r="H136" s="188" t="str">
        <f t="shared" si="11"/>
        <v/>
      </c>
      <c r="I136" s="189"/>
    </row>
    <row r="137" spans="1:9">
      <c r="A137" s="187">
        <v>85</v>
      </c>
      <c r="B137" s="222">
        <v>45285</v>
      </c>
      <c r="C137" s="221">
        <v>88.17712642549543</v>
      </c>
      <c r="D137" s="221">
        <v>105.77564059458246</v>
      </c>
      <c r="E137" s="221">
        <f t="shared" si="8"/>
        <v>88.17712642549543</v>
      </c>
      <c r="F137" s="188" t="str">
        <f t="shared" si="9"/>
        <v/>
      </c>
      <c r="G137" t="str">
        <f t="shared" si="10"/>
        <v/>
      </c>
      <c r="H137" s="188" t="str">
        <f t="shared" si="11"/>
        <v/>
      </c>
      <c r="I137" s="189"/>
    </row>
    <row r="138" spans="1:9">
      <c r="A138" s="187">
        <v>86</v>
      </c>
      <c r="B138" s="222">
        <v>45286</v>
      </c>
      <c r="C138" s="221">
        <v>122.90049378949357</v>
      </c>
      <c r="D138" s="221">
        <v>105.77564059458246</v>
      </c>
      <c r="E138" s="221">
        <f t="shared" si="8"/>
        <v>105.77564059458246</v>
      </c>
      <c r="F138" s="188" t="str">
        <f t="shared" si="9"/>
        <v/>
      </c>
      <c r="G138" t="str">
        <f t="shared" si="10"/>
        <v/>
      </c>
      <c r="H138" s="188" t="str">
        <f t="shared" si="11"/>
        <v/>
      </c>
      <c r="I138" s="189"/>
    </row>
    <row r="139" spans="1:9">
      <c r="A139" s="187">
        <v>87</v>
      </c>
      <c r="B139" s="222">
        <v>45287</v>
      </c>
      <c r="C139" s="221">
        <v>132.85878955014627</v>
      </c>
      <c r="D139" s="221">
        <v>105.77564059458246</v>
      </c>
      <c r="E139" s="221">
        <f t="shared" si="8"/>
        <v>105.77564059458246</v>
      </c>
      <c r="F139" s="188" t="str">
        <f t="shared" si="9"/>
        <v/>
      </c>
      <c r="G139" t="str">
        <f t="shared" si="10"/>
        <v/>
      </c>
      <c r="H139" s="188" t="str">
        <f t="shared" si="11"/>
        <v/>
      </c>
      <c r="I139" s="189"/>
    </row>
    <row r="140" spans="1:9">
      <c r="A140" s="187">
        <v>88</v>
      </c>
      <c r="B140" s="222">
        <v>45288</v>
      </c>
      <c r="C140" s="221">
        <v>128.13222722614813</v>
      </c>
      <c r="D140" s="221">
        <v>105.77564059458246</v>
      </c>
      <c r="E140" s="221">
        <f t="shared" si="8"/>
        <v>105.77564059458246</v>
      </c>
      <c r="F140" s="188" t="str">
        <f t="shared" si="9"/>
        <v/>
      </c>
      <c r="G140" t="str">
        <f t="shared" si="10"/>
        <v/>
      </c>
      <c r="H140" s="188" t="str">
        <f t="shared" si="11"/>
        <v/>
      </c>
      <c r="I140" s="189"/>
    </row>
    <row r="141" spans="1:9">
      <c r="A141" s="187">
        <v>89</v>
      </c>
      <c r="B141" s="222">
        <v>45289</v>
      </c>
      <c r="C141" s="221">
        <v>139.02115590614628</v>
      </c>
      <c r="D141" s="221">
        <v>105.77564059458246</v>
      </c>
      <c r="E141" s="221">
        <f t="shared" si="8"/>
        <v>105.77564059458246</v>
      </c>
      <c r="F141" s="188" t="str">
        <f t="shared" si="9"/>
        <v/>
      </c>
      <c r="G141" t="str">
        <f t="shared" si="10"/>
        <v/>
      </c>
      <c r="H141" s="188" t="str">
        <f t="shared" si="11"/>
        <v/>
      </c>
      <c r="I141" s="189"/>
    </row>
    <row r="142" spans="1:9">
      <c r="A142" s="187">
        <v>90</v>
      </c>
      <c r="B142" s="222">
        <v>45290</v>
      </c>
      <c r="C142" s="221">
        <v>82.876341482146259</v>
      </c>
      <c r="D142" s="221">
        <v>105.77564059458246</v>
      </c>
      <c r="E142" s="221">
        <f t="shared" si="8"/>
        <v>82.876341482146259</v>
      </c>
      <c r="F142" s="188" t="str">
        <f t="shared" si="9"/>
        <v/>
      </c>
      <c r="G142" t="str">
        <f t="shared" si="10"/>
        <v/>
      </c>
      <c r="H142" s="188" t="str">
        <f t="shared" si="11"/>
        <v/>
      </c>
      <c r="I142" s="189"/>
    </row>
    <row r="143" spans="1:9">
      <c r="A143" s="187">
        <v>91</v>
      </c>
      <c r="B143" s="222">
        <v>45291</v>
      </c>
      <c r="C143" s="221">
        <v>60.706967374148121</v>
      </c>
      <c r="D143" s="221">
        <v>105.77564059458246</v>
      </c>
      <c r="E143" s="221">
        <f t="shared" si="8"/>
        <v>60.706967374148121</v>
      </c>
      <c r="F143" s="188" t="str">
        <f t="shared" si="9"/>
        <v/>
      </c>
      <c r="G143" t="str">
        <f t="shared" si="10"/>
        <v/>
      </c>
      <c r="H143" s="188" t="str">
        <f t="shared" si="11"/>
        <v/>
      </c>
      <c r="I143" s="189"/>
    </row>
    <row r="144" spans="1:9">
      <c r="A144" s="187">
        <v>92</v>
      </c>
      <c r="B144" s="222">
        <v>45292</v>
      </c>
      <c r="C144" s="221">
        <v>46.317331766148129</v>
      </c>
      <c r="D144" s="221">
        <v>117.80762382080276</v>
      </c>
      <c r="E144" s="221">
        <f t="shared" si="8"/>
        <v>46.317331766148129</v>
      </c>
      <c r="F144" s="188">
        <f t="shared" si="9"/>
        <v>600</v>
      </c>
      <c r="G144">
        <f t="shared" si="10"/>
        <v>2024</v>
      </c>
      <c r="H144" s="188" t="str">
        <f t="shared" si="11"/>
        <v/>
      </c>
      <c r="I144" s="189"/>
    </row>
    <row r="145" spans="1:9">
      <c r="A145" s="187">
        <v>93</v>
      </c>
      <c r="B145" s="222">
        <v>45293</v>
      </c>
      <c r="C145" s="221">
        <v>55.940354536146259</v>
      </c>
      <c r="D145" s="221">
        <v>117.80762382080276</v>
      </c>
      <c r="E145" s="221">
        <f t="shared" si="8"/>
        <v>55.940354536146259</v>
      </c>
      <c r="F145" s="188" t="str">
        <f t="shared" si="9"/>
        <v/>
      </c>
      <c r="G145" t="str">
        <f t="shared" si="10"/>
        <v/>
      </c>
      <c r="H145" s="188" t="str">
        <f t="shared" si="11"/>
        <v/>
      </c>
      <c r="I145" s="189"/>
    </row>
    <row r="146" spans="1:9">
      <c r="A146" s="187">
        <v>94</v>
      </c>
      <c r="B146" s="222">
        <v>45294</v>
      </c>
      <c r="C146" s="221">
        <v>96.347034938338027</v>
      </c>
      <c r="D146" s="221">
        <v>117.80762382080276</v>
      </c>
      <c r="E146" s="221">
        <f t="shared" si="8"/>
        <v>96.347034938338027</v>
      </c>
      <c r="F146" s="188" t="str">
        <f t="shared" si="9"/>
        <v/>
      </c>
      <c r="G146" t="str">
        <f t="shared" si="10"/>
        <v/>
      </c>
      <c r="H146" s="188" t="str">
        <f t="shared" si="11"/>
        <v/>
      </c>
      <c r="I146" s="189"/>
    </row>
    <row r="147" spans="1:9">
      <c r="A147" s="187">
        <v>95</v>
      </c>
      <c r="B147" s="222">
        <v>45295</v>
      </c>
      <c r="C147" s="221">
        <v>142.08962147033802</v>
      </c>
      <c r="D147" s="221">
        <v>117.80762382080276</v>
      </c>
      <c r="E147" s="221">
        <f t="shared" si="8"/>
        <v>117.80762382080276</v>
      </c>
      <c r="F147" s="188" t="str">
        <f t="shared" si="9"/>
        <v/>
      </c>
      <c r="G147" t="str">
        <f t="shared" si="10"/>
        <v/>
      </c>
      <c r="H147" s="188" t="str">
        <f t="shared" si="11"/>
        <v/>
      </c>
      <c r="I147" s="189"/>
    </row>
    <row r="148" spans="1:9">
      <c r="A148" s="187">
        <v>96</v>
      </c>
      <c r="B148" s="222">
        <v>45296</v>
      </c>
      <c r="C148" s="221">
        <v>85.95209914233989</v>
      </c>
      <c r="D148" s="221">
        <v>117.80762382080276</v>
      </c>
      <c r="E148" s="221">
        <f t="shared" si="8"/>
        <v>85.95209914233989</v>
      </c>
      <c r="F148" s="188" t="str">
        <f t="shared" si="9"/>
        <v/>
      </c>
      <c r="G148" t="str">
        <f t="shared" si="10"/>
        <v/>
      </c>
      <c r="H148" s="188" t="str">
        <f t="shared" si="11"/>
        <v/>
      </c>
      <c r="I148" s="189"/>
    </row>
    <row r="149" spans="1:9">
      <c r="A149" s="187">
        <v>97</v>
      </c>
      <c r="B149" s="222">
        <v>45297</v>
      </c>
      <c r="C149" s="221">
        <v>80.384418654339882</v>
      </c>
      <c r="D149" s="221">
        <v>117.80762382080276</v>
      </c>
      <c r="E149" s="221">
        <f t="shared" si="8"/>
        <v>80.384418654339882</v>
      </c>
      <c r="F149" s="188" t="str">
        <f t="shared" si="9"/>
        <v/>
      </c>
      <c r="G149" t="str">
        <f t="shared" si="10"/>
        <v/>
      </c>
      <c r="H149" s="188" t="str">
        <f t="shared" si="11"/>
        <v/>
      </c>
      <c r="I149" s="189"/>
    </row>
    <row r="150" spans="1:9">
      <c r="A150" s="187">
        <v>98</v>
      </c>
      <c r="B150" s="222">
        <v>45298</v>
      </c>
      <c r="C150" s="221">
        <v>91.604318702336172</v>
      </c>
      <c r="D150" s="221">
        <v>117.80762382080276</v>
      </c>
      <c r="E150" s="221">
        <f t="shared" si="8"/>
        <v>91.604318702336172</v>
      </c>
      <c r="F150" s="188" t="str">
        <f t="shared" si="9"/>
        <v/>
      </c>
      <c r="G150" t="str">
        <f t="shared" si="10"/>
        <v/>
      </c>
      <c r="H150" s="188" t="str">
        <f t="shared" si="11"/>
        <v/>
      </c>
      <c r="I150" s="189"/>
    </row>
    <row r="151" spans="1:9">
      <c r="A151" s="187">
        <v>99</v>
      </c>
      <c r="B151" s="222">
        <v>45299</v>
      </c>
      <c r="C151" s="221">
        <v>147.70257932633987</v>
      </c>
      <c r="D151" s="221">
        <v>117.80762382080276</v>
      </c>
      <c r="E151" s="221">
        <f t="shared" si="8"/>
        <v>117.80762382080276</v>
      </c>
      <c r="F151" s="188" t="str">
        <f t="shared" si="9"/>
        <v/>
      </c>
      <c r="G151" t="str">
        <f t="shared" si="10"/>
        <v/>
      </c>
      <c r="H151" s="188" t="str">
        <f t="shared" si="11"/>
        <v/>
      </c>
      <c r="I151" s="189"/>
    </row>
    <row r="152" spans="1:9">
      <c r="A152" s="187">
        <v>100</v>
      </c>
      <c r="B152" s="222">
        <v>45300</v>
      </c>
      <c r="C152" s="221">
        <v>174.70871064133988</v>
      </c>
      <c r="D152" s="221">
        <v>117.80762382080276</v>
      </c>
      <c r="E152" s="221">
        <f t="shared" si="8"/>
        <v>117.80762382080276</v>
      </c>
      <c r="F152" s="188" t="str">
        <f t="shared" si="9"/>
        <v/>
      </c>
      <c r="G152" t="str">
        <f t="shared" si="10"/>
        <v/>
      </c>
      <c r="H152" s="188" t="str">
        <f t="shared" si="11"/>
        <v/>
      </c>
      <c r="I152" s="189"/>
    </row>
    <row r="153" spans="1:9">
      <c r="A153" s="187">
        <v>101</v>
      </c>
      <c r="B153" s="222">
        <v>45301</v>
      </c>
      <c r="C153" s="221">
        <v>128.66585141382532</v>
      </c>
      <c r="D153" s="221">
        <v>117.80762382080276</v>
      </c>
      <c r="E153" s="221">
        <f t="shared" si="8"/>
        <v>117.80762382080276</v>
      </c>
      <c r="F153" s="188" t="str">
        <f t="shared" si="9"/>
        <v/>
      </c>
      <c r="G153" t="str">
        <f t="shared" si="10"/>
        <v/>
      </c>
      <c r="H153" s="188" t="str">
        <f t="shared" si="11"/>
        <v/>
      </c>
      <c r="I153" s="189"/>
    </row>
    <row r="154" spans="1:9">
      <c r="A154" s="187">
        <v>102</v>
      </c>
      <c r="B154" s="222">
        <v>45302</v>
      </c>
      <c r="C154" s="221">
        <v>122.48400734982721</v>
      </c>
      <c r="D154" s="221">
        <v>117.80762382080276</v>
      </c>
      <c r="E154" s="221">
        <f t="shared" si="8"/>
        <v>117.80762382080276</v>
      </c>
      <c r="F154" s="188" t="str">
        <f t="shared" si="9"/>
        <v/>
      </c>
      <c r="G154" t="str">
        <f t="shared" si="10"/>
        <v/>
      </c>
      <c r="H154" s="188" t="str">
        <f t="shared" si="11"/>
        <v/>
      </c>
      <c r="I154" s="189"/>
    </row>
    <row r="155" spans="1:9">
      <c r="A155" s="187">
        <v>103</v>
      </c>
      <c r="B155" s="222">
        <v>45303</v>
      </c>
      <c r="C155" s="221">
        <v>90.921518729827213</v>
      </c>
      <c r="D155" s="221">
        <v>117.80762382080276</v>
      </c>
      <c r="E155" s="221">
        <f t="shared" si="8"/>
        <v>90.921518729827213</v>
      </c>
      <c r="F155" s="188" t="str">
        <f t="shared" si="9"/>
        <v/>
      </c>
      <c r="G155" t="str">
        <f t="shared" si="10"/>
        <v/>
      </c>
      <c r="H155" s="188" t="str">
        <f>IF(DAY(B155)=15,IF(MONTH(B155)=1,"E",IF(MONTH(B155)=2,"F",IF(MONTH(B155)=3,"M",IF(MONTH(B155)=4,"A",IF(MONTH(B155)=5,"M",IF(MONTH(B155)=6,"J",IF(MONTH(B155)=7,"J",IF(MONTH(B155)=8,"A",IF(MONTH(B155)=9,"S",IF(MONTH(B155)=10,"O",IF(MONTH(B155)=11,"N",IF(MONTH(B155)=12,"D","")))))))))))),"")</f>
        <v/>
      </c>
      <c r="I155" s="189"/>
    </row>
    <row r="156" spans="1:9">
      <c r="A156" s="187">
        <v>104</v>
      </c>
      <c r="B156" s="222">
        <v>45304</v>
      </c>
      <c r="C156" s="221">
        <v>101.59093457382534</v>
      </c>
      <c r="D156" s="221">
        <v>117.80762382080276</v>
      </c>
      <c r="E156" s="221">
        <f t="shared" si="8"/>
        <v>101.59093457382534</v>
      </c>
      <c r="F156" s="188" t="str">
        <f t="shared" si="9"/>
        <v/>
      </c>
      <c r="G156" t="str">
        <f t="shared" si="10"/>
        <v/>
      </c>
      <c r="H156" s="188" t="str">
        <f t="shared" si="11"/>
        <v/>
      </c>
      <c r="I156" s="189"/>
    </row>
    <row r="157" spans="1:9">
      <c r="A157" s="187">
        <v>105</v>
      </c>
      <c r="B157" s="222">
        <v>45305</v>
      </c>
      <c r="C157" s="221">
        <v>73.273675441827208</v>
      </c>
      <c r="D157" s="221">
        <v>117.80762382080276</v>
      </c>
      <c r="E157" s="221">
        <f t="shared" si="8"/>
        <v>73.273675441827208</v>
      </c>
      <c r="F157" s="188" t="str">
        <f t="shared" si="9"/>
        <v/>
      </c>
      <c r="G157" t="str">
        <f t="shared" si="10"/>
        <v/>
      </c>
      <c r="H157" s="188" t="str">
        <f>IF(DAY(B157)=15,IF(MONTH(B157)=1,"E",IF(MONTH(B157)=2,"F",IF(MONTH(B157)=3,"M",IF(MONTH(B157)=4,"A",IF(MONTH(B157)=5,"M",IF(MONTH(B157)=6,"J",IF(MONTH(B157)=7,"J",IF(MONTH(B157)=8,"A",IF(MONTH(B157)=9,"S",IF(MONTH(B157)=10,"O",IF(MONTH(B157)=11,"N",IF(MONTH(B157)=12,"D","")))))))))))),"")</f>
        <v/>
      </c>
      <c r="I157" s="189"/>
    </row>
    <row r="158" spans="1:9">
      <c r="A158" s="187">
        <v>106</v>
      </c>
      <c r="B158" s="222">
        <v>45306</v>
      </c>
      <c r="C158" s="221">
        <v>101.80176113382535</v>
      </c>
      <c r="D158" s="221">
        <v>117.80762382080276</v>
      </c>
      <c r="E158" s="221">
        <f t="shared" si="8"/>
        <v>101.80176113382535</v>
      </c>
      <c r="F158" s="188" t="str">
        <f t="shared" si="9"/>
        <v/>
      </c>
      <c r="G158" t="str">
        <f t="shared" si="10"/>
        <v/>
      </c>
      <c r="H158" s="188" t="str">
        <f>IF(DAY(B158)=15,IF(MONTH(B158)=1,"E",IF(MONTH(B158)=2,"F",IF(MONTH(B158)=3,"M",IF(MONTH(B158)=4,"A",IF(MONTH(B158)=5,"M",IF(MONTH(B158)=6,"J",IF(MONTH(B158)=7,"J",IF(MONTH(B158)=8,"A",IF(MONTH(B158)=9,"S",IF(MONTH(B158)=10,"O",IF(MONTH(B158)=11,"N",IF(MONTH(B158)=12,"D","")))))))))))),"")</f>
        <v>E</v>
      </c>
      <c r="I158" s="189">
        <f>IF(DAY(B158)=15,D158,"")</f>
        <v>117.80762382080276</v>
      </c>
    </row>
    <row r="159" spans="1:9">
      <c r="A159" s="187">
        <v>107</v>
      </c>
      <c r="B159" s="222">
        <v>45307</v>
      </c>
      <c r="C159" s="221">
        <v>76.844781177829063</v>
      </c>
      <c r="D159" s="221">
        <v>117.80762382080276</v>
      </c>
      <c r="E159" s="221">
        <f t="shared" si="8"/>
        <v>76.844781177829063</v>
      </c>
      <c r="F159" s="188" t="str">
        <f t="shared" si="9"/>
        <v/>
      </c>
      <c r="G159" t="str">
        <f t="shared" si="10"/>
        <v/>
      </c>
      <c r="H159" s="188" t="str">
        <f t="shared" si="11"/>
        <v/>
      </c>
      <c r="I159" s="189"/>
    </row>
    <row r="160" spans="1:9">
      <c r="A160" s="187">
        <v>108</v>
      </c>
      <c r="B160" s="222">
        <v>45308</v>
      </c>
      <c r="C160" s="221">
        <v>291.9973854933985</v>
      </c>
      <c r="D160" s="221">
        <v>117.80762382080276</v>
      </c>
      <c r="E160" s="221">
        <f t="shared" si="8"/>
        <v>117.80762382080276</v>
      </c>
      <c r="F160" s="188" t="str">
        <f t="shared" si="9"/>
        <v/>
      </c>
      <c r="G160" t="str">
        <f t="shared" si="10"/>
        <v/>
      </c>
      <c r="H160" s="188" t="str">
        <f t="shared" si="11"/>
        <v/>
      </c>
      <c r="I160" s="189"/>
    </row>
    <row r="161" spans="1:9">
      <c r="A161" s="187">
        <v>109</v>
      </c>
      <c r="B161" s="222">
        <v>45309</v>
      </c>
      <c r="C161" s="221">
        <v>306.61460094139846</v>
      </c>
      <c r="D161" s="221">
        <v>117.80762382080276</v>
      </c>
      <c r="E161" s="221">
        <f t="shared" si="8"/>
        <v>117.80762382080276</v>
      </c>
      <c r="F161" s="188" t="str">
        <f t="shared" si="9"/>
        <v/>
      </c>
      <c r="G161" t="str">
        <f t="shared" si="10"/>
        <v/>
      </c>
      <c r="H161" s="188" t="str">
        <f t="shared" si="11"/>
        <v/>
      </c>
      <c r="I161" s="189"/>
    </row>
    <row r="162" spans="1:9">
      <c r="A162" s="187">
        <v>110</v>
      </c>
      <c r="B162" s="222">
        <v>45310</v>
      </c>
      <c r="C162" s="221">
        <v>324.74468462540034</v>
      </c>
      <c r="D162" s="221">
        <v>117.80762382080276</v>
      </c>
      <c r="E162" s="221">
        <f t="shared" si="8"/>
        <v>117.80762382080276</v>
      </c>
      <c r="F162" s="188" t="str">
        <f t="shared" si="9"/>
        <v/>
      </c>
      <c r="G162" t="str">
        <f t="shared" si="10"/>
        <v/>
      </c>
      <c r="H162" s="188" t="str">
        <f t="shared" si="11"/>
        <v/>
      </c>
      <c r="I162" s="189"/>
    </row>
    <row r="163" spans="1:9">
      <c r="A163" s="187">
        <v>111</v>
      </c>
      <c r="B163" s="222">
        <v>45311</v>
      </c>
      <c r="C163" s="221">
        <v>325.35613808940036</v>
      </c>
      <c r="D163" s="221">
        <v>117.80762382080276</v>
      </c>
      <c r="E163" s="221">
        <f t="shared" si="8"/>
        <v>117.80762382080276</v>
      </c>
      <c r="F163" s="188" t="str">
        <f t="shared" si="9"/>
        <v/>
      </c>
      <c r="G163" t="str">
        <f t="shared" si="10"/>
        <v/>
      </c>
      <c r="H163" s="188" t="str">
        <f t="shared" si="11"/>
        <v/>
      </c>
      <c r="I163" s="189"/>
    </row>
    <row r="164" spans="1:9">
      <c r="A164" s="187">
        <v>112</v>
      </c>
      <c r="B164" s="222">
        <v>45312</v>
      </c>
      <c r="C164" s="221">
        <v>326.47416605340038</v>
      </c>
      <c r="D164" s="221">
        <v>117.80762382080276</v>
      </c>
      <c r="E164" s="221">
        <f t="shared" si="8"/>
        <v>117.80762382080276</v>
      </c>
      <c r="F164" s="188" t="str">
        <f t="shared" si="9"/>
        <v/>
      </c>
      <c r="G164" t="str">
        <f t="shared" si="10"/>
        <v/>
      </c>
      <c r="H164" s="188" t="str">
        <f t="shared" si="11"/>
        <v/>
      </c>
      <c r="I164" s="189"/>
    </row>
    <row r="165" spans="1:9">
      <c r="A165" s="187">
        <v>113</v>
      </c>
      <c r="B165" s="222">
        <v>45313</v>
      </c>
      <c r="C165" s="221">
        <v>330.81129340239846</v>
      </c>
      <c r="D165" s="221">
        <v>117.80762382080276</v>
      </c>
      <c r="E165" s="221">
        <f t="shared" si="8"/>
        <v>117.80762382080276</v>
      </c>
      <c r="F165" s="188" t="str">
        <f t="shared" si="9"/>
        <v/>
      </c>
      <c r="G165" t="str">
        <f t="shared" si="10"/>
        <v/>
      </c>
      <c r="H165" s="188" t="str">
        <f t="shared" si="11"/>
        <v/>
      </c>
      <c r="I165" s="189"/>
    </row>
    <row r="166" spans="1:9">
      <c r="A166" s="187">
        <v>114</v>
      </c>
      <c r="B166" s="222">
        <v>45314</v>
      </c>
      <c r="C166" s="221">
        <v>336.56841545240036</v>
      </c>
      <c r="D166" s="221">
        <v>117.80762382080276</v>
      </c>
      <c r="E166" s="221">
        <f t="shared" si="8"/>
        <v>117.80762382080276</v>
      </c>
      <c r="F166" s="188" t="str">
        <f t="shared" si="9"/>
        <v/>
      </c>
      <c r="G166" t="str">
        <f t="shared" si="10"/>
        <v/>
      </c>
      <c r="H166" s="188" t="str">
        <f t="shared" si="11"/>
        <v/>
      </c>
      <c r="I166" s="189"/>
    </row>
    <row r="167" spans="1:9">
      <c r="A167" s="187">
        <v>115</v>
      </c>
      <c r="B167" s="222">
        <v>45315</v>
      </c>
      <c r="C167" s="221">
        <v>174.25858186489705</v>
      </c>
      <c r="D167" s="221">
        <v>117.80762382080276</v>
      </c>
      <c r="E167" s="221">
        <f t="shared" si="8"/>
        <v>117.80762382080276</v>
      </c>
      <c r="F167" s="188" t="str">
        <f t="shared" si="9"/>
        <v/>
      </c>
      <c r="G167" t="str">
        <f t="shared" si="10"/>
        <v/>
      </c>
      <c r="H167" s="188" t="str">
        <f t="shared" si="11"/>
        <v/>
      </c>
      <c r="I167" s="189"/>
    </row>
    <row r="168" spans="1:9">
      <c r="A168" s="187">
        <v>116</v>
      </c>
      <c r="B168" s="222">
        <v>45316</v>
      </c>
      <c r="C168" s="221">
        <v>189.73486431289888</v>
      </c>
      <c r="D168" s="221">
        <v>117.80762382080276</v>
      </c>
      <c r="E168" s="221">
        <f t="shared" si="8"/>
        <v>117.80762382080276</v>
      </c>
      <c r="F168" s="188" t="str">
        <f t="shared" si="9"/>
        <v/>
      </c>
      <c r="G168" t="str">
        <f t="shared" si="10"/>
        <v/>
      </c>
      <c r="H168" s="188" t="str">
        <f t="shared" si="11"/>
        <v/>
      </c>
      <c r="I168" s="189"/>
    </row>
    <row r="169" spans="1:9">
      <c r="A169" s="187">
        <v>117</v>
      </c>
      <c r="B169" s="222">
        <v>45317</v>
      </c>
      <c r="C169" s="221">
        <v>199.20515662889332</v>
      </c>
      <c r="D169" s="221">
        <v>117.80762382080276</v>
      </c>
      <c r="E169" s="221">
        <f t="shared" si="8"/>
        <v>117.80762382080276</v>
      </c>
      <c r="F169" s="188" t="str">
        <f t="shared" si="9"/>
        <v/>
      </c>
      <c r="G169" t="str">
        <f t="shared" si="10"/>
        <v/>
      </c>
      <c r="H169" s="188" t="str">
        <f t="shared" si="11"/>
        <v/>
      </c>
      <c r="I169" s="189"/>
    </row>
    <row r="170" spans="1:9">
      <c r="A170" s="187">
        <v>118</v>
      </c>
      <c r="B170" s="222">
        <v>45318</v>
      </c>
      <c r="C170" s="221">
        <v>156.98031956089889</v>
      </c>
      <c r="D170" s="221">
        <v>117.80762382080276</v>
      </c>
      <c r="E170" s="221">
        <f t="shared" si="8"/>
        <v>117.80762382080276</v>
      </c>
      <c r="F170" s="188" t="str">
        <f t="shared" si="9"/>
        <v/>
      </c>
      <c r="G170" t="str">
        <f t="shared" si="10"/>
        <v/>
      </c>
      <c r="H170" s="188" t="str">
        <f t="shared" si="11"/>
        <v/>
      </c>
      <c r="I170" s="189"/>
    </row>
    <row r="171" spans="1:9">
      <c r="A171" s="187">
        <v>119</v>
      </c>
      <c r="B171" s="222">
        <v>45319</v>
      </c>
      <c r="C171" s="221">
        <v>144.3194687128989</v>
      </c>
      <c r="D171" s="221">
        <v>117.80762382080276</v>
      </c>
      <c r="E171" s="221">
        <f t="shared" si="8"/>
        <v>117.80762382080276</v>
      </c>
      <c r="F171" s="188" t="str">
        <f t="shared" si="9"/>
        <v/>
      </c>
      <c r="G171" t="str">
        <f t="shared" si="10"/>
        <v/>
      </c>
      <c r="H171" s="188" t="str">
        <f t="shared" si="11"/>
        <v/>
      </c>
      <c r="I171" s="189"/>
    </row>
    <row r="172" spans="1:9">
      <c r="A172" s="187">
        <v>120</v>
      </c>
      <c r="B172" s="222">
        <v>45320</v>
      </c>
      <c r="C172" s="221">
        <v>168.74329450889704</v>
      </c>
      <c r="D172" s="221">
        <v>117.80762382080276</v>
      </c>
      <c r="E172" s="221">
        <f t="shared" si="8"/>
        <v>117.80762382080276</v>
      </c>
      <c r="F172" s="188" t="str">
        <f t="shared" si="9"/>
        <v/>
      </c>
      <c r="G172" t="str">
        <f t="shared" si="10"/>
        <v/>
      </c>
      <c r="H172" s="188" t="str">
        <f t="shared" si="11"/>
        <v/>
      </c>
      <c r="I172" s="189"/>
    </row>
    <row r="173" spans="1:9">
      <c r="A173" s="187">
        <v>121</v>
      </c>
      <c r="B173" s="222">
        <v>45321</v>
      </c>
      <c r="C173" s="221">
        <v>193.72112196889518</v>
      </c>
      <c r="D173" s="221">
        <v>117.80762382080276</v>
      </c>
      <c r="E173" s="221">
        <f t="shared" si="8"/>
        <v>117.80762382080276</v>
      </c>
      <c r="F173" s="188" t="str">
        <f t="shared" si="9"/>
        <v/>
      </c>
      <c r="G173" t="str">
        <f t="shared" si="10"/>
        <v/>
      </c>
      <c r="H173" s="188" t="str">
        <f t="shared" si="11"/>
        <v/>
      </c>
      <c r="I173" s="189"/>
    </row>
    <row r="174" spans="1:9">
      <c r="A174" s="187">
        <v>122</v>
      </c>
      <c r="B174" s="222">
        <v>45322</v>
      </c>
      <c r="C174" s="221">
        <v>127.45307729313772</v>
      </c>
      <c r="D174" s="221">
        <v>117.80762382080276</v>
      </c>
      <c r="E174" s="221">
        <f t="shared" si="8"/>
        <v>117.80762382080276</v>
      </c>
      <c r="F174" s="188" t="str">
        <f t="shared" si="9"/>
        <v/>
      </c>
      <c r="G174" t="str">
        <f t="shared" si="10"/>
        <v/>
      </c>
      <c r="H174" s="188" t="str">
        <f t="shared" si="11"/>
        <v/>
      </c>
      <c r="I174" s="189"/>
    </row>
    <row r="175" spans="1:9">
      <c r="A175" s="187">
        <v>123</v>
      </c>
      <c r="B175" s="222">
        <v>45323</v>
      </c>
      <c r="C175" s="221">
        <v>115.24412592513586</v>
      </c>
      <c r="D175" s="221">
        <v>123.31777659525035</v>
      </c>
      <c r="E175" s="221">
        <f t="shared" si="8"/>
        <v>115.24412592513586</v>
      </c>
      <c r="F175" s="188">
        <f t="shared" si="9"/>
        <v>600</v>
      </c>
      <c r="G175" t="str">
        <f t="shared" si="10"/>
        <v/>
      </c>
      <c r="H175" s="188" t="str">
        <f t="shared" si="11"/>
        <v/>
      </c>
      <c r="I175" s="189"/>
    </row>
    <row r="176" spans="1:9">
      <c r="A176" s="187">
        <v>124</v>
      </c>
      <c r="B176" s="222">
        <v>45324</v>
      </c>
      <c r="C176" s="221">
        <v>88.351072877137739</v>
      </c>
      <c r="D176" s="221">
        <v>123.31777659525035</v>
      </c>
      <c r="E176" s="221">
        <f t="shared" si="8"/>
        <v>88.351072877137739</v>
      </c>
      <c r="F176" s="188" t="str">
        <f t="shared" si="9"/>
        <v/>
      </c>
      <c r="G176" t="str">
        <f t="shared" si="10"/>
        <v/>
      </c>
      <c r="H176" s="188" t="str">
        <f t="shared" si="11"/>
        <v/>
      </c>
      <c r="I176" s="189"/>
    </row>
    <row r="177" spans="1:9">
      <c r="A177" s="187">
        <v>125</v>
      </c>
      <c r="B177" s="222">
        <v>45325</v>
      </c>
      <c r="C177" s="221">
        <v>70.321336005135862</v>
      </c>
      <c r="D177" s="221">
        <v>123.31777659525035</v>
      </c>
      <c r="E177" s="221">
        <f t="shared" si="8"/>
        <v>70.321336005135862</v>
      </c>
      <c r="F177" s="188" t="str">
        <f t="shared" si="9"/>
        <v/>
      </c>
      <c r="G177" t="str">
        <f t="shared" si="10"/>
        <v/>
      </c>
      <c r="H177" s="188" t="str">
        <f t="shared" si="11"/>
        <v/>
      </c>
      <c r="I177" s="189"/>
    </row>
    <row r="178" spans="1:9">
      <c r="A178" s="187">
        <v>126</v>
      </c>
      <c r="B178" s="222">
        <v>45326</v>
      </c>
      <c r="C178" s="221">
        <v>56.144467513139595</v>
      </c>
      <c r="D178" s="221">
        <v>123.31777659525035</v>
      </c>
      <c r="E178" s="221">
        <f t="shared" si="8"/>
        <v>56.144467513139595</v>
      </c>
      <c r="F178" s="188" t="str">
        <f t="shared" si="9"/>
        <v/>
      </c>
      <c r="G178" t="str">
        <f t="shared" si="10"/>
        <v/>
      </c>
      <c r="H178" s="188" t="str">
        <f t="shared" si="11"/>
        <v/>
      </c>
      <c r="I178" s="189"/>
    </row>
    <row r="179" spans="1:9">
      <c r="A179" s="187">
        <v>127</v>
      </c>
      <c r="B179" s="222">
        <v>45327</v>
      </c>
      <c r="C179" s="221">
        <v>107.72370077713774</v>
      </c>
      <c r="D179" s="221">
        <v>123.31777659525035</v>
      </c>
      <c r="E179" s="221">
        <f t="shared" si="8"/>
        <v>107.72370077713774</v>
      </c>
      <c r="F179" s="188" t="str">
        <f t="shared" si="9"/>
        <v/>
      </c>
      <c r="G179" t="str">
        <f t="shared" si="10"/>
        <v/>
      </c>
      <c r="H179" s="188" t="str">
        <f t="shared" si="11"/>
        <v/>
      </c>
      <c r="I179" s="189"/>
    </row>
    <row r="180" spans="1:9">
      <c r="A180" s="187">
        <v>128</v>
      </c>
      <c r="B180" s="222">
        <v>45328</v>
      </c>
      <c r="C180" s="221">
        <v>102.96022487713586</v>
      </c>
      <c r="D180" s="221">
        <v>123.31777659525035</v>
      </c>
      <c r="E180" s="221">
        <f t="shared" ref="E180:E243" si="12">IF(C180&lt;D180,C180,D180)</f>
        <v>102.96022487713586</v>
      </c>
      <c r="F180" s="188" t="str">
        <f t="shared" ref="F180:F243" si="13">IF(DAY(B180)=1,600,"")</f>
        <v/>
      </c>
      <c r="G180" t="str">
        <f t="shared" si="10"/>
        <v/>
      </c>
      <c r="H180" s="188" t="str">
        <f t="shared" si="11"/>
        <v/>
      </c>
      <c r="I180" s="189"/>
    </row>
    <row r="181" spans="1:9">
      <c r="A181" s="187">
        <v>129</v>
      </c>
      <c r="B181" s="222">
        <v>45329</v>
      </c>
      <c r="C181" s="221">
        <v>125.23253068134586</v>
      </c>
      <c r="D181" s="221">
        <v>123.31777659525035</v>
      </c>
      <c r="E181" s="221">
        <f t="shared" si="12"/>
        <v>123.31777659525035</v>
      </c>
      <c r="F181" s="188" t="str">
        <f t="shared" si="13"/>
        <v/>
      </c>
      <c r="G181" t="str">
        <f t="shared" si="10"/>
        <v/>
      </c>
      <c r="H181" s="188" t="str">
        <f t="shared" si="11"/>
        <v/>
      </c>
      <c r="I181" s="189"/>
    </row>
    <row r="182" spans="1:9">
      <c r="A182" s="187">
        <v>130</v>
      </c>
      <c r="B182" s="222">
        <v>45330</v>
      </c>
      <c r="C182" s="221">
        <v>121.74336943334959</v>
      </c>
      <c r="D182" s="221">
        <v>123.31777659525035</v>
      </c>
      <c r="E182" s="221">
        <f t="shared" si="12"/>
        <v>121.74336943334959</v>
      </c>
      <c r="F182" s="188" t="str">
        <f t="shared" si="13"/>
        <v/>
      </c>
      <c r="G182" t="str">
        <f t="shared" ref="G182:G245" si="14">IF(MONTH(B182)=1,IF(DAY(B182)=1,YEAR(B182),""),"")</f>
        <v/>
      </c>
      <c r="H182" s="188" t="str">
        <f t="shared" si="11"/>
        <v/>
      </c>
      <c r="I182" s="189"/>
    </row>
    <row r="183" spans="1:9">
      <c r="A183" s="187">
        <v>131</v>
      </c>
      <c r="B183" s="222">
        <v>45331</v>
      </c>
      <c r="C183" s="221">
        <v>122.85423017734398</v>
      </c>
      <c r="D183" s="221">
        <v>123.31777659525035</v>
      </c>
      <c r="E183" s="221">
        <f t="shared" si="12"/>
        <v>122.85423017734398</v>
      </c>
      <c r="F183" s="188" t="str">
        <f t="shared" si="13"/>
        <v/>
      </c>
      <c r="G183" t="str">
        <f t="shared" si="14"/>
        <v/>
      </c>
      <c r="H183" s="188" t="str">
        <f t="shared" si="11"/>
        <v/>
      </c>
      <c r="I183" s="189"/>
    </row>
    <row r="184" spans="1:9">
      <c r="A184" s="187">
        <v>132</v>
      </c>
      <c r="B184" s="222">
        <v>45332</v>
      </c>
      <c r="C184" s="221">
        <v>82.009763521347722</v>
      </c>
      <c r="D184" s="221">
        <v>123.31777659525035</v>
      </c>
      <c r="E184" s="221">
        <f t="shared" si="12"/>
        <v>82.009763521347722</v>
      </c>
      <c r="F184" s="188" t="str">
        <f t="shared" si="13"/>
        <v/>
      </c>
      <c r="G184" t="str">
        <f t="shared" si="14"/>
        <v/>
      </c>
      <c r="H184" s="188" t="str">
        <f t="shared" si="11"/>
        <v/>
      </c>
      <c r="I184" s="189"/>
    </row>
    <row r="185" spans="1:9">
      <c r="A185" s="187">
        <v>133</v>
      </c>
      <c r="B185" s="222">
        <v>45333</v>
      </c>
      <c r="C185" s="221">
        <v>92.096768257349581</v>
      </c>
      <c r="D185" s="221">
        <v>123.31777659525035</v>
      </c>
      <c r="E185" s="221">
        <f t="shared" si="12"/>
        <v>92.096768257349581</v>
      </c>
      <c r="F185" s="188" t="str">
        <f t="shared" si="13"/>
        <v/>
      </c>
      <c r="G185" t="str">
        <f t="shared" si="14"/>
        <v/>
      </c>
      <c r="H185" s="188" t="str">
        <f t="shared" si="11"/>
        <v/>
      </c>
      <c r="I185" s="189"/>
    </row>
    <row r="186" spans="1:9">
      <c r="A186" s="187">
        <v>134</v>
      </c>
      <c r="B186" s="222">
        <v>45334</v>
      </c>
      <c r="C186" s="221">
        <v>104.74626892534584</v>
      </c>
      <c r="D186" s="221">
        <v>123.31777659525035</v>
      </c>
      <c r="E186" s="221">
        <f t="shared" si="12"/>
        <v>104.74626892534584</v>
      </c>
      <c r="F186" s="188" t="str">
        <f t="shared" si="13"/>
        <v/>
      </c>
      <c r="G186" t="str">
        <f t="shared" si="14"/>
        <v/>
      </c>
      <c r="H186" s="188" t="str">
        <f t="shared" si="11"/>
        <v/>
      </c>
      <c r="I186" s="189"/>
    </row>
    <row r="187" spans="1:9">
      <c r="A187" s="187">
        <v>135</v>
      </c>
      <c r="B187" s="222">
        <v>45335</v>
      </c>
      <c r="C187" s="221">
        <v>155.0008602853477</v>
      </c>
      <c r="D187" s="221">
        <v>123.31777659525035</v>
      </c>
      <c r="E187" s="221">
        <f t="shared" si="12"/>
        <v>123.31777659525035</v>
      </c>
      <c r="F187" s="188" t="str">
        <f t="shared" si="13"/>
        <v/>
      </c>
      <c r="G187" t="str">
        <f t="shared" si="14"/>
        <v/>
      </c>
      <c r="H187" s="188" t="str">
        <f t="shared" si="11"/>
        <v/>
      </c>
      <c r="I187" s="189"/>
    </row>
    <row r="188" spans="1:9">
      <c r="A188" s="187">
        <v>136</v>
      </c>
      <c r="B188" s="222">
        <v>45336</v>
      </c>
      <c r="C188" s="221">
        <v>155.40752792467583</v>
      </c>
      <c r="D188" s="221">
        <v>123.31777659525035</v>
      </c>
      <c r="E188" s="221">
        <f t="shared" si="12"/>
        <v>123.31777659525035</v>
      </c>
      <c r="F188" s="188" t="str">
        <f t="shared" si="13"/>
        <v/>
      </c>
      <c r="G188" t="str">
        <f t="shared" si="14"/>
        <v/>
      </c>
      <c r="H188" s="188" t="str">
        <f>IF(DAY(B188)=15,IF(MONTH(B188)=1,"E",IF(MONTH(B188)=2,"F",IF(MONTH(B188)=3,"M",IF(MONTH(B188)=4,"A",IF(MONTH(B188)=5,"M",IF(MONTH(B188)=6,"J",IF(MONTH(B188)=7,"J",IF(MONTH(B188)=8,"A",IF(MONTH(B188)=9,"S",IF(MONTH(B188)=10,"O",IF(MONTH(B188)=11,"N",IF(MONTH(B188)=12,"D","")))))))))))),"")</f>
        <v/>
      </c>
      <c r="I188" s="189"/>
    </row>
    <row r="189" spans="1:9">
      <c r="A189" s="187">
        <v>137</v>
      </c>
      <c r="B189" s="222">
        <v>45337</v>
      </c>
      <c r="C189" s="221">
        <v>145.30744173267769</v>
      </c>
      <c r="D189" s="221">
        <v>123.31777659525035</v>
      </c>
      <c r="E189" s="221">
        <f t="shared" si="12"/>
        <v>123.31777659525035</v>
      </c>
      <c r="F189" s="188" t="str">
        <f t="shared" si="13"/>
        <v/>
      </c>
      <c r="G189" t="str">
        <f t="shared" si="14"/>
        <v/>
      </c>
      <c r="H189" s="188" t="str">
        <f>IF(DAY(B189)=15,IF(MONTH(B189)=1,"E",IF(MONTH(B189)=2,"F",IF(MONTH(B189)=3,"M",IF(MONTH(B189)=4,"A",IF(MONTH(B189)=5,"M",IF(MONTH(B189)=6,"J",IF(MONTH(B189)=7,"J",IF(MONTH(B189)=8,"A",IF(MONTH(B189)=9,"S",IF(MONTH(B189)=10,"O",IF(MONTH(B189)=11,"N",IF(MONTH(B189)=12,"D","")))))))))))),"")</f>
        <v>F</v>
      </c>
      <c r="I189" s="189">
        <f>IF(DAY(B189)=15,D189,"")</f>
        <v>123.31777659525035</v>
      </c>
    </row>
    <row r="190" spans="1:9">
      <c r="A190" s="187">
        <v>138</v>
      </c>
      <c r="B190" s="222">
        <v>45338</v>
      </c>
      <c r="C190" s="221">
        <v>133.63674514867583</v>
      </c>
      <c r="D190" s="221">
        <v>123.31777659525035</v>
      </c>
      <c r="E190" s="221">
        <f t="shared" si="12"/>
        <v>123.31777659525035</v>
      </c>
      <c r="F190" s="188" t="str">
        <f t="shared" si="13"/>
        <v/>
      </c>
      <c r="G190" t="str">
        <f t="shared" si="14"/>
        <v/>
      </c>
      <c r="H190" s="188" t="str">
        <f t="shared" si="11"/>
        <v/>
      </c>
      <c r="I190" s="189"/>
    </row>
    <row r="191" spans="1:9">
      <c r="A191" s="187">
        <v>139</v>
      </c>
      <c r="B191" s="222">
        <v>45339</v>
      </c>
      <c r="C191" s="221">
        <v>119.15370997267397</v>
      </c>
      <c r="D191" s="221">
        <v>123.31777659525035</v>
      </c>
      <c r="E191" s="221">
        <f t="shared" si="12"/>
        <v>119.15370997267397</v>
      </c>
      <c r="F191" s="188" t="str">
        <f t="shared" si="13"/>
        <v/>
      </c>
      <c r="G191" t="str">
        <f t="shared" si="14"/>
        <v/>
      </c>
      <c r="H191" s="188" t="str">
        <f t="shared" si="11"/>
        <v/>
      </c>
      <c r="I191" s="189"/>
    </row>
    <row r="192" spans="1:9">
      <c r="A192" s="187">
        <v>140</v>
      </c>
      <c r="B192" s="222">
        <v>45340</v>
      </c>
      <c r="C192" s="221">
        <v>111.38864493667769</v>
      </c>
      <c r="D192" s="221">
        <v>123.31777659525035</v>
      </c>
      <c r="E192" s="221">
        <f t="shared" si="12"/>
        <v>111.38864493667769</v>
      </c>
      <c r="F192" s="188" t="str">
        <f t="shared" si="13"/>
        <v/>
      </c>
      <c r="G192" t="str">
        <f t="shared" si="14"/>
        <v/>
      </c>
      <c r="H192" s="188" t="str">
        <f t="shared" si="11"/>
        <v/>
      </c>
      <c r="I192" s="189"/>
    </row>
    <row r="193" spans="1:9">
      <c r="A193" s="187">
        <v>141</v>
      </c>
      <c r="B193" s="222">
        <v>45341</v>
      </c>
      <c r="C193" s="221">
        <v>103.97121753667584</v>
      </c>
      <c r="D193" s="221">
        <v>123.31777659525035</v>
      </c>
      <c r="E193" s="221">
        <f t="shared" si="12"/>
        <v>103.97121753667584</v>
      </c>
      <c r="F193" s="188" t="str">
        <f t="shared" si="13"/>
        <v/>
      </c>
      <c r="G193" t="str">
        <f t="shared" si="14"/>
        <v/>
      </c>
      <c r="H193" s="188" t="str">
        <f t="shared" si="11"/>
        <v/>
      </c>
      <c r="I193" s="189"/>
    </row>
    <row r="194" spans="1:9">
      <c r="A194" s="187">
        <v>142</v>
      </c>
      <c r="B194" s="222">
        <v>45342</v>
      </c>
      <c r="C194" s="221">
        <v>141.12725004467583</v>
      </c>
      <c r="D194" s="221">
        <v>123.31777659525035</v>
      </c>
      <c r="E194" s="221">
        <f t="shared" si="12"/>
        <v>123.31777659525035</v>
      </c>
      <c r="F194" s="188" t="str">
        <f t="shared" si="13"/>
        <v/>
      </c>
      <c r="G194" t="str">
        <f t="shared" si="14"/>
        <v/>
      </c>
      <c r="H194" s="188" t="str">
        <f t="shared" si="11"/>
        <v/>
      </c>
      <c r="I194" s="189"/>
    </row>
    <row r="195" spans="1:9">
      <c r="A195" s="187">
        <v>143</v>
      </c>
      <c r="B195" s="222">
        <v>45343</v>
      </c>
      <c r="C195" s="221">
        <v>180.11611496162033</v>
      </c>
      <c r="D195" s="221">
        <v>123.31777659525035</v>
      </c>
      <c r="E195" s="221">
        <f t="shared" si="12"/>
        <v>123.31777659525035</v>
      </c>
      <c r="F195" s="188" t="str">
        <f t="shared" si="13"/>
        <v/>
      </c>
      <c r="G195" t="str">
        <f t="shared" si="14"/>
        <v/>
      </c>
      <c r="H195" s="188" t="str">
        <f t="shared" ref="H195:H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I195" s="189"/>
    </row>
    <row r="196" spans="1:9">
      <c r="A196" s="187">
        <v>144</v>
      </c>
      <c r="B196" s="222">
        <v>45344</v>
      </c>
      <c r="C196" s="221">
        <v>124.62648388562218</v>
      </c>
      <c r="D196" s="221">
        <v>123.31777659525035</v>
      </c>
      <c r="E196" s="221">
        <f t="shared" si="12"/>
        <v>123.31777659525035</v>
      </c>
      <c r="F196" s="188" t="str">
        <f t="shared" si="13"/>
        <v/>
      </c>
      <c r="G196" t="str">
        <f t="shared" si="14"/>
        <v/>
      </c>
      <c r="H196" s="188" t="str">
        <f t="shared" si="15"/>
        <v/>
      </c>
      <c r="I196" s="189"/>
    </row>
    <row r="197" spans="1:9">
      <c r="A197" s="187">
        <v>145</v>
      </c>
      <c r="B197" s="222">
        <v>45345</v>
      </c>
      <c r="C197" s="221">
        <v>111.29172475362031</v>
      </c>
      <c r="D197" s="221">
        <v>123.31777659525035</v>
      </c>
      <c r="E197" s="221">
        <f t="shared" si="12"/>
        <v>111.29172475362031</v>
      </c>
      <c r="F197" s="188" t="str">
        <f t="shared" si="13"/>
        <v/>
      </c>
      <c r="G197" t="str">
        <f t="shared" si="14"/>
        <v/>
      </c>
      <c r="H197" s="188" t="str">
        <f t="shared" si="15"/>
        <v/>
      </c>
      <c r="I197" s="189"/>
    </row>
    <row r="198" spans="1:9">
      <c r="A198" s="187">
        <v>146</v>
      </c>
      <c r="B198" s="222">
        <v>45346</v>
      </c>
      <c r="C198" s="221">
        <v>105.35793837762031</v>
      </c>
      <c r="D198" s="221">
        <v>123.31777659525035</v>
      </c>
      <c r="E198" s="221">
        <f t="shared" si="12"/>
        <v>105.35793837762031</v>
      </c>
      <c r="F198" s="188" t="str">
        <f t="shared" si="13"/>
        <v/>
      </c>
      <c r="G198" t="str">
        <f t="shared" si="14"/>
        <v/>
      </c>
      <c r="H198" s="188" t="str">
        <f t="shared" si="15"/>
        <v/>
      </c>
      <c r="I198" s="189"/>
    </row>
    <row r="199" spans="1:9">
      <c r="A199" s="187">
        <v>147</v>
      </c>
      <c r="B199" s="222">
        <v>45347</v>
      </c>
      <c r="C199" s="221">
        <v>103.96632681762031</v>
      </c>
      <c r="D199" s="221">
        <v>123.31777659525035</v>
      </c>
      <c r="E199" s="221">
        <f t="shared" si="12"/>
        <v>103.96632681762031</v>
      </c>
      <c r="F199" s="188" t="str">
        <f t="shared" si="13"/>
        <v/>
      </c>
      <c r="G199" t="str">
        <f t="shared" si="14"/>
        <v/>
      </c>
      <c r="H199" s="188" t="str">
        <f t="shared" si="15"/>
        <v/>
      </c>
      <c r="I199" s="189"/>
    </row>
    <row r="200" spans="1:9">
      <c r="A200" s="187">
        <v>148</v>
      </c>
      <c r="B200" s="222">
        <v>45348</v>
      </c>
      <c r="C200" s="221">
        <v>135.15554449762405</v>
      </c>
      <c r="D200" s="221">
        <v>123.31777659525035</v>
      </c>
      <c r="E200" s="221">
        <f t="shared" si="12"/>
        <v>123.31777659525035</v>
      </c>
      <c r="F200" s="188" t="str">
        <f t="shared" si="13"/>
        <v/>
      </c>
      <c r="G200" t="str">
        <f t="shared" si="14"/>
        <v/>
      </c>
      <c r="H200" s="188" t="str">
        <f t="shared" si="15"/>
        <v/>
      </c>
      <c r="I200" s="189"/>
    </row>
    <row r="201" spans="1:9">
      <c r="A201" s="187">
        <v>149</v>
      </c>
      <c r="B201" s="222">
        <v>45349</v>
      </c>
      <c r="C201" s="221">
        <v>145.6437247416203</v>
      </c>
      <c r="D201" s="221">
        <v>123.31777659525035</v>
      </c>
      <c r="E201" s="221">
        <f t="shared" si="12"/>
        <v>123.31777659525035</v>
      </c>
      <c r="F201" s="188" t="str">
        <f t="shared" si="13"/>
        <v/>
      </c>
      <c r="G201" t="str">
        <f t="shared" si="14"/>
        <v/>
      </c>
      <c r="H201" s="188" t="str">
        <f t="shared" si="15"/>
        <v/>
      </c>
      <c r="I201" s="189"/>
    </row>
    <row r="202" spans="1:9">
      <c r="A202" s="187">
        <v>150</v>
      </c>
      <c r="B202" s="222">
        <v>45350</v>
      </c>
      <c r="C202" s="221">
        <v>204.59404648474109</v>
      </c>
      <c r="D202" s="221">
        <v>123.31777659525035</v>
      </c>
      <c r="E202" s="221">
        <f t="shared" si="12"/>
        <v>123.31777659525035</v>
      </c>
      <c r="F202" s="188" t="str">
        <f t="shared" si="13"/>
        <v/>
      </c>
      <c r="G202" t="str">
        <f t="shared" si="14"/>
        <v/>
      </c>
      <c r="H202" s="188" t="str">
        <f t="shared" si="15"/>
        <v/>
      </c>
      <c r="I202" s="189"/>
    </row>
    <row r="203" spans="1:9">
      <c r="A203" s="187">
        <v>151</v>
      </c>
      <c r="B203" s="222">
        <v>45351</v>
      </c>
      <c r="C203" s="221">
        <v>210.08763446474481</v>
      </c>
      <c r="D203" s="221">
        <v>123.31777659525035</v>
      </c>
      <c r="E203" s="221">
        <f t="shared" si="12"/>
        <v>123.31777659525035</v>
      </c>
      <c r="F203" s="188" t="str">
        <f t="shared" si="13"/>
        <v/>
      </c>
      <c r="G203" t="str">
        <f t="shared" si="14"/>
        <v/>
      </c>
      <c r="H203" s="188" t="str">
        <f t="shared" si="15"/>
        <v/>
      </c>
      <c r="I203" s="189"/>
    </row>
    <row r="204" spans="1:9">
      <c r="A204" s="187">
        <v>152</v>
      </c>
      <c r="B204" s="222">
        <v>45352</v>
      </c>
      <c r="C204" s="221">
        <v>211.9660497607392</v>
      </c>
      <c r="D204" s="221">
        <v>124.28094877902988</v>
      </c>
      <c r="E204" s="221">
        <f t="shared" si="12"/>
        <v>124.28094877902988</v>
      </c>
      <c r="F204" s="188">
        <f t="shared" si="13"/>
        <v>600</v>
      </c>
      <c r="G204" t="str">
        <f t="shared" si="14"/>
        <v/>
      </c>
      <c r="H204" s="188" t="str">
        <f t="shared" si="15"/>
        <v/>
      </c>
      <c r="I204" s="189"/>
    </row>
    <row r="205" spans="1:9">
      <c r="A205" s="187">
        <v>153</v>
      </c>
      <c r="B205" s="222">
        <v>45353</v>
      </c>
      <c r="C205" s="221">
        <v>211.88002381274293</v>
      </c>
      <c r="D205" s="221">
        <v>124.28094877902988</v>
      </c>
      <c r="E205" s="221">
        <f t="shared" si="12"/>
        <v>124.28094877902988</v>
      </c>
      <c r="F205" s="188" t="str">
        <f>IF(DAY(B205)=1,600,"")</f>
        <v/>
      </c>
      <c r="G205" t="str">
        <f t="shared" si="14"/>
        <v/>
      </c>
      <c r="H205" s="188" t="str">
        <f t="shared" si="15"/>
        <v/>
      </c>
      <c r="I205" s="189"/>
    </row>
    <row r="206" spans="1:9">
      <c r="A206" s="187">
        <v>154</v>
      </c>
      <c r="B206" s="222">
        <v>45354</v>
      </c>
      <c r="C206" s="221">
        <v>197.66541324074106</v>
      </c>
      <c r="D206" s="221">
        <v>124.28094877902988</v>
      </c>
      <c r="E206" s="221">
        <f t="shared" si="12"/>
        <v>124.28094877902988</v>
      </c>
      <c r="F206" s="188" t="str">
        <f t="shared" si="13"/>
        <v/>
      </c>
      <c r="G206" t="str">
        <f t="shared" si="14"/>
        <v/>
      </c>
      <c r="H206" s="188" t="str">
        <f t="shared" si="15"/>
        <v/>
      </c>
      <c r="I206" s="189"/>
    </row>
    <row r="207" spans="1:9">
      <c r="A207" s="187">
        <v>155</v>
      </c>
      <c r="B207" s="222">
        <v>45355</v>
      </c>
      <c r="C207" s="221">
        <v>214.30620139274293</v>
      </c>
      <c r="D207" s="221">
        <v>124.28094877902988</v>
      </c>
      <c r="E207" s="221">
        <f t="shared" si="12"/>
        <v>124.28094877902988</v>
      </c>
      <c r="F207" s="188" t="str">
        <f t="shared" si="13"/>
        <v/>
      </c>
      <c r="G207" t="str">
        <f t="shared" si="14"/>
        <v/>
      </c>
      <c r="H207" s="188" t="str">
        <f t="shared" si="15"/>
        <v/>
      </c>
      <c r="I207" s="189"/>
    </row>
    <row r="208" spans="1:9">
      <c r="A208" s="187">
        <v>156</v>
      </c>
      <c r="B208" s="222">
        <v>45356</v>
      </c>
      <c r="C208" s="221">
        <v>238.23071474874106</v>
      </c>
      <c r="D208" s="221">
        <v>124.28094877902988</v>
      </c>
      <c r="E208" s="221">
        <f t="shared" si="12"/>
        <v>124.28094877902988</v>
      </c>
      <c r="F208" s="188" t="str">
        <f t="shared" si="13"/>
        <v/>
      </c>
      <c r="G208" t="str">
        <f t="shared" si="14"/>
        <v/>
      </c>
      <c r="H208" s="188" t="str">
        <f t="shared" si="15"/>
        <v/>
      </c>
      <c r="I208" s="189"/>
    </row>
    <row r="209" spans="1:9">
      <c r="A209" s="187">
        <v>157</v>
      </c>
      <c r="B209" s="222">
        <v>45357</v>
      </c>
      <c r="C209" s="221">
        <v>234.32867166482279</v>
      </c>
      <c r="D209" s="221">
        <v>124.28094877902988</v>
      </c>
      <c r="E209" s="221">
        <f t="shared" si="12"/>
        <v>124.28094877902988</v>
      </c>
      <c r="F209" s="188" t="str">
        <f t="shared" si="13"/>
        <v/>
      </c>
      <c r="G209" t="str">
        <f t="shared" si="14"/>
        <v/>
      </c>
      <c r="H209" s="188" t="str">
        <f t="shared" si="15"/>
        <v/>
      </c>
      <c r="I209" s="189"/>
    </row>
    <row r="210" spans="1:9">
      <c r="A210" s="187">
        <v>158</v>
      </c>
      <c r="B210" s="222">
        <v>45358</v>
      </c>
      <c r="C210" s="221">
        <v>215.8372478448228</v>
      </c>
      <c r="D210" s="221">
        <v>124.28094877902988</v>
      </c>
      <c r="E210" s="221">
        <f t="shared" si="12"/>
        <v>124.28094877902988</v>
      </c>
      <c r="F210" s="188" t="str">
        <f t="shared" si="13"/>
        <v/>
      </c>
      <c r="G210" t="str">
        <f t="shared" si="14"/>
        <v/>
      </c>
      <c r="H210" s="188" t="str">
        <f t="shared" si="15"/>
        <v/>
      </c>
      <c r="I210" s="189"/>
    </row>
    <row r="211" spans="1:9">
      <c r="A211" s="187">
        <v>159</v>
      </c>
      <c r="B211" s="222">
        <v>45359</v>
      </c>
      <c r="C211" s="221">
        <v>221.93362245282464</v>
      </c>
      <c r="D211" s="221">
        <v>124.28094877902988</v>
      </c>
      <c r="E211" s="221">
        <f t="shared" si="12"/>
        <v>124.28094877902988</v>
      </c>
      <c r="F211" s="188" t="str">
        <f t="shared" si="13"/>
        <v/>
      </c>
      <c r="G211" t="str">
        <f t="shared" si="14"/>
        <v/>
      </c>
      <c r="H211" s="188" t="str">
        <f t="shared" si="15"/>
        <v/>
      </c>
      <c r="I211" s="189"/>
    </row>
    <row r="212" spans="1:9">
      <c r="A212" s="187">
        <v>160</v>
      </c>
      <c r="B212" s="222">
        <v>45360</v>
      </c>
      <c r="C212" s="221">
        <v>218.76776825682276</v>
      </c>
      <c r="D212" s="221">
        <v>124.28094877902988</v>
      </c>
      <c r="E212" s="221">
        <f t="shared" si="12"/>
        <v>124.28094877902988</v>
      </c>
      <c r="F212" s="188" t="str">
        <f t="shared" si="13"/>
        <v/>
      </c>
      <c r="G212" t="str">
        <f t="shared" si="14"/>
        <v/>
      </c>
      <c r="H212" s="188" t="str">
        <f t="shared" si="15"/>
        <v/>
      </c>
      <c r="I212" s="189"/>
    </row>
    <row r="213" spans="1:9">
      <c r="A213" s="187">
        <v>161</v>
      </c>
      <c r="B213" s="222">
        <v>45361</v>
      </c>
      <c r="C213" s="221">
        <v>202.10173770882093</v>
      </c>
      <c r="D213" s="221">
        <v>124.28094877902988</v>
      </c>
      <c r="E213" s="221">
        <f t="shared" si="12"/>
        <v>124.28094877902988</v>
      </c>
      <c r="F213" s="188" t="str">
        <f t="shared" si="13"/>
        <v/>
      </c>
      <c r="G213" t="str">
        <f t="shared" si="14"/>
        <v/>
      </c>
      <c r="H213" s="188" t="str">
        <f t="shared" si="15"/>
        <v/>
      </c>
      <c r="I213" s="189"/>
    </row>
    <row r="214" spans="1:9">
      <c r="A214" s="187">
        <v>162</v>
      </c>
      <c r="B214" s="222">
        <v>45362</v>
      </c>
      <c r="C214" s="221">
        <v>221.20131164882466</v>
      </c>
      <c r="D214" s="221">
        <v>124.28094877902988</v>
      </c>
      <c r="E214" s="221">
        <f t="shared" si="12"/>
        <v>124.28094877902988</v>
      </c>
      <c r="F214" s="188" t="str">
        <f t="shared" si="13"/>
        <v/>
      </c>
      <c r="G214" t="str">
        <f t="shared" si="14"/>
        <v/>
      </c>
      <c r="H214" s="188" t="str">
        <f t="shared" si="15"/>
        <v/>
      </c>
      <c r="I214" s="189"/>
    </row>
    <row r="215" spans="1:9">
      <c r="A215" s="187">
        <v>163</v>
      </c>
      <c r="B215" s="222">
        <v>45363</v>
      </c>
      <c r="C215" s="221">
        <v>234.67890028482466</v>
      </c>
      <c r="D215" s="221">
        <v>124.28094877902988</v>
      </c>
      <c r="E215" s="221">
        <f t="shared" si="12"/>
        <v>124.28094877902988</v>
      </c>
      <c r="F215" s="188" t="str">
        <f t="shared" si="13"/>
        <v/>
      </c>
      <c r="G215" t="str">
        <f t="shared" si="14"/>
        <v/>
      </c>
      <c r="H215" s="188" t="str">
        <f t="shared" si="15"/>
        <v/>
      </c>
      <c r="I215" s="189"/>
    </row>
    <row r="216" spans="1:9">
      <c r="A216" s="187">
        <v>164</v>
      </c>
      <c r="B216" s="222">
        <v>45364</v>
      </c>
      <c r="C216" s="221">
        <v>211.53238243101572</v>
      </c>
      <c r="D216" s="221">
        <v>124.28094877902988</v>
      </c>
      <c r="E216" s="221">
        <f t="shared" si="12"/>
        <v>124.28094877902988</v>
      </c>
      <c r="F216" s="188" t="str">
        <f t="shared" si="13"/>
        <v/>
      </c>
      <c r="G216" t="str">
        <f t="shared" si="14"/>
        <v/>
      </c>
      <c r="H216" s="188" t="str">
        <f>IF(DAY(B216)=15,IF(MONTH(B216)=1,"E",IF(MONTH(B216)=2,"F",IF(MONTH(B216)=3,"M",IF(MONTH(B216)=4,"A",IF(MONTH(B216)=5,"M",IF(MONTH(B216)=6,"J",IF(MONTH(B216)=7,"J",IF(MONTH(B216)=8,"A",IF(MONTH(B216)=9,"S",IF(MONTH(B216)=10,"O",IF(MONTH(B216)=11,"N",IF(MONTH(B216)=12,"D","")))))))))))),"")</f>
        <v/>
      </c>
      <c r="I216" s="189"/>
    </row>
    <row r="217" spans="1:9">
      <c r="A217" s="187">
        <v>165</v>
      </c>
      <c r="B217" s="222">
        <v>45365</v>
      </c>
      <c r="C217" s="221">
        <v>216.07462333901569</v>
      </c>
      <c r="D217" s="221">
        <v>124.28094877902988</v>
      </c>
      <c r="E217" s="221">
        <f t="shared" si="12"/>
        <v>124.28094877902988</v>
      </c>
      <c r="F217" s="188" t="str">
        <f t="shared" si="13"/>
        <v/>
      </c>
      <c r="G217" t="str">
        <f t="shared" si="14"/>
        <v/>
      </c>
      <c r="H217" s="188" t="str">
        <f t="shared" si="15"/>
        <v/>
      </c>
      <c r="I217" s="189"/>
    </row>
    <row r="218" spans="1:9">
      <c r="A218" s="187">
        <v>166</v>
      </c>
      <c r="B218" s="222">
        <v>45366</v>
      </c>
      <c r="C218" s="221">
        <v>223.02256256701943</v>
      </c>
      <c r="D218" s="221">
        <v>124.28094877902988</v>
      </c>
      <c r="E218" s="221">
        <f t="shared" si="12"/>
        <v>124.28094877902988</v>
      </c>
      <c r="F218" s="188" t="str">
        <f t="shared" si="13"/>
        <v/>
      </c>
      <c r="G218" t="str">
        <f t="shared" si="14"/>
        <v/>
      </c>
      <c r="H218" s="188" t="str">
        <f t="shared" si="15"/>
        <v>M</v>
      </c>
      <c r="I218" s="189">
        <f>IF(DAY(B218)=15,D218,"")</f>
        <v>124.28094877902988</v>
      </c>
    </row>
    <row r="219" spans="1:9">
      <c r="A219" s="187">
        <v>167</v>
      </c>
      <c r="B219" s="222">
        <v>45367</v>
      </c>
      <c r="C219" s="221">
        <v>206.91598158701569</v>
      </c>
      <c r="D219" s="221">
        <v>124.28094877902988</v>
      </c>
      <c r="E219" s="221">
        <f t="shared" si="12"/>
        <v>124.28094877902988</v>
      </c>
      <c r="F219" s="188" t="str">
        <f t="shared" si="13"/>
        <v/>
      </c>
      <c r="G219" t="str">
        <f t="shared" si="14"/>
        <v/>
      </c>
      <c r="H219" s="188" t="str">
        <f>IF(DAY(B219)=15,IF(MONTH(B219)=1,"E",IF(MONTH(B219)=2,"F",IF(MONTH(B219)=3,"M",IF(MONTH(B219)=4,"A",IF(MONTH(B219)=5,"M",IF(MONTH(B219)=6,"J",IF(MONTH(B219)=7,"J",IF(MONTH(B219)=8,"A",IF(MONTH(B219)=9,"S",IF(MONTH(B219)=10,"O",IF(MONTH(B219)=11,"N",IF(MONTH(B219)=12,"D","")))))))))))),"")</f>
        <v/>
      </c>
      <c r="I219" s="189"/>
    </row>
    <row r="220" spans="1:9">
      <c r="A220" s="187">
        <v>168</v>
      </c>
      <c r="B220" s="222">
        <v>45368</v>
      </c>
      <c r="C220" s="221">
        <v>208.01399140701571</v>
      </c>
      <c r="D220" s="221">
        <v>124.28094877902988</v>
      </c>
      <c r="E220" s="221">
        <f t="shared" si="12"/>
        <v>124.28094877902988</v>
      </c>
      <c r="F220" s="188" t="str">
        <f t="shared" si="13"/>
        <v/>
      </c>
      <c r="G220" t="str">
        <f t="shared" si="14"/>
        <v/>
      </c>
      <c r="H220" s="188" t="str">
        <f t="shared" si="15"/>
        <v/>
      </c>
      <c r="I220" s="189"/>
    </row>
    <row r="221" spans="1:9">
      <c r="A221" s="187">
        <v>169</v>
      </c>
      <c r="B221" s="222">
        <v>45369</v>
      </c>
      <c r="C221" s="221">
        <v>227.33454118701758</v>
      </c>
      <c r="D221" s="221">
        <v>124.28094877902988</v>
      </c>
      <c r="E221" s="221">
        <f t="shared" si="12"/>
        <v>124.28094877902988</v>
      </c>
      <c r="F221" s="188" t="str">
        <f t="shared" si="13"/>
        <v/>
      </c>
      <c r="G221" t="str">
        <f t="shared" si="14"/>
        <v/>
      </c>
      <c r="H221" s="188" t="str">
        <f t="shared" si="15"/>
        <v/>
      </c>
      <c r="I221" s="189"/>
    </row>
    <row r="222" spans="1:9">
      <c r="A222" s="187">
        <v>170</v>
      </c>
      <c r="B222" s="222">
        <v>45370</v>
      </c>
      <c r="C222" s="221">
        <v>233.93777666701945</v>
      </c>
      <c r="D222" s="221">
        <v>124.28094877902988</v>
      </c>
      <c r="E222" s="221">
        <f t="shared" si="12"/>
        <v>124.28094877902988</v>
      </c>
      <c r="F222" s="188" t="str">
        <f t="shared" si="13"/>
        <v/>
      </c>
      <c r="G222" t="str">
        <f t="shared" si="14"/>
        <v/>
      </c>
      <c r="H222" s="188" t="str">
        <f t="shared" si="15"/>
        <v/>
      </c>
      <c r="I222" s="189"/>
    </row>
    <row r="223" spans="1:9">
      <c r="A223" s="187">
        <v>171</v>
      </c>
      <c r="B223" s="222">
        <v>45371</v>
      </c>
      <c r="C223" s="221">
        <v>197.96447342418341</v>
      </c>
      <c r="D223" s="221">
        <v>124.28094877902988</v>
      </c>
      <c r="E223" s="221">
        <f t="shared" si="12"/>
        <v>124.28094877902988</v>
      </c>
      <c r="F223" s="188" t="str">
        <f t="shared" si="13"/>
        <v/>
      </c>
      <c r="G223" t="str">
        <f t="shared" si="14"/>
        <v/>
      </c>
      <c r="H223" s="188" t="str">
        <f t="shared" si="15"/>
        <v/>
      </c>
      <c r="I223" s="189"/>
    </row>
    <row r="224" spans="1:9">
      <c r="A224" s="187">
        <v>172</v>
      </c>
      <c r="B224" s="222">
        <v>45372</v>
      </c>
      <c r="C224" s="221">
        <v>176.85543021218712</v>
      </c>
      <c r="D224" s="221">
        <v>124.28094877902988</v>
      </c>
      <c r="E224" s="221">
        <f t="shared" si="12"/>
        <v>124.28094877902988</v>
      </c>
      <c r="F224" s="188" t="str">
        <f t="shared" si="13"/>
        <v/>
      </c>
      <c r="G224" t="str">
        <f t="shared" si="14"/>
        <v/>
      </c>
      <c r="H224" s="188" t="str">
        <f t="shared" si="15"/>
        <v/>
      </c>
      <c r="I224" s="189"/>
    </row>
    <row r="225" spans="1:9">
      <c r="A225" s="187">
        <v>173</v>
      </c>
      <c r="B225" s="222">
        <v>45373</v>
      </c>
      <c r="C225" s="221">
        <v>184.05906138818526</v>
      </c>
      <c r="D225" s="221">
        <v>124.28094877902988</v>
      </c>
      <c r="E225" s="221">
        <f t="shared" si="12"/>
        <v>124.28094877902988</v>
      </c>
      <c r="F225" s="188" t="str">
        <f t="shared" si="13"/>
        <v/>
      </c>
      <c r="G225" t="str">
        <f t="shared" si="14"/>
        <v/>
      </c>
      <c r="H225" s="188" t="str">
        <f t="shared" si="15"/>
        <v/>
      </c>
      <c r="I225" s="189"/>
    </row>
    <row r="226" spans="1:9">
      <c r="A226" s="187">
        <v>174</v>
      </c>
      <c r="B226" s="222">
        <v>45374</v>
      </c>
      <c r="C226" s="221">
        <v>144.84861818018339</v>
      </c>
      <c r="D226" s="221">
        <v>124.28094877902988</v>
      </c>
      <c r="E226" s="221">
        <f t="shared" si="12"/>
        <v>124.28094877902988</v>
      </c>
      <c r="F226" s="188" t="str">
        <f t="shared" si="13"/>
        <v/>
      </c>
      <c r="G226" t="str">
        <f t="shared" si="14"/>
        <v/>
      </c>
      <c r="H226" s="188" t="str">
        <f t="shared" si="15"/>
        <v/>
      </c>
      <c r="I226" s="189"/>
    </row>
    <row r="227" spans="1:9">
      <c r="A227" s="187">
        <v>175</v>
      </c>
      <c r="B227" s="222">
        <v>45375</v>
      </c>
      <c r="C227" s="221">
        <v>136.00949461218897</v>
      </c>
      <c r="D227" s="221">
        <v>124.28094877902988</v>
      </c>
      <c r="E227" s="221">
        <f t="shared" si="12"/>
        <v>124.28094877902988</v>
      </c>
      <c r="F227" s="188" t="str">
        <f t="shared" si="13"/>
        <v/>
      </c>
      <c r="G227" t="str">
        <f t="shared" si="14"/>
        <v/>
      </c>
      <c r="H227" s="188" t="str">
        <f t="shared" si="15"/>
        <v/>
      </c>
      <c r="I227" s="189"/>
    </row>
    <row r="228" spans="1:9">
      <c r="A228" s="187">
        <v>176</v>
      </c>
      <c r="B228" s="222">
        <v>45376</v>
      </c>
      <c r="C228" s="221">
        <v>188.86417784818713</v>
      </c>
      <c r="D228" s="221">
        <v>124.28094877902988</v>
      </c>
      <c r="E228" s="221">
        <f t="shared" si="12"/>
        <v>124.28094877902988</v>
      </c>
      <c r="F228" s="188" t="str">
        <f t="shared" si="13"/>
        <v/>
      </c>
      <c r="G228" t="str">
        <f t="shared" si="14"/>
        <v/>
      </c>
      <c r="H228" s="188" t="str">
        <f t="shared" si="15"/>
        <v/>
      </c>
      <c r="I228" s="189"/>
    </row>
    <row r="229" spans="1:9">
      <c r="A229" s="187">
        <v>177</v>
      </c>
      <c r="B229" s="222">
        <v>45377</v>
      </c>
      <c r="C229" s="221">
        <v>178.12515757218523</v>
      </c>
      <c r="D229" s="221">
        <v>124.28094877902988</v>
      </c>
      <c r="E229" s="221">
        <f t="shared" si="12"/>
        <v>124.28094877902988</v>
      </c>
      <c r="F229" s="188" t="str">
        <f t="shared" si="13"/>
        <v/>
      </c>
      <c r="G229" t="str">
        <f t="shared" si="14"/>
        <v/>
      </c>
      <c r="H229" s="188" t="str">
        <f t="shared" si="15"/>
        <v/>
      </c>
      <c r="I229" s="189"/>
    </row>
    <row r="230" spans="1:9">
      <c r="A230" s="187">
        <v>178</v>
      </c>
      <c r="B230" s="222">
        <v>45378</v>
      </c>
      <c r="C230" s="221">
        <v>224.35234708788724</v>
      </c>
      <c r="D230" s="221">
        <v>124.28094877902988</v>
      </c>
      <c r="E230" s="221">
        <f t="shared" si="12"/>
        <v>124.28094877902988</v>
      </c>
      <c r="F230" s="188" t="str">
        <f t="shared" si="13"/>
        <v/>
      </c>
      <c r="G230" t="str">
        <f t="shared" si="14"/>
        <v/>
      </c>
      <c r="H230" s="188" t="str">
        <f t="shared" si="15"/>
        <v/>
      </c>
      <c r="I230" s="189"/>
    </row>
    <row r="231" spans="1:9">
      <c r="A231" s="187">
        <v>179</v>
      </c>
      <c r="B231" s="222">
        <v>45379</v>
      </c>
      <c r="C231" s="221">
        <v>230.37488433589098</v>
      </c>
      <c r="D231" s="221">
        <v>124.28094877902988</v>
      </c>
      <c r="E231" s="221">
        <f t="shared" si="12"/>
        <v>124.28094877902988</v>
      </c>
      <c r="F231" s="188" t="str">
        <f t="shared" si="13"/>
        <v/>
      </c>
      <c r="G231" t="str">
        <f t="shared" si="14"/>
        <v/>
      </c>
      <c r="H231" s="188" t="str">
        <f t="shared" si="15"/>
        <v/>
      </c>
      <c r="I231" s="189"/>
    </row>
    <row r="232" spans="1:9">
      <c r="A232" s="187">
        <v>180</v>
      </c>
      <c r="B232" s="222">
        <v>45380</v>
      </c>
      <c r="C232" s="221">
        <v>244.73744427988726</v>
      </c>
      <c r="D232" s="221">
        <v>124.28094877902988</v>
      </c>
      <c r="E232" s="221">
        <f t="shared" si="12"/>
        <v>124.28094877902988</v>
      </c>
      <c r="F232" s="188" t="str">
        <f t="shared" si="13"/>
        <v/>
      </c>
      <c r="G232" t="str">
        <f t="shared" si="14"/>
        <v/>
      </c>
      <c r="H232" s="188" t="str">
        <f t="shared" si="15"/>
        <v/>
      </c>
      <c r="I232" s="189"/>
    </row>
    <row r="233" spans="1:9">
      <c r="A233" s="187">
        <v>181</v>
      </c>
      <c r="B233" s="222">
        <v>45381</v>
      </c>
      <c r="C233" s="221">
        <v>252.09877540788537</v>
      </c>
      <c r="D233" s="221">
        <v>124.28094877902988</v>
      </c>
      <c r="E233" s="221">
        <f t="shared" si="12"/>
        <v>124.28094877902988</v>
      </c>
      <c r="F233" s="188" t="str">
        <f t="shared" si="13"/>
        <v/>
      </c>
      <c r="G233" t="str">
        <f t="shared" si="14"/>
        <v/>
      </c>
      <c r="H233" s="188" t="str">
        <f t="shared" si="15"/>
        <v/>
      </c>
      <c r="I233" s="189"/>
    </row>
    <row r="234" spans="1:9">
      <c r="A234" s="187">
        <v>182</v>
      </c>
      <c r="B234" s="222">
        <v>45382</v>
      </c>
      <c r="C234" s="221">
        <v>244.49603375188912</v>
      </c>
      <c r="D234" s="221">
        <v>124.28094877902988</v>
      </c>
      <c r="E234" s="221">
        <f t="shared" si="12"/>
        <v>124.28094877902988</v>
      </c>
      <c r="F234" s="188" t="str">
        <f t="shared" si="13"/>
        <v/>
      </c>
      <c r="G234" t="str">
        <f t="shared" si="14"/>
        <v/>
      </c>
      <c r="H234" s="188" t="str">
        <f t="shared" si="15"/>
        <v/>
      </c>
      <c r="I234" s="189"/>
    </row>
    <row r="235" spans="1:9">
      <c r="A235" s="187">
        <v>183</v>
      </c>
      <c r="B235" s="222">
        <v>45383</v>
      </c>
      <c r="C235" s="221">
        <v>243.29348493988911</v>
      </c>
      <c r="D235" s="221">
        <v>120.54288292781465</v>
      </c>
      <c r="E235" s="221">
        <f t="shared" si="12"/>
        <v>120.54288292781465</v>
      </c>
      <c r="F235" s="188">
        <f t="shared" si="13"/>
        <v>600</v>
      </c>
      <c r="G235" t="str">
        <f t="shared" si="14"/>
        <v/>
      </c>
      <c r="H235" s="188" t="str">
        <f t="shared" si="15"/>
        <v/>
      </c>
      <c r="I235" s="189"/>
    </row>
    <row r="236" spans="1:9">
      <c r="A236" s="187">
        <v>184</v>
      </c>
      <c r="B236" s="222">
        <v>45384</v>
      </c>
      <c r="C236" s="221">
        <v>255.81591222788725</v>
      </c>
      <c r="D236" s="221">
        <v>120.54288292781465</v>
      </c>
      <c r="E236" s="221">
        <f t="shared" si="12"/>
        <v>120.54288292781465</v>
      </c>
      <c r="F236" s="188" t="str">
        <f t="shared" si="13"/>
        <v/>
      </c>
      <c r="G236" t="str">
        <f>IF(MONTH(B236)=1,IF(DAY(B236)=1,YEAR(B236),""),"")</f>
        <v/>
      </c>
      <c r="H236" s="188" t="str">
        <f t="shared" si="15"/>
        <v/>
      </c>
      <c r="I236" s="189"/>
    </row>
    <row r="237" spans="1:9">
      <c r="A237" s="187">
        <v>185</v>
      </c>
      <c r="B237" s="222">
        <v>45385</v>
      </c>
      <c r="C237" s="221">
        <v>263.57349480166044</v>
      </c>
      <c r="D237" s="221">
        <v>120.54288292781465</v>
      </c>
      <c r="E237" s="221">
        <f t="shared" si="12"/>
        <v>120.54288292781465</v>
      </c>
      <c r="F237" s="188" t="str">
        <f t="shared" si="13"/>
        <v/>
      </c>
      <c r="G237" t="str">
        <f t="shared" si="14"/>
        <v/>
      </c>
      <c r="H237" s="188" t="str">
        <f t="shared" si="15"/>
        <v/>
      </c>
      <c r="I237" s="189"/>
    </row>
    <row r="238" spans="1:9">
      <c r="A238" s="187">
        <v>186</v>
      </c>
      <c r="B238" s="222">
        <v>45386</v>
      </c>
      <c r="C238" s="221">
        <v>262.71526991366233</v>
      </c>
      <c r="D238" s="221">
        <v>120.54288292781465</v>
      </c>
      <c r="E238" s="221">
        <f t="shared" si="12"/>
        <v>120.54288292781465</v>
      </c>
      <c r="F238" s="188" t="str">
        <f t="shared" si="13"/>
        <v/>
      </c>
      <c r="G238" t="str">
        <f t="shared" si="14"/>
        <v/>
      </c>
      <c r="H238" s="188" t="str">
        <f t="shared" si="15"/>
        <v/>
      </c>
      <c r="I238" s="189"/>
    </row>
    <row r="239" spans="1:9">
      <c r="A239" s="187">
        <v>187</v>
      </c>
      <c r="B239" s="222">
        <v>45387</v>
      </c>
      <c r="C239" s="221">
        <v>257.32151106966046</v>
      </c>
      <c r="D239" s="221">
        <v>120.54288292781465</v>
      </c>
      <c r="E239" s="221">
        <f t="shared" si="12"/>
        <v>120.54288292781465</v>
      </c>
      <c r="F239" s="188" t="str">
        <f t="shared" si="13"/>
        <v/>
      </c>
      <c r="G239" t="str">
        <f t="shared" si="14"/>
        <v/>
      </c>
      <c r="H239" s="188" t="str">
        <f t="shared" si="15"/>
        <v/>
      </c>
      <c r="I239" s="189"/>
    </row>
    <row r="240" spans="1:9">
      <c r="A240" s="187">
        <v>188</v>
      </c>
      <c r="B240" s="222">
        <v>45388</v>
      </c>
      <c r="C240" s="221">
        <v>259.32376841766046</v>
      </c>
      <c r="D240" s="221">
        <v>120.54288292781465</v>
      </c>
      <c r="E240" s="221">
        <f t="shared" si="12"/>
        <v>120.54288292781465</v>
      </c>
      <c r="F240" s="188" t="str">
        <f t="shared" si="13"/>
        <v/>
      </c>
      <c r="G240" t="str">
        <f t="shared" si="14"/>
        <v/>
      </c>
      <c r="H240" s="188" t="str">
        <f t="shared" si="15"/>
        <v/>
      </c>
      <c r="I240" s="189"/>
    </row>
    <row r="241" spans="1:9">
      <c r="A241" s="187">
        <v>189</v>
      </c>
      <c r="B241" s="222">
        <v>45389</v>
      </c>
      <c r="C241" s="221">
        <v>267.06073969766044</v>
      </c>
      <c r="D241" s="221">
        <v>120.54288292781465</v>
      </c>
      <c r="E241" s="221">
        <f t="shared" si="12"/>
        <v>120.54288292781465</v>
      </c>
      <c r="F241" s="188" t="str">
        <f t="shared" si="13"/>
        <v/>
      </c>
      <c r="G241" t="str">
        <f t="shared" si="14"/>
        <v/>
      </c>
      <c r="H241" s="188" t="str">
        <f t="shared" si="15"/>
        <v/>
      </c>
      <c r="I241" s="189"/>
    </row>
    <row r="242" spans="1:9">
      <c r="A242" s="187">
        <v>190</v>
      </c>
      <c r="B242" s="222">
        <v>45390</v>
      </c>
      <c r="C242" s="221">
        <v>270.21304680165861</v>
      </c>
      <c r="D242" s="221">
        <v>120.54288292781465</v>
      </c>
      <c r="E242" s="221">
        <f t="shared" si="12"/>
        <v>120.54288292781465</v>
      </c>
      <c r="F242" s="188" t="str">
        <f t="shared" si="13"/>
        <v/>
      </c>
      <c r="G242" t="str">
        <f t="shared" si="14"/>
        <v/>
      </c>
      <c r="H242" s="188" t="str">
        <f t="shared" si="15"/>
        <v/>
      </c>
      <c r="I242" s="189"/>
    </row>
    <row r="243" spans="1:9">
      <c r="A243" s="187">
        <v>191</v>
      </c>
      <c r="B243" s="222">
        <v>45391</v>
      </c>
      <c r="C243" s="221">
        <v>262.92823013066044</v>
      </c>
      <c r="D243" s="221">
        <v>120.54288292781465</v>
      </c>
      <c r="E243" s="221">
        <f t="shared" si="12"/>
        <v>120.54288292781465</v>
      </c>
      <c r="F243" s="188" t="str">
        <f t="shared" si="13"/>
        <v/>
      </c>
      <c r="G243" t="str">
        <f t="shared" si="14"/>
        <v/>
      </c>
      <c r="H243" s="188" t="str">
        <f t="shared" si="15"/>
        <v/>
      </c>
      <c r="I243" s="189"/>
    </row>
    <row r="244" spans="1:9">
      <c r="A244" s="187">
        <v>192</v>
      </c>
      <c r="B244" s="222">
        <v>45392</v>
      </c>
      <c r="C244" s="221">
        <v>193.9214722451166</v>
      </c>
      <c r="D244" s="221">
        <v>120.54288292781465</v>
      </c>
      <c r="E244" s="221">
        <f t="shared" ref="E244:E307" si="16">IF(C244&lt;D244,C244,D244)</f>
        <v>120.54288292781465</v>
      </c>
      <c r="F244" s="188" t="str">
        <f t="shared" ref="F244:F307" si="17">IF(DAY(B244)=1,600,"")</f>
        <v/>
      </c>
      <c r="G244" t="str">
        <f t="shared" si="14"/>
        <v/>
      </c>
      <c r="H244" s="188" t="str">
        <f t="shared" si="15"/>
        <v/>
      </c>
      <c r="I244" s="189"/>
    </row>
    <row r="245" spans="1:9">
      <c r="A245" s="187">
        <v>193</v>
      </c>
      <c r="B245" s="222">
        <v>45393</v>
      </c>
      <c r="C245" s="221">
        <v>173.92818561711846</v>
      </c>
      <c r="D245" s="221">
        <v>120.54288292781465</v>
      </c>
      <c r="E245" s="221">
        <f t="shared" si="16"/>
        <v>120.54288292781465</v>
      </c>
      <c r="F245" s="188" t="str">
        <f t="shared" si="17"/>
        <v/>
      </c>
      <c r="G245" t="str">
        <f t="shared" si="14"/>
        <v/>
      </c>
      <c r="H245" s="188" t="str">
        <f t="shared" si="15"/>
        <v/>
      </c>
      <c r="I245" s="189"/>
    </row>
    <row r="246" spans="1:9">
      <c r="A246" s="187">
        <v>194</v>
      </c>
      <c r="B246" s="222">
        <v>45394</v>
      </c>
      <c r="C246" s="221">
        <v>194.95258946511288</v>
      </c>
      <c r="D246" s="221">
        <v>120.54288292781465</v>
      </c>
      <c r="E246" s="221">
        <f t="shared" si="16"/>
        <v>120.54288292781465</v>
      </c>
      <c r="F246" s="188" t="str">
        <f t="shared" si="17"/>
        <v/>
      </c>
      <c r="G246" t="str">
        <f t="shared" ref="G246:G309" si="18">IF(MONTH(B246)=1,IF(DAY(B246)=1,YEAR(B246),""),"")</f>
        <v/>
      </c>
      <c r="H246" s="188" t="str">
        <f t="shared" si="15"/>
        <v/>
      </c>
      <c r="I246" s="189"/>
    </row>
    <row r="247" spans="1:9">
      <c r="A247" s="187">
        <v>195</v>
      </c>
      <c r="B247" s="222">
        <v>45395</v>
      </c>
      <c r="C247" s="221">
        <v>178.18745186911846</v>
      </c>
      <c r="D247" s="221">
        <v>120.54288292781465</v>
      </c>
      <c r="E247" s="221">
        <f t="shared" si="16"/>
        <v>120.54288292781465</v>
      </c>
      <c r="F247" s="188" t="str">
        <f t="shared" si="17"/>
        <v/>
      </c>
      <c r="G247" t="str">
        <f t="shared" si="18"/>
        <v/>
      </c>
      <c r="H247" s="188" t="str">
        <f t="shared" si="15"/>
        <v/>
      </c>
      <c r="I247" s="189"/>
    </row>
    <row r="248" spans="1:9">
      <c r="A248" s="187">
        <v>196</v>
      </c>
      <c r="B248" s="222">
        <v>45396</v>
      </c>
      <c r="C248" s="221">
        <v>165.4526508811166</v>
      </c>
      <c r="D248" s="221">
        <v>120.54288292781465</v>
      </c>
      <c r="E248" s="221">
        <f t="shared" si="16"/>
        <v>120.54288292781465</v>
      </c>
      <c r="F248" s="188" t="str">
        <f t="shared" si="17"/>
        <v/>
      </c>
      <c r="G248" t="str">
        <f t="shared" si="18"/>
        <v/>
      </c>
      <c r="H248" s="188" t="str">
        <f>IF(DAY(B248)=15,IF(MONTH(B248)=1,"E",IF(MONTH(B248)=2,"F",IF(MONTH(B248)=3,"M",IF(MONTH(B248)=4,"A",IF(MONTH(B248)=5,"M",IF(MONTH(B248)=6,"J",IF(MONTH(B248)=7,"J",IF(MONTH(B248)=8,"A",IF(MONTH(B248)=9,"S",IF(MONTH(B248)=10,"O",IF(MONTH(B248)=11,"N",IF(MONTH(B248)=12,"D","")))))))))))),"")</f>
        <v/>
      </c>
      <c r="I248" s="189"/>
    </row>
    <row r="249" spans="1:9">
      <c r="A249" s="187">
        <v>197</v>
      </c>
      <c r="B249" s="222">
        <v>45397</v>
      </c>
      <c r="C249" s="221">
        <v>160.50314996911476</v>
      </c>
      <c r="D249" s="221">
        <v>120.54288292781465</v>
      </c>
      <c r="E249" s="221">
        <f t="shared" si="16"/>
        <v>120.54288292781465</v>
      </c>
      <c r="F249" s="188" t="str">
        <f t="shared" si="17"/>
        <v/>
      </c>
      <c r="G249" t="str">
        <f t="shared" si="18"/>
        <v/>
      </c>
      <c r="H249" s="188" t="str">
        <f>IF(DAY(B249)=15,IF(MONTH(B249)=1,"E",IF(MONTH(B249)=2,"F",IF(MONTH(B249)=3,"M",IF(MONTH(B249)=4,"A",IF(MONTH(B249)=5,"M",IF(MONTH(B249)=6,"J",IF(MONTH(B249)=7,"J",IF(MONTH(B249)=8,"A",IF(MONTH(B249)=9,"S",IF(MONTH(B249)=10,"O",IF(MONTH(B249)=11,"N",IF(MONTH(B249)=12,"D","")))))))))))),"")</f>
        <v>A</v>
      </c>
      <c r="I249" s="189">
        <f>IF(DAY(B249)=15,D249,"")</f>
        <v>120.54288292781465</v>
      </c>
    </row>
    <row r="250" spans="1:9">
      <c r="A250" s="187">
        <v>198</v>
      </c>
      <c r="B250" s="222">
        <v>45398</v>
      </c>
      <c r="C250" s="221">
        <v>146.16653191711848</v>
      </c>
      <c r="D250" s="221">
        <v>120.54288292781465</v>
      </c>
      <c r="E250" s="221">
        <f t="shared" si="16"/>
        <v>120.54288292781465</v>
      </c>
      <c r="F250" s="188" t="str">
        <f t="shared" si="17"/>
        <v/>
      </c>
      <c r="G250" t="str">
        <f t="shared" si="18"/>
        <v/>
      </c>
      <c r="H250" s="188" t="str">
        <f>IF(DAY(B250)=15,IF(MONTH(B250)=1,"E",IF(MONTH(B250)=2,"F",IF(MONTH(B250)=3,"M",IF(MONTH(B250)=4,"A",IF(MONTH(B250)=5,"M",IF(MONTH(B250)=6,"J",IF(MONTH(B250)=7,"J",IF(MONTH(B250)=8,"A",IF(MONTH(B250)=9,"S",IF(MONTH(B250)=10,"O",IF(MONTH(B250)=11,"N",IF(MONTH(B250)=12,"D","")))))))))))),"")</f>
        <v/>
      </c>
      <c r="I250" s="189"/>
    </row>
    <row r="251" spans="1:9">
      <c r="A251" s="187">
        <v>199</v>
      </c>
      <c r="B251" s="222">
        <v>45399</v>
      </c>
      <c r="C251" s="221">
        <v>123.48102182233816</v>
      </c>
      <c r="D251" s="221">
        <v>120.54288292781465</v>
      </c>
      <c r="E251" s="221">
        <f t="shared" si="16"/>
        <v>120.54288292781465</v>
      </c>
      <c r="F251" s="188" t="str">
        <f t="shared" si="17"/>
        <v/>
      </c>
      <c r="G251" t="str">
        <f t="shared" si="18"/>
        <v/>
      </c>
      <c r="H251" s="188" t="str">
        <f t="shared" si="15"/>
        <v/>
      </c>
      <c r="I251" s="189"/>
    </row>
    <row r="252" spans="1:9">
      <c r="A252" s="187">
        <v>200</v>
      </c>
      <c r="B252" s="222">
        <v>45400</v>
      </c>
      <c r="C252" s="221">
        <v>121.8189959663419</v>
      </c>
      <c r="D252" s="221">
        <v>120.54288292781465</v>
      </c>
      <c r="E252" s="221">
        <f t="shared" si="16"/>
        <v>120.54288292781465</v>
      </c>
      <c r="F252" s="188" t="str">
        <f t="shared" si="17"/>
        <v/>
      </c>
      <c r="G252" t="str">
        <f t="shared" si="18"/>
        <v/>
      </c>
      <c r="H252" s="188" t="str">
        <f t="shared" si="15"/>
        <v/>
      </c>
      <c r="I252" s="189"/>
    </row>
    <row r="253" spans="1:9">
      <c r="A253" s="187">
        <v>201</v>
      </c>
      <c r="B253" s="222">
        <v>45401</v>
      </c>
      <c r="C253" s="221">
        <v>136.99538842733818</v>
      </c>
      <c r="D253" s="221">
        <v>120.54288292781465</v>
      </c>
      <c r="E253" s="221">
        <f t="shared" si="16"/>
        <v>120.54288292781465</v>
      </c>
      <c r="F253" s="188" t="str">
        <f t="shared" si="17"/>
        <v/>
      </c>
      <c r="G253" t="str">
        <f t="shared" si="18"/>
        <v/>
      </c>
      <c r="H253" s="188" t="str">
        <f t="shared" si="15"/>
        <v/>
      </c>
      <c r="I253" s="189"/>
    </row>
    <row r="254" spans="1:9">
      <c r="A254" s="187">
        <v>202</v>
      </c>
      <c r="B254" s="222">
        <v>45402</v>
      </c>
      <c r="C254" s="221">
        <v>111.19103276633818</v>
      </c>
      <c r="D254" s="221">
        <v>120.54288292781465</v>
      </c>
      <c r="E254" s="221">
        <f t="shared" si="16"/>
        <v>111.19103276633818</v>
      </c>
      <c r="F254" s="188" t="str">
        <f t="shared" si="17"/>
        <v/>
      </c>
      <c r="G254" t="str">
        <f t="shared" si="18"/>
        <v/>
      </c>
      <c r="H254" s="188" t="str">
        <f t="shared" si="15"/>
        <v/>
      </c>
      <c r="I254" s="189"/>
    </row>
    <row r="255" spans="1:9">
      <c r="A255" s="187">
        <v>203</v>
      </c>
      <c r="B255" s="222">
        <v>45403</v>
      </c>
      <c r="C255" s="221">
        <v>88.599454134340036</v>
      </c>
      <c r="D255" s="221">
        <v>120.54288292781465</v>
      </c>
      <c r="E255" s="221">
        <f t="shared" si="16"/>
        <v>88.599454134340036</v>
      </c>
      <c r="F255" s="188" t="str">
        <f t="shared" si="17"/>
        <v/>
      </c>
      <c r="G255" t="str">
        <f t="shared" si="18"/>
        <v/>
      </c>
      <c r="H255" s="188" t="str">
        <f t="shared" si="15"/>
        <v/>
      </c>
      <c r="I255" s="189"/>
    </row>
    <row r="256" spans="1:9">
      <c r="A256" s="187">
        <v>204</v>
      </c>
      <c r="B256" s="222">
        <v>45404</v>
      </c>
      <c r="C256" s="221">
        <v>93.381547750340033</v>
      </c>
      <c r="D256" s="221">
        <v>120.54288292781465</v>
      </c>
      <c r="E256" s="221">
        <f t="shared" si="16"/>
        <v>93.381547750340033</v>
      </c>
      <c r="F256" s="188" t="str">
        <f t="shared" si="17"/>
        <v/>
      </c>
      <c r="G256" t="str">
        <f t="shared" si="18"/>
        <v/>
      </c>
      <c r="H256" s="188" t="str">
        <f t="shared" si="15"/>
        <v/>
      </c>
      <c r="I256" s="189"/>
    </row>
    <row r="257" spans="1:9">
      <c r="A257" s="187">
        <v>205</v>
      </c>
      <c r="B257" s="222">
        <v>45405</v>
      </c>
      <c r="C257" s="221">
        <v>96.421928146338175</v>
      </c>
      <c r="D257" s="221">
        <v>120.54288292781465</v>
      </c>
      <c r="E257" s="221">
        <f t="shared" si="16"/>
        <v>96.421928146338175</v>
      </c>
      <c r="F257" s="188" t="str">
        <f t="shared" si="17"/>
        <v/>
      </c>
      <c r="G257" t="str">
        <f t="shared" si="18"/>
        <v/>
      </c>
      <c r="H257" s="188" t="str">
        <f t="shared" si="15"/>
        <v/>
      </c>
      <c r="I257" s="189"/>
    </row>
    <row r="258" spans="1:9">
      <c r="A258" s="187">
        <v>206</v>
      </c>
      <c r="B258" s="222">
        <v>45406</v>
      </c>
      <c r="C258" s="221">
        <v>73.047796928215917</v>
      </c>
      <c r="D258" s="221">
        <v>120.54288292781465</v>
      </c>
      <c r="E258" s="221">
        <f t="shared" si="16"/>
        <v>73.047796928215917</v>
      </c>
      <c r="F258" s="188" t="str">
        <f t="shared" si="17"/>
        <v/>
      </c>
      <c r="G258" t="str">
        <f t="shared" si="18"/>
        <v/>
      </c>
      <c r="H258" s="188" t="str">
        <f t="shared" si="15"/>
        <v/>
      </c>
      <c r="I258" s="189"/>
    </row>
    <row r="259" spans="1:9">
      <c r="A259" s="187">
        <v>207</v>
      </c>
      <c r="B259" s="222">
        <v>45407</v>
      </c>
      <c r="C259" s="221">
        <v>124.15125314421218</v>
      </c>
      <c r="D259" s="221">
        <v>120.54288292781465</v>
      </c>
      <c r="E259" s="221">
        <f t="shared" si="16"/>
        <v>120.54288292781465</v>
      </c>
      <c r="F259" s="188" t="str">
        <f t="shared" si="17"/>
        <v/>
      </c>
      <c r="G259" t="str">
        <f t="shared" si="18"/>
        <v/>
      </c>
      <c r="H259" s="188" t="str">
        <f t="shared" ref="H259:H322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I259" s="189"/>
    </row>
    <row r="260" spans="1:9">
      <c r="A260" s="187">
        <v>208</v>
      </c>
      <c r="B260" s="222">
        <v>45408</v>
      </c>
      <c r="C260" s="221">
        <v>131.74439060321961</v>
      </c>
      <c r="D260" s="221">
        <v>120.54288292781465</v>
      </c>
      <c r="E260" s="221">
        <f t="shared" si="16"/>
        <v>120.54288292781465</v>
      </c>
      <c r="F260" s="188" t="str">
        <f t="shared" si="17"/>
        <v/>
      </c>
      <c r="G260" t="str">
        <f t="shared" si="18"/>
        <v/>
      </c>
      <c r="H260" s="188" t="str">
        <f t="shared" si="19"/>
        <v/>
      </c>
      <c r="I260" s="189"/>
    </row>
    <row r="261" spans="1:9">
      <c r="A261" s="187">
        <v>209</v>
      </c>
      <c r="B261" s="222">
        <v>45409</v>
      </c>
      <c r="C261" s="221">
        <v>71.896353268219642</v>
      </c>
      <c r="D261" s="221">
        <v>120.54288292781465</v>
      </c>
      <c r="E261" s="221">
        <f t="shared" si="16"/>
        <v>71.896353268219642</v>
      </c>
      <c r="F261" s="188" t="str">
        <f t="shared" si="17"/>
        <v/>
      </c>
      <c r="G261" t="str">
        <f t="shared" si="18"/>
        <v/>
      </c>
      <c r="H261" s="188" t="str">
        <f t="shared" si="19"/>
        <v/>
      </c>
      <c r="I261" s="189"/>
    </row>
    <row r="262" spans="1:9">
      <c r="A262" s="187">
        <v>210</v>
      </c>
      <c r="B262" s="222">
        <v>45410</v>
      </c>
      <c r="C262" s="221">
        <v>74.042449444215919</v>
      </c>
      <c r="D262" s="221">
        <v>120.54288292781465</v>
      </c>
      <c r="E262" s="221">
        <f t="shared" si="16"/>
        <v>74.042449444215919</v>
      </c>
      <c r="F262" s="188" t="str">
        <f t="shared" si="17"/>
        <v/>
      </c>
      <c r="G262" t="str">
        <f t="shared" si="18"/>
        <v/>
      </c>
      <c r="H262" s="188" t="str">
        <f t="shared" si="19"/>
        <v/>
      </c>
      <c r="I262" s="189"/>
    </row>
    <row r="263" spans="1:9">
      <c r="A263" s="187">
        <v>211</v>
      </c>
      <c r="B263" s="222">
        <v>45411</v>
      </c>
      <c r="C263" s="221">
        <v>109.42936759621591</v>
      </c>
      <c r="D263" s="221">
        <v>120.54288292781465</v>
      </c>
      <c r="E263" s="221">
        <f t="shared" si="16"/>
        <v>109.42936759621591</v>
      </c>
      <c r="F263" s="188" t="str">
        <f t="shared" si="17"/>
        <v/>
      </c>
      <c r="G263" t="str">
        <f t="shared" si="18"/>
        <v/>
      </c>
      <c r="H263" s="188" t="str">
        <f t="shared" si="19"/>
        <v/>
      </c>
      <c r="I263" s="189"/>
    </row>
    <row r="264" spans="1:9">
      <c r="A264" s="187">
        <v>212</v>
      </c>
      <c r="B264" s="222">
        <v>45412</v>
      </c>
      <c r="C264" s="221">
        <v>64.354226576215908</v>
      </c>
      <c r="D264" s="221">
        <v>120.54288292781465</v>
      </c>
      <c r="E264" s="221">
        <f t="shared" si="16"/>
        <v>64.354226576215908</v>
      </c>
      <c r="F264" s="188" t="str">
        <f t="shared" si="17"/>
        <v/>
      </c>
      <c r="G264" t="str">
        <f t="shared" si="18"/>
        <v/>
      </c>
      <c r="H264" s="188" t="str">
        <f t="shared" si="19"/>
        <v/>
      </c>
      <c r="I264" s="189"/>
    </row>
    <row r="265" spans="1:9">
      <c r="A265" s="187">
        <v>213</v>
      </c>
      <c r="B265" s="222">
        <v>45413</v>
      </c>
      <c r="C265" s="221">
        <v>79.571888342601397</v>
      </c>
      <c r="D265" s="221">
        <v>94.661389583977851</v>
      </c>
      <c r="E265" s="221">
        <f t="shared" si="16"/>
        <v>79.571888342601397</v>
      </c>
      <c r="F265" s="188">
        <f t="shared" si="17"/>
        <v>600</v>
      </c>
      <c r="G265" t="str">
        <f t="shared" si="18"/>
        <v/>
      </c>
      <c r="H265" s="188" t="str">
        <f t="shared" si="19"/>
        <v/>
      </c>
      <c r="I265" s="189"/>
    </row>
    <row r="266" spans="1:9">
      <c r="A266" s="187">
        <v>214</v>
      </c>
      <c r="B266" s="222">
        <v>45414</v>
      </c>
      <c r="C266" s="221">
        <v>89.119704002601381</v>
      </c>
      <c r="D266" s="221">
        <v>94.661389583977851</v>
      </c>
      <c r="E266" s="221">
        <f t="shared" si="16"/>
        <v>89.119704002601381</v>
      </c>
      <c r="F266" s="188" t="str">
        <f t="shared" si="17"/>
        <v/>
      </c>
      <c r="G266" t="str">
        <f t="shared" si="18"/>
        <v/>
      </c>
      <c r="H266" s="188" t="str">
        <f t="shared" si="19"/>
        <v/>
      </c>
      <c r="I266" s="189"/>
    </row>
    <row r="267" spans="1:9">
      <c r="A267" s="187">
        <v>215</v>
      </c>
      <c r="B267" s="222">
        <v>45415</v>
      </c>
      <c r="C267" s="221">
        <v>103.91496643460138</v>
      </c>
      <c r="D267" s="221">
        <v>94.661389583977851</v>
      </c>
      <c r="E267" s="221">
        <f t="shared" si="16"/>
        <v>94.661389583977851</v>
      </c>
      <c r="F267" s="188" t="str">
        <f t="shared" si="17"/>
        <v/>
      </c>
      <c r="G267" t="str">
        <f t="shared" si="18"/>
        <v/>
      </c>
      <c r="H267" s="188" t="str">
        <f t="shared" si="19"/>
        <v/>
      </c>
      <c r="I267" s="189"/>
    </row>
    <row r="268" spans="1:9">
      <c r="A268" s="187">
        <v>216</v>
      </c>
      <c r="B268" s="222">
        <v>45416</v>
      </c>
      <c r="C268" s="221">
        <v>105.90095924659767</v>
      </c>
      <c r="D268" s="221">
        <v>94.661389583977851</v>
      </c>
      <c r="E268" s="221">
        <f t="shared" si="16"/>
        <v>94.661389583977851</v>
      </c>
      <c r="F268" s="188" t="str">
        <f t="shared" si="17"/>
        <v/>
      </c>
      <c r="G268" t="str">
        <f t="shared" si="18"/>
        <v/>
      </c>
      <c r="H268" s="188" t="str">
        <f t="shared" si="19"/>
        <v/>
      </c>
      <c r="I268" s="189"/>
    </row>
    <row r="269" spans="1:9">
      <c r="A269" s="187">
        <v>217</v>
      </c>
      <c r="B269" s="222">
        <v>45417</v>
      </c>
      <c r="C269" s="221">
        <v>104.83254937960325</v>
      </c>
      <c r="D269" s="221">
        <v>94.661389583977851</v>
      </c>
      <c r="E269" s="221">
        <f t="shared" si="16"/>
        <v>94.661389583977851</v>
      </c>
      <c r="F269" s="188" t="str">
        <f t="shared" si="17"/>
        <v/>
      </c>
      <c r="G269" t="str">
        <f t="shared" si="18"/>
        <v/>
      </c>
      <c r="H269" s="188" t="str">
        <f t="shared" si="19"/>
        <v/>
      </c>
      <c r="I269" s="189"/>
    </row>
    <row r="270" spans="1:9">
      <c r="A270" s="187">
        <v>218</v>
      </c>
      <c r="B270" s="222">
        <v>45418</v>
      </c>
      <c r="C270" s="221">
        <v>137.12204992159764</v>
      </c>
      <c r="D270" s="221">
        <v>94.661389583977851</v>
      </c>
      <c r="E270" s="221">
        <f t="shared" si="16"/>
        <v>94.661389583977851</v>
      </c>
      <c r="F270" s="188" t="str">
        <f t="shared" si="17"/>
        <v/>
      </c>
      <c r="G270" t="str">
        <f t="shared" si="18"/>
        <v/>
      </c>
      <c r="H270" s="188" t="str">
        <f t="shared" si="19"/>
        <v/>
      </c>
      <c r="I270" s="189"/>
    </row>
    <row r="271" spans="1:9">
      <c r="A271" s="187">
        <v>219</v>
      </c>
      <c r="B271" s="222">
        <v>45419</v>
      </c>
      <c r="C271" s="221">
        <v>114.43662242259953</v>
      </c>
      <c r="D271" s="221">
        <v>94.661389583977851</v>
      </c>
      <c r="E271" s="221">
        <f t="shared" si="16"/>
        <v>94.661389583977851</v>
      </c>
      <c r="F271" s="188" t="str">
        <f t="shared" si="17"/>
        <v/>
      </c>
      <c r="G271" t="str">
        <f t="shared" si="18"/>
        <v/>
      </c>
      <c r="H271" s="188" t="str">
        <f t="shared" si="19"/>
        <v/>
      </c>
      <c r="I271" s="189"/>
    </row>
    <row r="272" spans="1:9">
      <c r="A272" s="187">
        <v>220</v>
      </c>
      <c r="B272" s="222">
        <v>45420</v>
      </c>
      <c r="C272" s="221">
        <v>95.868914238072179</v>
      </c>
      <c r="D272" s="221">
        <v>94.661389583977851</v>
      </c>
      <c r="E272" s="221">
        <f t="shared" si="16"/>
        <v>94.661389583977851</v>
      </c>
      <c r="F272" s="188" t="str">
        <f t="shared" si="17"/>
        <v/>
      </c>
      <c r="G272" t="str">
        <f t="shared" si="18"/>
        <v/>
      </c>
      <c r="H272" s="188" t="str">
        <f t="shared" si="19"/>
        <v/>
      </c>
      <c r="I272" s="189"/>
    </row>
    <row r="273" spans="1:9">
      <c r="A273" s="187">
        <v>221</v>
      </c>
      <c r="B273" s="222">
        <v>45421</v>
      </c>
      <c r="C273" s="221">
        <v>109.52223605407217</v>
      </c>
      <c r="D273" s="221">
        <v>94.661389583977851</v>
      </c>
      <c r="E273" s="221">
        <f t="shared" si="16"/>
        <v>94.661389583977851</v>
      </c>
      <c r="F273" s="188" t="str">
        <f t="shared" si="17"/>
        <v/>
      </c>
      <c r="G273" t="str">
        <f t="shared" si="18"/>
        <v/>
      </c>
      <c r="H273" s="188" t="str">
        <f t="shared" si="19"/>
        <v/>
      </c>
      <c r="I273" s="189"/>
    </row>
    <row r="274" spans="1:9">
      <c r="A274" s="187">
        <v>222</v>
      </c>
      <c r="B274" s="222">
        <v>45422</v>
      </c>
      <c r="C274" s="221">
        <v>109.76794713007031</v>
      </c>
      <c r="D274" s="221">
        <v>94.661389583977851</v>
      </c>
      <c r="E274" s="221">
        <f t="shared" si="16"/>
        <v>94.661389583977851</v>
      </c>
      <c r="F274" s="188" t="str">
        <f t="shared" si="17"/>
        <v/>
      </c>
      <c r="G274" t="str">
        <f t="shared" si="18"/>
        <v/>
      </c>
      <c r="H274" s="188" t="str">
        <f t="shared" si="19"/>
        <v/>
      </c>
      <c r="I274" s="189"/>
    </row>
    <row r="275" spans="1:9">
      <c r="A275" s="187">
        <v>223</v>
      </c>
      <c r="B275" s="222">
        <v>45423</v>
      </c>
      <c r="C275" s="221">
        <v>87.082563798072187</v>
      </c>
      <c r="D275" s="221">
        <v>94.661389583977851</v>
      </c>
      <c r="E275" s="221">
        <f t="shared" si="16"/>
        <v>87.082563798072187</v>
      </c>
      <c r="F275" s="188" t="str">
        <f t="shared" si="17"/>
        <v/>
      </c>
      <c r="G275" t="str">
        <f t="shared" si="18"/>
        <v/>
      </c>
      <c r="H275" s="188" t="str">
        <f t="shared" si="19"/>
        <v/>
      </c>
      <c r="I275" s="189"/>
    </row>
    <row r="276" spans="1:9">
      <c r="A276" s="187">
        <v>224</v>
      </c>
      <c r="B276" s="222">
        <v>45424</v>
      </c>
      <c r="C276" s="221">
        <v>92.097228806070319</v>
      </c>
      <c r="D276" s="221">
        <v>94.661389583977851</v>
      </c>
      <c r="E276" s="221">
        <f t="shared" si="16"/>
        <v>92.097228806070319</v>
      </c>
      <c r="F276" s="188" t="str">
        <f t="shared" si="17"/>
        <v/>
      </c>
      <c r="G276" t="str">
        <f t="shared" si="18"/>
        <v/>
      </c>
      <c r="H276" s="188" t="str">
        <f t="shared" si="19"/>
        <v/>
      </c>
      <c r="I276" s="189"/>
    </row>
    <row r="277" spans="1:9">
      <c r="A277" s="187">
        <v>225</v>
      </c>
      <c r="B277" s="222">
        <v>45425</v>
      </c>
      <c r="C277" s="221">
        <v>98.382952402070316</v>
      </c>
      <c r="D277" s="221">
        <v>94.661389583977851</v>
      </c>
      <c r="E277" s="221">
        <f t="shared" si="16"/>
        <v>94.661389583977851</v>
      </c>
      <c r="F277" s="188" t="str">
        <f t="shared" si="17"/>
        <v/>
      </c>
      <c r="G277" t="str">
        <f t="shared" si="18"/>
        <v/>
      </c>
      <c r="H277" s="188" t="str">
        <f t="shared" si="19"/>
        <v/>
      </c>
      <c r="I277" s="189"/>
    </row>
    <row r="278" spans="1:9">
      <c r="A278" s="187">
        <v>226</v>
      </c>
      <c r="B278" s="222">
        <v>45426</v>
      </c>
      <c r="C278" s="221">
        <v>86.890977494070313</v>
      </c>
      <c r="D278" s="221">
        <v>94.661389583977851</v>
      </c>
      <c r="E278" s="221">
        <f t="shared" si="16"/>
        <v>86.890977494070313</v>
      </c>
      <c r="F278" s="188" t="str">
        <f t="shared" si="17"/>
        <v/>
      </c>
      <c r="G278" t="str">
        <f t="shared" si="18"/>
        <v/>
      </c>
      <c r="H278" s="188" t="str">
        <f t="shared" si="19"/>
        <v/>
      </c>
      <c r="I278" s="189"/>
    </row>
    <row r="279" spans="1:9">
      <c r="A279" s="187">
        <v>227</v>
      </c>
      <c r="B279" s="222">
        <v>45427</v>
      </c>
      <c r="C279" s="221">
        <v>104.96816724701439</v>
      </c>
      <c r="D279" s="221">
        <v>94.661389583977851</v>
      </c>
      <c r="E279" s="221">
        <f t="shared" si="16"/>
        <v>94.661389583977851</v>
      </c>
      <c r="F279" s="188" t="str">
        <f t="shared" si="17"/>
        <v/>
      </c>
      <c r="G279" t="str">
        <f t="shared" si="18"/>
        <v/>
      </c>
      <c r="H279" s="188" t="str">
        <f t="shared" si="19"/>
        <v>M</v>
      </c>
      <c r="I279" s="189">
        <f>IF(DAY(B279)=15,D279,"")</f>
        <v>94.661389583977851</v>
      </c>
    </row>
    <row r="280" spans="1:9">
      <c r="A280" s="187">
        <v>228</v>
      </c>
      <c r="B280" s="222">
        <v>45428</v>
      </c>
      <c r="C280" s="221">
        <v>120.74001667101626</v>
      </c>
      <c r="D280" s="221">
        <v>94.661389583977851</v>
      </c>
      <c r="E280" s="221">
        <f t="shared" si="16"/>
        <v>94.661389583977851</v>
      </c>
      <c r="F280" s="188" t="str">
        <f t="shared" si="17"/>
        <v/>
      </c>
      <c r="G280" t="str">
        <f t="shared" si="18"/>
        <v/>
      </c>
      <c r="H280" s="188" t="str">
        <f>IF(DAY(B280)=15,IF(MONTH(B280)=1,"E",IF(MONTH(B280)=2,"F",IF(MONTH(B280)=3,"M",IF(MONTH(B280)=4,"A",IF(MONTH(B280)=5,"M",IF(MONTH(B280)=6,"J",IF(MONTH(B280)=7,"J",IF(MONTH(B280)=8,"A",IF(MONTH(B280)=9,"S",IF(MONTH(B280)=10,"O",IF(MONTH(B280)=11,"N",IF(MONTH(B280)=12,"D","")))))))))))),"")</f>
        <v/>
      </c>
      <c r="I280" s="189"/>
    </row>
    <row r="281" spans="1:9">
      <c r="A281" s="187">
        <v>229</v>
      </c>
      <c r="B281" s="222">
        <v>45429</v>
      </c>
      <c r="C281" s="221">
        <v>147.09440886701253</v>
      </c>
      <c r="D281" s="221">
        <v>94.661389583977851</v>
      </c>
      <c r="E281" s="221">
        <f t="shared" si="16"/>
        <v>94.661389583977851</v>
      </c>
      <c r="F281" s="188" t="str">
        <f t="shared" si="17"/>
        <v/>
      </c>
      <c r="G281" t="str">
        <f t="shared" si="18"/>
        <v/>
      </c>
      <c r="H281" s="188" t="str">
        <f t="shared" si="19"/>
        <v/>
      </c>
      <c r="I281" s="189"/>
    </row>
    <row r="282" spans="1:9">
      <c r="A282" s="187">
        <v>230</v>
      </c>
      <c r="B282" s="222">
        <v>45430</v>
      </c>
      <c r="C282" s="221">
        <v>102.0620866310144</v>
      </c>
      <c r="D282" s="221">
        <v>94.661389583977851</v>
      </c>
      <c r="E282" s="221">
        <f t="shared" si="16"/>
        <v>94.661389583977851</v>
      </c>
      <c r="F282" s="188" t="str">
        <f t="shared" si="17"/>
        <v/>
      </c>
      <c r="G282" t="str">
        <f t="shared" si="18"/>
        <v/>
      </c>
      <c r="H282" s="188" t="str">
        <f t="shared" si="19"/>
        <v/>
      </c>
      <c r="I282" s="189"/>
    </row>
    <row r="283" spans="1:9">
      <c r="A283" s="187">
        <v>231</v>
      </c>
      <c r="B283" s="222">
        <v>45431</v>
      </c>
      <c r="C283" s="221">
        <v>91.921238147018116</v>
      </c>
      <c r="D283" s="221">
        <v>94.661389583977851</v>
      </c>
      <c r="E283" s="221">
        <f t="shared" si="16"/>
        <v>91.921238147018116</v>
      </c>
      <c r="F283" s="188" t="str">
        <f t="shared" si="17"/>
        <v/>
      </c>
      <c r="G283" t="str">
        <f t="shared" si="18"/>
        <v/>
      </c>
      <c r="H283" s="188" t="str">
        <f t="shared" si="19"/>
        <v/>
      </c>
      <c r="I283" s="189"/>
    </row>
    <row r="284" spans="1:9">
      <c r="A284" s="187">
        <v>232</v>
      </c>
      <c r="B284" s="222">
        <v>45432</v>
      </c>
      <c r="C284" s="221">
        <v>105.46814395901252</v>
      </c>
      <c r="D284" s="221">
        <v>94.661389583977851</v>
      </c>
      <c r="E284" s="221">
        <f t="shared" si="16"/>
        <v>94.661389583977851</v>
      </c>
      <c r="F284" s="188" t="str">
        <f t="shared" si="17"/>
        <v/>
      </c>
      <c r="G284" t="str">
        <f t="shared" si="18"/>
        <v/>
      </c>
      <c r="H284" s="188" t="str">
        <f t="shared" si="19"/>
        <v/>
      </c>
      <c r="I284" s="189"/>
    </row>
    <row r="285" spans="1:9">
      <c r="A285" s="187">
        <v>233</v>
      </c>
      <c r="B285" s="222">
        <v>45433</v>
      </c>
      <c r="C285" s="221">
        <v>118.7190386380144</v>
      </c>
      <c r="D285" s="221">
        <v>94.661389583977851</v>
      </c>
      <c r="E285" s="221">
        <f t="shared" si="16"/>
        <v>94.661389583977851</v>
      </c>
      <c r="F285" s="188" t="str">
        <f t="shared" si="17"/>
        <v/>
      </c>
      <c r="G285" t="str">
        <f t="shared" si="18"/>
        <v/>
      </c>
      <c r="H285" s="188" t="str">
        <f t="shared" si="19"/>
        <v/>
      </c>
      <c r="I285" s="189"/>
    </row>
    <row r="286" spans="1:9">
      <c r="A286" s="187">
        <v>234</v>
      </c>
      <c r="B286" s="222">
        <v>45434</v>
      </c>
      <c r="C286" s="221">
        <v>113.49101006372031</v>
      </c>
      <c r="D286" s="221">
        <v>94.661389583977851</v>
      </c>
      <c r="E286" s="221">
        <f t="shared" si="16"/>
        <v>94.661389583977851</v>
      </c>
      <c r="F286" s="188" t="str">
        <f t="shared" si="17"/>
        <v/>
      </c>
      <c r="G286" t="str">
        <f t="shared" si="18"/>
        <v/>
      </c>
      <c r="H286" s="188" t="str">
        <f t="shared" si="19"/>
        <v/>
      </c>
      <c r="I286" s="189"/>
    </row>
    <row r="287" spans="1:9">
      <c r="A287" s="187">
        <v>235</v>
      </c>
      <c r="B287" s="222">
        <v>45435</v>
      </c>
      <c r="C287" s="221">
        <v>118.66739578072031</v>
      </c>
      <c r="D287" s="221">
        <v>94.661389583977851</v>
      </c>
      <c r="E287" s="221">
        <f t="shared" si="16"/>
        <v>94.661389583977851</v>
      </c>
      <c r="F287" s="188" t="str">
        <f t="shared" si="17"/>
        <v/>
      </c>
      <c r="G287" t="str">
        <f t="shared" si="18"/>
        <v/>
      </c>
      <c r="H287" s="188" t="str">
        <f t="shared" si="19"/>
        <v/>
      </c>
      <c r="I287" s="189"/>
    </row>
    <row r="288" spans="1:9">
      <c r="A288" s="187">
        <v>236</v>
      </c>
      <c r="B288" s="222">
        <v>45436</v>
      </c>
      <c r="C288" s="221">
        <v>113.69286175571845</v>
      </c>
      <c r="D288" s="221">
        <v>94.661389583977851</v>
      </c>
      <c r="E288" s="221">
        <f t="shared" si="16"/>
        <v>94.661389583977851</v>
      </c>
      <c r="F288" s="188" t="str">
        <f t="shared" si="17"/>
        <v/>
      </c>
      <c r="G288" t="str">
        <f t="shared" si="18"/>
        <v/>
      </c>
      <c r="H288" s="188" t="str">
        <f t="shared" si="19"/>
        <v/>
      </c>
      <c r="I288" s="189"/>
    </row>
    <row r="289" spans="1:9">
      <c r="A289" s="187">
        <v>237</v>
      </c>
      <c r="B289" s="222">
        <v>45437</v>
      </c>
      <c r="C289" s="221">
        <v>98.955515526716582</v>
      </c>
      <c r="D289" s="221">
        <v>94.661389583977851</v>
      </c>
      <c r="E289" s="221">
        <f t="shared" si="16"/>
        <v>94.661389583977851</v>
      </c>
      <c r="F289" s="188" t="str">
        <f t="shared" si="17"/>
        <v/>
      </c>
      <c r="G289" t="str">
        <f t="shared" si="18"/>
        <v/>
      </c>
      <c r="H289" s="188" t="str">
        <f t="shared" si="19"/>
        <v/>
      </c>
      <c r="I289" s="189"/>
    </row>
    <row r="290" spans="1:9">
      <c r="A290" s="187">
        <v>238</v>
      </c>
      <c r="B290" s="222">
        <v>45438</v>
      </c>
      <c r="C290" s="221">
        <v>91.834740247716596</v>
      </c>
      <c r="D290" s="221">
        <v>94.661389583977851</v>
      </c>
      <c r="E290" s="221">
        <f t="shared" si="16"/>
        <v>91.834740247716596</v>
      </c>
      <c r="F290" s="188" t="str">
        <f t="shared" si="17"/>
        <v/>
      </c>
      <c r="G290" t="str">
        <f t="shared" si="18"/>
        <v/>
      </c>
      <c r="H290" s="188" t="str">
        <f t="shared" si="19"/>
        <v/>
      </c>
      <c r="I290" s="189"/>
    </row>
    <row r="291" spans="1:9">
      <c r="A291" s="187">
        <v>239</v>
      </c>
      <c r="B291" s="222">
        <v>45439</v>
      </c>
      <c r="C291" s="221">
        <v>100.30185118772404</v>
      </c>
      <c r="D291" s="221">
        <v>94.661389583977851</v>
      </c>
      <c r="E291" s="221">
        <f t="shared" si="16"/>
        <v>94.661389583977851</v>
      </c>
      <c r="F291" s="188" t="str">
        <f t="shared" si="17"/>
        <v/>
      </c>
      <c r="G291" t="str">
        <f t="shared" si="18"/>
        <v/>
      </c>
      <c r="H291" s="188" t="str">
        <f t="shared" si="19"/>
        <v/>
      </c>
      <c r="I291" s="189"/>
    </row>
    <row r="292" spans="1:9">
      <c r="A292" s="187">
        <v>240</v>
      </c>
      <c r="B292" s="222">
        <v>45440</v>
      </c>
      <c r="C292" s="221">
        <v>110.34457240771658</v>
      </c>
      <c r="D292" s="221">
        <v>94.661389583977851</v>
      </c>
      <c r="E292" s="221">
        <f t="shared" si="16"/>
        <v>94.661389583977851</v>
      </c>
      <c r="F292" s="188" t="str">
        <f t="shared" si="17"/>
        <v/>
      </c>
      <c r="G292" t="str">
        <f t="shared" si="18"/>
        <v/>
      </c>
      <c r="H292" s="188" t="str">
        <f t="shared" si="19"/>
        <v/>
      </c>
      <c r="I292" s="189"/>
    </row>
    <row r="293" spans="1:9">
      <c r="A293" s="187">
        <v>241</v>
      </c>
      <c r="B293" s="222">
        <v>45441</v>
      </c>
      <c r="C293" s="221">
        <v>92.284333513554529</v>
      </c>
      <c r="D293" s="221">
        <v>94.661389583977851</v>
      </c>
      <c r="E293" s="221">
        <f t="shared" si="16"/>
        <v>92.284333513554529</v>
      </c>
      <c r="F293" s="188" t="str">
        <f t="shared" si="17"/>
        <v/>
      </c>
      <c r="G293" t="str">
        <f t="shared" si="18"/>
        <v/>
      </c>
      <c r="H293" s="188" t="str">
        <f t="shared" si="19"/>
        <v/>
      </c>
      <c r="I293" s="189"/>
    </row>
    <row r="294" spans="1:9">
      <c r="A294" s="187">
        <v>242</v>
      </c>
      <c r="B294" s="222">
        <v>45442</v>
      </c>
      <c r="C294" s="221">
        <v>78.878956994548943</v>
      </c>
      <c r="D294" s="221">
        <v>94.661389583977851</v>
      </c>
      <c r="E294" s="221">
        <f t="shared" si="16"/>
        <v>78.878956994548943</v>
      </c>
      <c r="F294" s="188" t="str">
        <f t="shared" si="17"/>
        <v/>
      </c>
      <c r="G294" t="str">
        <f t="shared" si="18"/>
        <v/>
      </c>
      <c r="H294" s="188" t="str">
        <f t="shared" si="19"/>
        <v/>
      </c>
      <c r="I294" s="189"/>
    </row>
    <row r="295" spans="1:9">
      <c r="A295" s="187">
        <v>243</v>
      </c>
      <c r="B295" s="222">
        <v>45443</v>
      </c>
      <c r="C295" s="221">
        <v>65.694582402552669</v>
      </c>
      <c r="D295" s="221">
        <v>94.661389583977851</v>
      </c>
      <c r="E295" s="221">
        <f t="shared" si="16"/>
        <v>65.694582402552669</v>
      </c>
      <c r="F295" s="188" t="str">
        <f t="shared" si="17"/>
        <v/>
      </c>
      <c r="G295" t="str">
        <f t="shared" si="18"/>
        <v/>
      </c>
      <c r="H295" s="188" t="str">
        <f t="shared" si="19"/>
        <v/>
      </c>
      <c r="I295" s="189"/>
    </row>
    <row r="296" spans="1:9">
      <c r="A296" s="187">
        <v>244</v>
      </c>
      <c r="B296" s="222">
        <v>45444</v>
      </c>
      <c r="C296" s="221">
        <v>40.377900895550802</v>
      </c>
      <c r="D296" s="221">
        <v>62.145020957620687</v>
      </c>
      <c r="E296" s="221">
        <f t="shared" si="16"/>
        <v>40.377900895550802</v>
      </c>
      <c r="F296" s="188">
        <f t="shared" si="17"/>
        <v>600</v>
      </c>
      <c r="G296" t="str">
        <f t="shared" si="18"/>
        <v/>
      </c>
      <c r="H296" s="188" t="str">
        <f t="shared" si="19"/>
        <v/>
      </c>
      <c r="I296" s="189"/>
    </row>
    <row r="297" spans="1:9">
      <c r="A297" s="187">
        <v>245</v>
      </c>
      <c r="B297" s="222">
        <v>45445</v>
      </c>
      <c r="C297" s="221">
        <v>37.02979080555081</v>
      </c>
      <c r="D297" s="221">
        <v>62.145020957620687</v>
      </c>
      <c r="E297" s="221">
        <f t="shared" si="16"/>
        <v>37.02979080555081</v>
      </c>
      <c r="F297" s="188" t="str">
        <f t="shared" si="17"/>
        <v/>
      </c>
      <c r="G297" t="str">
        <f t="shared" si="18"/>
        <v/>
      </c>
      <c r="H297" s="188" t="str">
        <f t="shared" si="19"/>
        <v/>
      </c>
      <c r="I297" s="189"/>
    </row>
    <row r="298" spans="1:9">
      <c r="A298" s="187">
        <v>246</v>
      </c>
      <c r="B298" s="222">
        <v>45446</v>
      </c>
      <c r="C298" s="221">
        <v>67.751569642548944</v>
      </c>
      <c r="D298" s="221">
        <v>62.145020957620687</v>
      </c>
      <c r="E298" s="221">
        <f t="shared" si="16"/>
        <v>62.145020957620687</v>
      </c>
      <c r="F298" s="188" t="str">
        <f t="shared" si="17"/>
        <v/>
      </c>
      <c r="G298" t="str">
        <f t="shared" si="18"/>
        <v/>
      </c>
      <c r="H298" s="188" t="str">
        <f t="shared" si="19"/>
        <v/>
      </c>
      <c r="I298" s="189"/>
    </row>
    <row r="299" spans="1:9">
      <c r="A299" s="187">
        <v>247</v>
      </c>
      <c r="B299" s="222">
        <v>45447</v>
      </c>
      <c r="C299" s="221">
        <v>98.805928746552667</v>
      </c>
      <c r="D299" s="221">
        <v>62.145020957620687</v>
      </c>
      <c r="E299" s="221">
        <f t="shared" si="16"/>
        <v>62.145020957620687</v>
      </c>
      <c r="F299" s="188" t="str">
        <f t="shared" si="17"/>
        <v/>
      </c>
      <c r="G299" t="str">
        <f t="shared" si="18"/>
        <v/>
      </c>
      <c r="H299" s="188" t="str">
        <f t="shared" si="19"/>
        <v/>
      </c>
      <c r="I299" s="189"/>
    </row>
    <row r="300" spans="1:9">
      <c r="A300" s="187">
        <v>248</v>
      </c>
      <c r="B300" s="222">
        <v>45448</v>
      </c>
      <c r="C300" s="221">
        <v>79.432074932758439</v>
      </c>
      <c r="D300" s="221">
        <v>62.145020957620687</v>
      </c>
      <c r="E300" s="221">
        <f t="shared" si="16"/>
        <v>62.145020957620687</v>
      </c>
      <c r="F300" s="188" t="str">
        <f t="shared" si="17"/>
        <v/>
      </c>
      <c r="G300" t="str">
        <f t="shared" si="18"/>
        <v/>
      </c>
      <c r="H300" s="188" t="str">
        <f t="shared" si="19"/>
        <v/>
      </c>
      <c r="I300" s="189"/>
    </row>
    <row r="301" spans="1:9">
      <c r="A301" s="187">
        <v>249</v>
      </c>
      <c r="B301" s="222">
        <v>45449</v>
      </c>
      <c r="C301" s="221">
        <v>69.188575634758436</v>
      </c>
      <c r="D301" s="221">
        <v>62.145020957620687</v>
      </c>
      <c r="E301" s="221">
        <f t="shared" si="16"/>
        <v>62.145020957620687</v>
      </c>
      <c r="F301" s="188" t="str">
        <f t="shared" si="17"/>
        <v/>
      </c>
      <c r="G301" t="str">
        <f t="shared" si="18"/>
        <v/>
      </c>
      <c r="H301" s="188" t="str">
        <f t="shared" si="19"/>
        <v/>
      </c>
      <c r="I301" s="189"/>
    </row>
    <row r="302" spans="1:9">
      <c r="A302" s="187">
        <v>250</v>
      </c>
      <c r="B302" s="222">
        <v>45450</v>
      </c>
      <c r="C302" s="221">
        <v>70.878695622756581</v>
      </c>
      <c r="D302" s="221">
        <v>62.145020957620687</v>
      </c>
      <c r="E302" s="221">
        <f t="shared" si="16"/>
        <v>62.145020957620687</v>
      </c>
      <c r="F302" s="188" t="str">
        <f t="shared" si="17"/>
        <v/>
      </c>
      <c r="G302" t="str">
        <f t="shared" si="18"/>
        <v/>
      </c>
      <c r="H302" s="188" t="str">
        <f t="shared" si="19"/>
        <v/>
      </c>
      <c r="I302" s="189"/>
    </row>
    <row r="303" spans="1:9">
      <c r="A303" s="187">
        <v>251</v>
      </c>
      <c r="B303" s="222">
        <v>45451</v>
      </c>
      <c r="C303" s="221">
        <v>50.981575186758434</v>
      </c>
      <c r="D303" s="221">
        <v>62.145020957620687</v>
      </c>
      <c r="E303" s="221">
        <f t="shared" si="16"/>
        <v>50.981575186758434</v>
      </c>
      <c r="F303" s="188" t="str">
        <f t="shared" si="17"/>
        <v/>
      </c>
      <c r="G303" t="str">
        <f t="shared" si="18"/>
        <v/>
      </c>
      <c r="H303" s="188" t="str">
        <f t="shared" si="19"/>
        <v/>
      </c>
      <c r="I303" s="189"/>
    </row>
    <row r="304" spans="1:9">
      <c r="A304" s="187">
        <v>252</v>
      </c>
      <c r="B304" s="222">
        <v>45452</v>
      </c>
      <c r="C304" s="221">
        <v>20.362609987756571</v>
      </c>
      <c r="D304" s="221">
        <v>62.145020957620687</v>
      </c>
      <c r="E304" s="221">
        <f t="shared" si="16"/>
        <v>20.362609987756571</v>
      </c>
      <c r="F304" s="188" t="str">
        <f t="shared" si="17"/>
        <v/>
      </c>
      <c r="G304" t="str">
        <f t="shared" si="18"/>
        <v/>
      </c>
      <c r="H304" s="188" t="str">
        <f t="shared" si="19"/>
        <v/>
      </c>
      <c r="I304" s="189"/>
    </row>
    <row r="305" spans="1:9">
      <c r="A305" s="187">
        <v>253</v>
      </c>
      <c r="B305" s="222">
        <v>45453</v>
      </c>
      <c r="C305" s="221">
        <v>36.739903890758434</v>
      </c>
      <c r="D305" s="221">
        <v>62.145020957620687</v>
      </c>
      <c r="E305" s="221">
        <f t="shared" si="16"/>
        <v>36.739903890758434</v>
      </c>
      <c r="F305" s="188" t="str">
        <f t="shared" si="17"/>
        <v/>
      </c>
      <c r="G305" t="str">
        <f t="shared" si="18"/>
        <v/>
      </c>
      <c r="H305" s="188" t="str">
        <f t="shared" si="19"/>
        <v/>
      </c>
      <c r="I305" s="189"/>
    </row>
    <row r="306" spans="1:9">
      <c r="A306" s="187">
        <v>254</v>
      </c>
      <c r="B306" s="222">
        <v>45454</v>
      </c>
      <c r="C306" s="221">
        <v>39.157048026758439</v>
      </c>
      <c r="D306" s="221">
        <v>62.145020957620687</v>
      </c>
      <c r="E306" s="221">
        <f t="shared" si="16"/>
        <v>39.157048026758439</v>
      </c>
      <c r="F306" s="188" t="str">
        <f t="shared" si="17"/>
        <v/>
      </c>
      <c r="G306" t="str">
        <f t="shared" si="18"/>
        <v/>
      </c>
      <c r="H306" s="188" t="str">
        <f t="shared" si="19"/>
        <v/>
      </c>
      <c r="I306" s="189"/>
    </row>
    <row r="307" spans="1:9">
      <c r="A307" s="187">
        <v>255</v>
      </c>
      <c r="B307" s="222">
        <v>45455</v>
      </c>
      <c r="C307" s="221">
        <v>60.845410224167765</v>
      </c>
      <c r="D307" s="221">
        <v>62.145020957620687</v>
      </c>
      <c r="E307" s="221">
        <f t="shared" si="16"/>
        <v>60.845410224167765</v>
      </c>
      <c r="F307" s="188" t="str">
        <f t="shared" si="17"/>
        <v/>
      </c>
      <c r="G307" t="str">
        <f t="shared" si="18"/>
        <v/>
      </c>
      <c r="H307" s="188" t="str">
        <f t="shared" si="19"/>
        <v/>
      </c>
      <c r="I307" s="189"/>
    </row>
    <row r="308" spans="1:9">
      <c r="A308" s="187">
        <v>256</v>
      </c>
      <c r="B308" s="222">
        <v>45456</v>
      </c>
      <c r="C308" s="221">
        <v>66.206468161169624</v>
      </c>
      <c r="D308" s="221">
        <v>62.145020957620687</v>
      </c>
      <c r="E308" s="221">
        <f t="shared" ref="E308:E371" si="20">IF(C308&lt;D308,C308,D308)</f>
        <v>62.145020957620687</v>
      </c>
      <c r="F308" s="188" t="str">
        <f t="shared" ref="F308:F371" si="21">IF(DAY(B308)=1,600,"")</f>
        <v/>
      </c>
      <c r="G308" t="str">
        <f t="shared" si="18"/>
        <v/>
      </c>
      <c r="H308" s="188" t="str">
        <f>IF(DAY(B308)=15,IF(MONTH(B308)=1,"E",IF(MONTH(B308)=2,"F",IF(MONTH(B308)=3,"M",IF(MONTH(B308)=4,"A",IF(MONTH(B308)=5,"M",IF(MONTH(B308)=6,"J",IF(MONTH(B308)=7,"J",IF(MONTH(B308)=8,"A",IF(MONTH(B308)=9,"S",IF(MONTH(B308)=10,"O",IF(MONTH(B308)=11,"N",IF(MONTH(B308)=12,"D","")))))))))))),"")</f>
        <v/>
      </c>
      <c r="I308" s="189"/>
    </row>
    <row r="309" spans="1:9">
      <c r="A309" s="187">
        <v>257</v>
      </c>
      <c r="B309" s="222">
        <v>45457</v>
      </c>
      <c r="C309" s="221">
        <v>57.264168413165898</v>
      </c>
      <c r="D309" s="221">
        <v>62.145020957620687</v>
      </c>
      <c r="E309" s="221">
        <f t="shared" si="20"/>
        <v>57.264168413165898</v>
      </c>
      <c r="F309" s="188" t="str">
        <f t="shared" si="21"/>
        <v/>
      </c>
      <c r="G309" t="str">
        <f t="shared" si="18"/>
        <v/>
      </c>
      <c r="H309" s="188" t="str">
        <f>IF(DAY(B309)=15,IF(MONTH(B309)=1,"E",IF(MONTH(B309)=2,"F",IF(MONTH(B309)=3,"M",IF(MONTH(B309)=4,"A",IF(MONTH(B309)=5,"M",IF(MONTH(B309)=6,"J",IF(MONTH(B309)=7,"J",IF(MONTH(B309)=8,"A",IF(MONTH(B309)=9,"S",IF(MONTH(B309)=10,"O",IF(MONTH(B309)=11,"N",IF(MONTH(B309)=12,"D","")))))))))))),"")</f>
        <v/>
      </c>
      <c r="I309" s="189"/>
    </row>
    <row r="310" spans="1:9">
      <c r="A310" s="187">
        <v>258</v>
      </c>
      <c r="B310" s="222">
        <v>45458</v>
      </c>
      <c r="C310" s="221">
        <v>31.127024317171482</v>
      </c>
      <c r="D310" s="221">
        <v>62.145020957620687</v>
      </c>
      <c r="E310" s="221">
        <f t="shared" si="20"/>
        <v>31.127024317171482</v>
      </c>
      <c r="F310" s="188" t="str">
        <f t="shared" si="21"/>
        <v/>
      </c>
      <c r="G310" t="str">
        <f t="shared" ref="G310:G373" si="22">IF(MONTH(B310)=1,IF(DAY(B310)=1,YEAR(B310),""),"")</f>
        <v/>
      </c>
      <c r="H310" s="188" t="str">
        <f>IF(DAY(B310)=15,IF(MONTH(B310)=1,"E",IF(MONTH(B310)=2,"F",IF(MONTH(B310)=3,"M",IF(MONTH(B310)=4,"A",IF(MONTH(B310)=5,"M",IF(MONTH(B310)=6,"J",IF(MONTH(B310)=7,"J",IF(MONTH(B310)=8,"A",IF(MONTH(B310)=9,"S",IF(MONTH(B310)=10,"O",IF(MONTH(B310)=11,"N",IF(MONTH(B310)=12,"D","")))))))))))),"")</f>
        <v>J</v>
      </c>
      <c r="I310" s="189">
        <f>IF(DAY(B310)=15,D310,"")</f>
        <v>62.145020957620687</v>
      </c>
    </row>
    <row r="311" spans="1:9">
      <c r="A311" s="187">
        <v>259</v>
      </c>
      <c r="B311" s="222">
        <v>45459</v>
      </c>
      <c r="C311" s="221">
        <v>37.974406523165896</v>
      </c>
      <c r="D311" s="221">
        <v>62.145020957620687</v>
      </c>
      <c r="E311" s="221">
        <f t="shared" si="20"/>
        <v>37.974406523165896</v>
      </c>
      <c r="F311" s="188" t="str">
        <f t="shared" si="21"/>
        <v/>
      </c>
      <c r="G311" t="str">
        <f t="shared" si="22"/>
        <v/>
      </c>
      <c r="H311" s="188" t="str">
        <f>IF(DAY(B311)=15,IF(MONTH(B311)=1,"E",IF(MONTH(B311)=2,"F",IF(MONTH(B311)=3,"M",IF(MONTH(B311)=4,"A",IF(MONTH(B311)=5,"M",IF(MONTH(B311)=6,"J",IF(MONTH(B311)=7,"J",IF(MONTH(B311)=8,"A",IF(MONTH(B311)=9,"S",IF(MONTH(B311)=10,"O",IF(MONTH(B311)=11,"N",IF(MONTH(B311)=12,"D","")))))))))))),"")</f>
        <v/>
      </c>
      <c r="I311" s="189"/>
    </row>
    <row r="312" spans="1:9">
      <c r="A312" s="187">
        <v>260</v>
      </c>
      <c r="B312" s="222">
        <v>45460</v>
      </c>
      <c r="C312" s="221">
        <v>59.228509084169623</v>
      </c>
      <c r="D312" s="221">
        <v>62.145020957620687</v>
      </c>
      <c r="E312" s="221">
        <f t="shared" si="20"/>
        <v>59.228509084169623</v>
      </c>
      <c r="F312" s="188" t="str">
        <f t="shared" si="21"/>
        <v/>
      </c>
      <c r="G312" t="str">
        <f t="shared" si="22"/>
        <v/>
      </c>
      <c r="H312" s="188" t="str">
        <f t="shared" si="19"/>
        <v/>
      </c>
      <c r="I312" s="189"/>
    </row>
    <row r="313" spans="1:9">
      <c r="A313" s="187">
        <v>261</v>
      </c>
      <c r="B313" s="222">
        <v>45461</v>
      </c>
      <c r="C313" s="221">
        <v>81.494912965169632</v>
      </c>
      <c r="D313" s="221">
        <v>62.145020957620687</v>
      </c>
      <c r="E313" s="221">
        <f t="shared" si="20"/>
        <v>62.145020957620687</v>
      </c>
      <c r="F313" s="188" t="str">
        <f t="shared" si="21"/>
        <v/>
      </c>
      <c r="G313" t="str">
        <f t="shared" si="22"/>
        <v/>
      </c>
      <c r="H313" s="188" t="str">
        <f t="shared" si="19"/>
        <v/>
      </c>
      <c r="I313" s="189"/>
    </row>
    <row r="314" spans="1:9">
      <c r="A314" s="187">
        <v>262</v>
      </c>
      <c r="B314" s="222">
        <v>45462</v>
      </c>
      <c r="C314" s="221">
        <v>86.923513643855273</v>
      </c>
      <c r="D314" s="221">
        <v>62.145020957620687</v>
      </c>
      <c r="E314" s="221">
        <f t="shared" si="20"/>
        <v>62.145020957620687</v>
      </c>
      <c r="F314" s="188" t="str">
        <f t="shared" si="21"/>
        <v/>
      </c>
      <c r="G314" t="str">
        <f t="shared" si="22"/>
        <v/>
      </c>
      <c r="H314" s="188" t="str">
        <f t="shared" si="19"/>
        <v/>
      </c>
      <c r="I314" s="189"/>
    </row>
    <row r="315" spans="1:9">
      <c r="A315" s="187">
        <v>263</v>
      </c>
      <c r="B315" s="222">
        <v>45463</v>
      </c>
      <c r="C315" s="221">
        <v>75.492146505858997</v>
      </c>
      <c r="D315" s="221">
        <v>62.145020957620687</v>
      </c>
      <c r="E315" s="221">
        <f t="shared" si="20"/>
        <v>62.145020957620687</v>
      </c>
      <c r="F315" s="188" t="str">
        <f t="shared" si="21"/>
        <v/>
      </c>
      <c r="G315" t="str">
        <f t="shared" si="22"/>
        <v/>
      </c>
      <c r="H315" s="188" t="str">
        <f t="shared" si="19"/>
        <v/>
      </c>
      <c r="I315" s="189"/>
    </row>
    <row r="316" spans="1:9">
      <c r="A316" s="187">
        <v>264</v>
      </c>
      <c r="B316" s="222">
        <v>45464</v>
      </c>
      <c r="C316" s="221">
        <v>73.267400409853408</v>
      </c>
      <c r="D316" s="221">
        <v>62.145020957620687</v>
      </c>
      <c r="E316" s="221">
        <f t="shared" si="20"/>
        <v>62.145020957620687</v>
      </c>
      <c r="F316" s="188" t="str">
        <f t="shared" si="21"/>
        <v/>
      </c>
      <c r="G316" t="str">
        <f t="shared" si="22"/>
        <v/>
      </c>
      <c r="H316" s="188" t="str">
        <f t="shared" si="19"/>
        <v/>
      </c>
      <c r="I316" s="189"/>
    </row>
    <row r="317" spans="1:9">
      <c r="A317" s="187">
        <v>265</v>
      </c>
      <c r="B317" s="222">
        <v>45465</v>
      </c>
      <c r="C317" s="221">
        <v>49.069099326860858</v>
      </c>
      <c r="D317" s="221">
        <v>62.145020957620687</v>
      </c>
      <c r="E317" s="221">
        <f t="shared" si="20"/>
        <v>49.069099326860858</v>
      </c>
      <c r="F317" s="188" t="str">
        <f t="shared" si="21"/>
        <v/>
      </c>
      <c r="G317" t="str">
        <f t="shared" si="22"/>
        <v/>
      </c>
      <c r="H317" s="188" t="str">
        <f t="shared" si="19"/>
        <v/>
      </c>
      <c r="I317" s="189"/>
    </row>
    <row r="318" spans="1:9">
      <c r="A318" s="187">
        <v>266</v>
      </c>
      <c r="B318" s="222">
        <v>45466</v>
      </c>
      <c r="C318" s="221">
        <v>35.045765844855275</v>
      </c>
      <c r="D318" s="221">
        <v>62.145020957620687</v>
      </c>
      <c r="E318" s="221">
        <f t="shared" si="20"/>
        <v>35.045765844855275</v>
      </c>
      <c r="F318" s="188" t="str">
        <f t="shared" si="21"/>
        <v/>
      </c>
      <c r="G318" t="str">
        <f t="shared" si="22"/>
        <v/>
      </c>
      <c r="H318" s="188" t="str">
        <f t="shared" si="19"/>
        <v/>
      </c>
      <c r="I318" s="189"/>
    </row>
    <row r="319" spans="1:9">
      <c r="A319" s="187">
        <v>267</v>
      </c>
      <c r="B319" s="222">
        <v>45467</v>
      </c>
      <c r="C319" s="221">
        <v>54.089537297859003</v>
      </c>
      <c r="D319" s="221">
        <v>62.145020957620687</v>
      </c>
      <c r="E319" s="221">
        <f t="shared" si="20"/>
        <v>54.089537297859003</v>
      </c>
      <c r="F319" s="188" t="str">
        <f t="shared" si="21"/>
        <v/>
      </c>
      <c r="G319" t="str">
        <f t="shared" si="22"/>
        <v/>
      </c>
      <c r="H319" s="188" t="str">
        <f t="shared" si="19"/>
        <v/>
      </c>
      <c r="I319" s="189"/>
    </row>
    <row r="320" spans="1:9">
      <c r="A320" s="187">
        <v>268</v>
      </c>
      <c r="B320" s="222">
        <v>45468</v>
      </c>
      <c r="C320" s="221">
        <v>69.452281835855274</v>
      </c>
      <c r="D320" s="221">
        <v>62.145020957620687</v>
      </c>
      <c r="E320" s="221">
        <f t="shared" si="20"/>
        <v>62.145020957620687</v>
      </c>
      <c r="F320" s="188" t="str">
        <f t="shared" si="21"/>
        <v/>
      </c>
      <c r="G320" t="str">
        <f t="shared" si="22"/>
        <v/>
      </c>
      <c r="H320" s="188" t="str">
        <f t="shared" si="19"/>
        <v/>
      </c>
      <c r="I320" s="189"/>
    </row>
    <row r="321" spans="1:9">
      <c r="A321" s="187">
        <v>269</v>
      </c>
      <c r="B321" s="222">
        <v>45469</v>
      </c>
      <c r="C321" s="221">
        <v>62.754375802933225</v>
      </c>
      <c r="D321" s="221">
        <v>62.145020957620687</v>
      </c>
      <c r="E321" s="221">
        <f t="shared" si="20"/>
        <v>62.145020957620687</v>
      </c>
      <c r="F321" s="188" t="str">
        <f t="shared" si="21"/>
        <v/>
      </c>
      <c r="G321" t="str">
        <f t="shared" si="22"/>
        <v/>
      </c>
      <c r="H321" s="188" t="str">
        <f t="shared" si="19"/>
        <v/>
      </c>
      <c r="I321" s="189"/>
    </row>
    <row r="322" spans="1:9">
      <c r="A322" s="187">
        <v>270</v>
      </c>
      <c r="B322" s="222">
        <v>45470</v>
      </c>
      <c r="C322" s="221">
        <v>58.297634420935076</v>
      </c>
      <c r="D322" s="221">
        <v>62.145020957620687</v>
      </c>
      <c r="E322" s="221">
        <f t="shared" si="20"/>
        <v>58.297634420935076</v>
      </c>
      <c r="F322" s="188" t="str">
        <f t="shared" si="21"/>
        <v/>
      </c>
      <c r="G322" t="str">
        <f t="shared" si="22"/>
        <v/>
      </c>
      <c r="H322" s="188" t="str">
        <f t="shared" si="19"/>
        <v/>
      </c>
      <c r="I322" s="189"/>
    </row>
    <row r="323" spans="1:9">
      <c r="A323" s="187">
        <v>271</v>
      </c>
      <c r="B323" s="222">
        <v>45471</v>
      </c>
      <c r="C323" s="221">
        <v>52.009208182935076</v>
      </c>
      <c r="D323" s="221">
        <v>62.145020957620687</v>
      </c>
      <c r="E323" s="221">
        <f t="shared" si="20"/>
        <v>52.009208182935076</v>
      </c>
      <c r="F323" s="188" t="str">
        <f t="shared" si="21"/>
        <v/>
      </c>
      <c r="G323" t="str">
        <f t="shared" si="22"/>
        <v/>
      </c>
      <c r="H323" s="188" t="str">
        <f t="shared" ref="H323:H386" si="23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I323" s="189"/>
    </row>
    <row r="324" spans="1:9">
      <c r="A324" s="187">
        <v>272</v>
      </c>
      <c r="B324" s="222">
        <v>45472</v>
      </c>
      <c r="C324" s="221">
        <v>34.695431029936955</v>
      </c>
      <c r="D324" s="221">
        <v>62.145020957620687</v>
      </c>
      <c r="E324" s="221">
        <f t="shared" si="20"/>
        <v>34.695431029936955</v>
      </c>
      <c r="F324" s="188" t="str">
        <f t="shared" si="21"/>
        <v/>
      </c>
      <c r="G324" t="str">
        <f t="shared" si="22"/>
        <v/>
      </c>
      <c r="H324" s="188" t="str">
        <f t="shared" si="23"/>
        <v/>
      </c>
      <c r="I324" s="189"/>
    </row>
    <row r="325" spans="1:9">
      <c r="A325" s="187">
        <v>273</v>
      </c>
      <c r="B325" s="222">
        <v>45473</v>
      </c>
      <c r="C325" s="221">
        <v>31.637069029933219</v>
      </c>
      <c r="D325" s="221">
        <v>62.145020957620687</v>
      </c>
      <c r="E325" s="221">
        <f t="shared" si="20"/>
        <v>31.637069029933219</v>
      </c>
      <c r="F325" s="188" t="str">
        <f t="shared" si="21"/>
        <v/>
      </c>
      <c r="G325" t="str">
        <f t="shared" si="22"/>
        <v/>
      </c>
      <c r="H325" s="188" t="str">
        <f t="shared" si="23"/>
        <v/>
      </c>
      <c r="I325" s="189"/>
    </row>
    <row r="326" spans="1:9">
      <c r="A326" s="187">
        <v>274</v>
      </c>
      <c r="B326" s="222">
        <v>45474</v>
      </c>
      <c r="C326" s="221">
        <v>21.495916996933222</v>
      </c>
      <c r="D326" s="221">
        <v>25.910326049029329</v>
      </c>
      <c r="E326" s="221">
        <f t="shared" si="20"/>
        <v>21.495916996933222</v>
      </c>
      <c r="F326" s="188">
        <f t="shared" si="21"/>
        <v>600</v>
      </c>
      <c r="G326" t="str">
        <f t="shared" si="22"/>
        <v/>
      </c>
      <c r="H326" s="188" t="str">
        <f t="shared" si="23"/>
        <v/>
      </c>
      <c r="I326" s="189"/>
    </row>
    <row r="327" spans="1:9">
      <c r="A327" s="187">
        <v>275</v>
      </c>
      <c r="B327" s="222">
        <v>45475</v>
      </c>
      <c r="C327" s="221">
        <v>34.492029538935078</v>
      </c>
      <c r="D327" s="221">
        <v>25.910326049029329</v>
      </c>
      <c r="E327" s="221">
        <f t="shared" si="20"/>
        <v>25.910326049029329</v>
      </c>
      <c r="F327" s="188" t="str">
        <f t="shared" si="21"/>
        <v/>
      </c>
      <c r="G327" t="str">
        <f t="shared" si="22"/>
        <v/>
      </c>
      <c r="H327" s="188" t="str">
        <f t="shared" si="23"/>
        <v/>
      </c>
      <c r="I327" s="189"/>
    </row>
    <row r="328" spans="1:9">
      <c r="A328" s="187">
        <v>276</v>
      </c>
      <c r="B328" s="222">
        <v>45476</v>
      </c>
      <c r="C328" s="221">
        <v>52.16376323260716</v>
      </c>
      <c r="D328" s="221">
        <v>25.910326049029329</v>
      </c>
      <c r="E328" s="221">
        <f t="shared" si="20"/>
        <v>25.910326049029329</v>
      </c>
      <c r="F328" s="188" t="str">
        <f t="shared" si="21"/>
        <v/>
      </c>
      <c r="G328" t="str">
        <f t="shared" si="22"/>
        <v/>
      </c>
      <c r="H328" s="188" t="str">
        <f t="shared" si="23"/>
        <v/>
      </c>
      <c r="I328" s="189"/>
    </row>
    <row r="329" spans="1:9">
      <c r="A329" s="187">
        <v>277</v>
      </c>
      <c r="B329" s="222">
        <v>45477</v>
      </c>
      <c r="C329" s="221">
        <v>44.163039307609026</v>
      </c>
      <c r="D329" s="221">
        <v>25.910326049029329</v>
      </c>
      <c r="E329" s="221">
        <f t="shared" si="20"/>
        <v>25.910326049029329</v>
      </c>
      <c r="F329" s="188" t="str">
        <f t="shared" si="21"/>
        <v/>
      </c>
      <c r="G329" t="str">
        <f t="shared" si="22"/>
        <v/>
      </c>
      <c r="H329" s="188" t="str">
        <f t="shared" si="23"/>
        <v/>
      </c>
      <c r="I329" s="189"/>
    </row>
    <row r="330" spans="1:9">
      <c r="A330" s="187">
        <v>278</v>
      </c>
      <c r="B330" s="222">
        <v>45478</v>
      </c>
      <c r="C330" s="221">
        <v>45.345475433607163</v>
      </c>
      <c r="D330" s="221">
        <v>25.910326049029329</v>
      </c>
      <c r="E330" s="221">
        <f t="shared" si="20"/>
        <v>25.910326049029329</v>
      </c>
      <c r="F330" s="188" t="str">
        <f t="shared" si="21"/>
        <v/>
      </c>
      <c r="G330" t="str">
        <f t="shared" si="22"/>
        <v/>
      </c>
      <c r="H330" s="188" t="str">
        <f t="shared" si="23"/>
        <v/>
      </c>
      <c r="I330" s="189"/>
    </row>
    <row r="331" spans="1:9">
      <c r="A331" s="187">
        <v>279</v>
      </c>
      <c r="B331" s="222">
        <v>45479</v>
      </c>
      <c r="C331" s="221">
        <v>15.12081097160717</v>
      </c>
      <c r="D331" s="221">
        <v>25.910326049029329</v>
      </c>
      <c r="E331" s="221">
        <f t="shared" si="20"/>
        <v>15.12081097160717</v>
      </c>
      <c r="F331" s="188" t="str">
        <f t="shared" si="21"/>
        <v/>
      </c>
      <c r="G331" t="str">
        <f t="shared" si="22"/>
        <v/>
      </c>
      <c r="H331" s="188" t="str">
        <f t="shared" si="23"/>
        <v/>
      </c>
      <c r="I331" s="189"/>
    </row>
    <row r="332" spans="1:9">
      <c r="A332" s="187">
        <v>280</v>
      </c>
      <c r="B332" s="222">
        <v>45480</v>
      </c>
      <c r="C332" s="221">
        <v>19.39214861760717</v>
      </c>
      <c r="D332" s="221">
        <v>25.910326049029329</v>
      </c>
      <c r="E332" s="221">
        <f t="shared" si="20"/>
        <v>19.39214861760717</v>
      </c>
      <c r="F332" s="188" t="str">
        <f t="shared" si="21"/>
        <v/>
      </c>
      <c r="G332" t="str">
        <f t="shared" si="22"/>
        <v/>
      </c>
      <c r="H332" s="188" t="str">
        <f t="shared" si="23"/>
        <v/>
      </c>
      <c r="I332" s="189"/>
    </row>
    <row r="333" spans="1:9">
      <c r="A333" s="187">
        <v>281</v>
      </c>
      <c r="B333" s="222">
        <v>45481</v>
      </c>
      <c r="C333" s="221">
        <v>35.733574139609033</v>
      </c>
      <c r="D333" s="221">
        <v>25.910326049029329</v>
      </c>
      <c r="E333" s="221">
        <f t="shared" si="20"/>
        <v>25.910326049029329</v>
      </c>
      <c r="F333" s="188" t="str">
        <f t="shared" si="21"/>
        <v/>
      </c>
      <c r="G333" t="str">
        <f t="shared" si="22"/>
        <v/>
      </c>
      <c r="H333" s="188" t="str">
        <f t="shared" si="23"/>
        <v/>
      </c>
      <c r="I333" s="189"/>
    </row>
    <row r="334" spans="1:9">
      <c r="A334" s="187">
        <v>282</v>
      </c>
      <c r="B334" s="222">
        <v>45482</v>
      </c>
      <c r="C334" s="221">
        <v>42.921010012607162</v>
      </c>
      <c r="D334" s="221">
        <v>25.910326049029329</v>
      </c>
      <c r="E334" s="221">
        <f t="shared" si="20"/>
        <v>25.910326049029329</v>
      </c>
      <c r="F334" s="188" t="str">
        <f t="shared" si="21"/>
        <v/>
      </c>
      <c r="G334" t="str">
        <f t="shared" si="22"/>
        <v/>
      </c>
      <c r="H334" s="188" t="str">
        <f t="shared" si="23"/>
        <v/>
      </c>
      <c r="I334" s="189"/>
    </row>
    <row r="335" spans="1:9">
      <c r="A335" s="187">
        <v>283</v>
      </c>
      <c r="B335" s="222">
        <v>45483</v>
      </c>
      <c r="C335" s="221">
        <v>42.444933230845052</v>
      </c>
      <c r="D335" s="221">
        <v>25.910326049029329</v>
      </c>
      <c r="E335" s="221">
        <f t="shared" si="20"/>
        <v>25.910326049029329</v>
      </c>
      <c r="F335" s="188" t="str">
        <f t="shared" si="21"/>
        <v/>
      </c>
      <c r="G335" t="str">
        <f t="shared" si="22"/>
        <v/>
      </c>
      <c r="H335" s="188" t="str">
        <f t="shared" si="23"/>
        <v/>
      </c>
      <c r="I335" s="189"/>
    </row>
    <row r="336" spans="1:9">
      <c r="A336" s="187">
        <v>284</v>
      </c>
      <c r="B336" s="222">
        <v>45484</v>
      </c>
      <c r="C336" s="221">
        <v>42.768076100841327</v>
      </c>
      <c r="D336" s="221">
        <v>25.910326049029329</v>
      </c>
      <c r="E336" s="221">
        <f t="shared" si="20"/>
        <v>25.910326049029329</v>
      </c>
      <c r="F336" s="188" t="str">
        <f t="shared" si="21"/>
        <v/>
      </c>
      <c r="G336" t="str">
        <f t="shared" si="22"/>
        <v/>
      </c>
      <c r="H336" s="188" t="str">
        <f t="shared" si="23"/>
        <v/>
      </c>
      <c r="I336" s="189"/>
    </row>
    <row r="337" spans="1:9">
      <c r="A337" s="187">
        <v>285</v>
      </c>
      <c r="B337" s="222">
        <v>45485</v>
      </c>
      <c r="C337" s="221">
        <v>27.577513094843191</v>
      </c>
      <c r="D337" s="221">
        <v>25.910326049029329</v>
      </c>
      <c r="E337" s="221">
        <f t="shared" si="20"/>
        <v>25.910326049029329</v>
      </c>
      <c r="F337" s="188" t="str">
        <f t="shared" si="21"/>
        <v/>
      </c>
      <c r="G337" t="str">
        <f t="shared" si="22"/>
        <v/>
      </c>
      <c r="H337" s="188" t="str">
        <f t="shared" si="23"/>
        <v/>
      </c>
      <c r="I337" s="189"/>
    </row>
    <row r="338" spans="1:9">
      <c r="A338" s="187">
        <v>286</v>
      </c>
      <c r="B338" s="222">
        <v>45486</v>
      </c>
      <c r="C338" s="221">
        <v>13.606924256841332</v>
      </c>
      <c r="D338" s="221">
        <v>25.910326049029329</v>
      </c>
      <c r="E338" s="221">
        <f t="shared" si="20"/>
        <v>13.606924256841332</v>
      </c>
      <c r="F338" s="188" t="str">
        <f t="shared" si="21"/>
        <v/>
      </c>
      <c r="G338" t="str">
        <f t="shared" si="22"/>
        <v/>
      </c>
      <c r="H338" s="188" t="str">
        <f t="shared" si="23"/>
        <v/>
      </c>
      <c r="I338" s="189"/>
    </row>
    <row r="339" spans="1:9">
      <c r="A339" s="187">
        <v>287</v>
      </c>
      <c r="B339" s="222">
        <v>45487</v>
      </c>
      <c r="C339" s="221">
        <v>5.4347649878450541</v>
      </c>
      <c r="D339" s="221">
        <v>25.910326049029329</v>
      </c>
      <c r="E339" s="221">
        <f t="shared" si="20"/>
        <v>5.4347649878450541</v>
      </c>
      <c r="F339" s="188" t="str">
        <f t="shared" si="21"/>
        <v/>
      </c>
      <c r="G339" t="str">
        <f t="shared" si="22"/>
        <v/>
      </c>
      <c r="H339" s="188" t="str">
        <f t="shared" si="23"/>
        <v/>
      </c>
      <c r="I339" s="189"/>
    </row>
    <row r="340" spans="1:9">
      <c r="A340" s="187">
        <v>288</v>
      </c>
      <c r="B340" s="222">
        <v>45488</v>
      </c>
      <c r="C340" s="221">
        <v>11.368316333841328</v>
      </c>
      <c r="D340" s="221">
        <v>25.910326049029329</v>
      </c>
      <c r="E340" s="221">
        <f t="shared" si="20"/>
        <v>11.368316333841328</v>
      </c>
      <c r="F340" s="188" t="str">
        <f t="shared" si="21"/>
        <v/>
      </c>
      <c r="G340" t="str">
        <f t="shared" si="22"/>
        <v/>
      </c>
      <c r="H340" s="188" t="str">
        <f t="shared" si="23"/>
        <v>J</v>
      </c>
      <c r="I340" s="189">
        <f>IF(DAY(B340)=15,D340,"")</f>
        <v>25.910326049029329</v>
      </c>
    </row>
    <row r="341" spans="1:9">
      <c r="A341" s="187">
        <v>289</v>
      </c>
      <c r="B341" s="222">
        <v>45489</v>
      </c>
      <c r="C341" s="221">
        <v>34.957289322846918</v>
      </c>
      <c r="D341" s="221">
        <v>25.910326049029329</v>
      </c>
      <c r="E341" s="221">
        <f t="shared" si="20"/>
        <v>25.910326049029329</v>
      </c>
      <c r="F341" s="188" t="str">
        <f t="shared" si="21"/>
        <v/>
      </c>
      <c r="G341" t="str">
        <f t="shared" si="22"/>
        <v/>
      </c>
      <c r="H341" s="188" t="str">
        <f>IF(DAY(B341)=15,IF(MONTH(B341)=1,"E",IF(MONTH(B341)=2,"F",IF(MONTH(B341)=3,"M",IF(MONTH(B341)=4,"A",IF(MONTH(B341)=5,"M",IF(MONTH(B341)=6,"J",IF(MONTH(B341)=7,"J",IF(MONTH(B341)=8,"A",IF(MONTH(B341)=9,"S",IF(MONTH(B341)=10,"O",IF(MONTH(B341)=11,"N",IF(MONTH(B341)=12,"D","")))))))))))),"")</f>
        <v/>
      </c>
      <c r="I341" s="189"/>
    </row>
    <row r="342" spans="1:9">
      <c r="A342" s="187">
        <v>290</v>
      </c>
      <c r="B342" s="222">
        <v>45490</v>
      </c>
      <c r="C342" s="221">
        <v>27.107350574998883</v>
      </c>
      <c r="D342" s="221">
        <v>25.910326049029329</v>
      </c>
      <c r="E342" s="221">
        <f t="shared" si="20"/>
        <v>25.910326049029329</v>
      </c>
      <c r="F342" s="188" t="str">
        <f t="shared" si="21"/>
        <v/>
      </c>
      <c r="G342" t="str">
        <f t="shared" si="22"/>
        <v/>
      </c>
      <c r="H342" s="188" t="str">
        <f>IF(DAY(B342)=15,IF(MONTH(B342)=1,"E",IF(MONTH(B342)=2,"F",IF(MONTH(B342)=3,"M",IF(MONTH(B342)=4,"A",IF(MONTH(B342)=5,"M",IF(MONTH(B342)=6,"J",IF(MONTH(B342)=7,"J",IF(MONTH(B342)=8,"A",IF(MONTH(B342)=9,"S",IF(MONTH(B342)=10,"O",IF(MONTH(B342)=11,"N",IF(MONTH(B342)=12,"D","")))))))))))),"")</f>
        <v/>
      </c>
      <c r="I342" s="189"/>
    </row>
    <row r="343" spans="1:9">
      <c r="A343" s="187">
        <v>291</v>
      </c>
      <c r="B343" s="222">
        <v>45491</v>
      </c>
      <c r="C343" s="221">
        <v>47.384967555000735</v>
      </c>
      <c r="D343" s="221">
        <v>25.910326049029329</v>
      </c>
      <c r="E343" s="221">
        <f t="shared" si="20"/>
        <v>25.910326049029329</v>
      </c>
      <c r="F343" s="188" t="str">
        <f t="shared" si="21"/>
        <v/>
      </c>
      <c r="G343" t="str">
        <f t="shared" si="22"/>
        <v/>
      </c>
      <c r="H343" s="188" t="str">
        <f t="shared" si="23"/>
        <v/>
      </c>
      <c r="I343" s="189"/>
    </row>
    <row r="344" spans="1:9">
      <c r="A344" s="187">
        <v>292</v>
      </c>
      <c r="B344" s="222">
        <v>45492</v>
      </c>
      <c r="C344" s="221">
        <v>32.610105791002596</v>
      </c>
      <c r="D344" s="221">
        <v>25.910326049029329</v>
      </c>
      <c r="E344" s="221">
        <f t="shared" si="20"/>
        <v>25.910326049029329</v>
      </c>
      <c r="F344" s="188" t="str">
        <f t="shared" si="21"/>
        <v/>
      </c>
      <c r="G344" t="str">
        <f t="shared" si="22"/>
        <v/>
      </c>
      <c r="H344" s="188" t="str">
        <f t="shared" si="23"/>
        <v/>
      </c>
      <c r="I344" s="189"/>
    </row>
    <row r="345" spans="1:9">
      <c r="A345" s="187">
        <v>293</v>
      </c>
      <c r="B345" s="222">
        <v>45493</v>
      </c>
      <c r="C345" s="221">
        <v>2.8838368070007419</v>
      </c>
      <c r="D345" s="221">
        <v>25.910326049029329</v>
      </c>
      <c r="E345" s="221">
        <f t="shared" si="20"/>
        <v>2.8838368070007419</v>
      </c>
      <c r="F345" s="188" t="str">
        <f t="shared" si="21"/>
        <v/>
      </c>
      <c r="G345" t="str">
        <f t="shared" si="22"/>
        <v/>
      </c>
      <c r="H345" s="188" t="str">
        <f t="shared" si="23"/>
        <v/>
      </c>
      <c r="I345" s="189"/>
    </row>
    <row r="346" spans="1:9">
      <c r="A346" s="187">
        <v>294</v>
      </c>
      <c r="B346" s="222">
        <v>45494</v>
      </c>
      <c r="C346" s="221">
        <v>2.773625599002604</v>
      </c>
      <c r="D346" s="221">
        <v>25.910326049029329</v>
      </c>
      <c r="E346" s="221">
        <f t="shared" si="20"/>
        <v>2.773625599002604</v>
      </c>
      <c r="F346" s="188" t="str">
        <f t="shared" si="21"/>
        <v/>
      </c>
      <c r="G346" t="str">
        <f t="shared" si="22"/>
        <v/>
      </c>
      <c r="H346" s="188" t="str">
        <f t="shared" si="23"/>
        <v/>
      </c>
      <c r="I346" s="189"/>
    </row>
    <row r="347" spans="1:9">
      <c r="A347" s="187">
        <v>295</v>
      </c>
      <c r="B347" s="222">
        <v>45495</v>
      </c>
      <c r="C347" s="221">
        <v>2.6918520630007405</v>
      </c>
      <c r="D347" s="221">
        <v>25.910326049029329</v>
      </c>
      <c r="E347" s="221">
        <f t="shared" si="20"/>
        <v>2.6918520630007405</v>
      </c>
      <c r="F347" s="188" t="str">
        <f t="shared" si="21"/>
        <v/>
      </c>
      <c r="G347" t="str">
        <f t="shared" si="22"/>
        <v/>
      </c>
      <c r="H347" s="188" t="str">
        <f t="shared" si="23"/>
        <v/>
      </c>
      <c r="I347" s="189"/>
    </row>
    <row r="348" spans="1:9">
      <c r="A348" s="187">
        <v>296</v>
      </c>
      <c r="B348" s="222">
        <v>45496</v>
      </c>
      <c r="C348" s="221">
        <v>4.8173808750007447</v>
      </c>
      <c r="D348" s="221">
        <v>25.910326049029329</v>
      </c>
      <c r="E348" s="221">
        <f t="shared" si="20"/>
        <v>4.8173808750007447</v>
      </c>
      <c r="F348" s="188" t="str">
        <f t="shared" si="21"/>
        <v/>
      </c>
      <c r="G348" t="str">
        <f t="shared" si="22"/>
        <v/>
      </c>
      <c r="H348" s="188" t="str">
        <f t="shared" si="23"/>
        <v/>
      </c>
      <c r="I348" s="189"/>
    </row>
    <row r="349" spans="1:9">
      <c r="A349" s="187">
        <v>297</v>
      </c>
      <c r="B349" s="222">
        <v>45497</v>
      </c>
      <c r="C349" s="221">
        <v>28.556996525535084</v>
      </c>
      <c r="D349" s="221">
        <v>25.910326049029329</v>
      </c>
      <c r="E349" s="221">
        <f t="shared" si="20"/>
        <v>25.910326049029329</v>
      </c>
      <c r="F349" s="188" t="str">
        <f t="shared" si="21"/>
        <v/>
      </c>
      <c r="G349" t="str">
        <f t="shared" si="22"/>
        <v/>
      </c>
      <c r="H349" s="188" t="str">
        <f t="shared" si="23"/>
        <v/>
      </c>
      <c r="I349" s="189"/>
    </row>
    <row r="350" spans="1:9">
      <c r="A350" s="187">
        <v>298</v>
      </c>
      <c r="B350" s="222">
        <v>45498</v>
      </c>
      <c r="C350" s="221">
        <v>14.895582087538802</v>
      </c>
      <c r="D350" s="221">
        <v>25.910326049029329</v>
      </c>
      <c r="E350" s="221">
        <f t="shared" si="20"/>
        <v>14.895582087538802</v>
      </c>
      <c r="F350" s="188" t="str">
        <f t="shared" si="21"/>
        <v/>
      </c>
      <c r="G350" t="str">
        <f t="shared" si="22"/>
        <v/>
      </c>
      <c r="H350" s="188" t="str">
        <f t="shared" si="23"/>
        <v/>
      </c>
      <c r="I350" s="189"/>
    </row>
    <row r="351" spans="1:9">
      <c r="A351" s="187">
        <v>299</v>
      </c>
      <c r="B351" s="222">
        <v>45499</v>
      </c>
      <c r="C351" s="221">
        <v>13.942140612535077</v>
      </c>
      <c r="D351" s="221">
        <v>25.910326049029329</v>
      </c>
      <c r="E351" s="221">
        <f t="shared" si="20"/>
        <v>13.942140612535077</v>
      </c>
      <c r="F351" s="188" t="str">
        <f t="shared" si="21"/>
        <v/>
      </c>
      <c r="G351" t="str">
        <f t="shared" si="22"/>
        <v/>
      </c>
      <c r="H351" s="188" t="str">
        <f t="shared" si="23"/>
        <v/>
      </c>
      <c r="I351" s="189"/>
    </row>
    <row r="352" spans="1:9">
      <c r="A352" s="187">
        <v>300</v>
      </c>
      <c r="B352" s="222">
        <v>45500</v>
      </c>
      <c r="C352" s="221">
        <v>8.5909319685369407</v>
      </c>
      <c r="D352" s="221">
        <v>25.910326049029329</v>
      </c>
      <c r="E352" s="221">
        <f t="shared" si="20"/>
        <v>8.5909319685369407</v>
      </c>
      <c r="F352" s="188" t="str">
        <f t="shared" si="21"/>
        <v/>
      </c>
      <c r="G352" t="str">
        <f t="shared" si="22"/>
        <v/>
      </c>
      <c r="H352" s="188" t="str">
        <f t="shared" si="23"/>
        <v/>
      </c>
      <c r="I352" s="189"/>
    </row>
    <row r="353" spans="1:9">
      <c r="A353" s="187">
        <v>301</v>
      </c>
      <c r="B353" s="222">
        <v>45501</v>
      </c>
      <c r="C353" s="221">
        <v>2.8758978345369397</v>
      </c>
      <c r="D353" s="221">
        <v>25.910326049029329</v>
      </c>
      <c r="E353" s="221">
        <f t="shared" si="20"/>
        <v>2.8758978345369397</v>
      </c>
      <c r="F353" s="188" t="str">
        <f t="shared" si="21"/>
        <v/>
      </c>
      <c r="G353" t="str">
        <f t="shared" si="22"/>
        <v/>
      </c>
      <c r="H353" s="188" t="str">
        <f t="shared" si="23"/>
        <v/>
      </c>
      <c r="I353" s="189"/>
    </row>
    <row r="354" spans="1:9">
      <c r="A354" s="187">
        <v>302</v>
      </c>
      <c r="B354" s="222">
        <v>45502</v>
      </c>
      <c r="C354" s="221">
        <v>19.15130785353508</v>
      </c>
      <c r="D354" s="221">
        <v>25.910326049029329</v>
      </c>
      <c r="E354" s="221">
        <f t="shared" si="20"/>
        <v>19.15130785353508</v>
      </c>
      <c r="F354" s="188" t="str">
        <f t="shared" si="21"/>
        <v/>
      </c>
      <c r="G354" t="str">
        <f t="shared" si="22"/>
        <v/>
      </c>
      <c r="H354" s="188" t="str">
        <f t="shared" si="23"/>
        <v/>
      </c>
      <c r="I354" s="189"/>
    </row>
    <row r="355" spans="1:9">
      <c r="A355" s="187">
        <v>303</v>
      </c>
      <c r="B355" s="222">
        <v>45503</v>
      </c>
      <c r="C355" s="221">
        <v>16.346622300538801</v>
      </c>
      <c r="D355" s="221">
        <v>25.910326049029329</v>
      </c>
      <c r="E355" s="221">
        <f t="shared" si="20"/>
        <v>16.346622300538801</v>
      </c>
      <c r="F355" s="188" t="str">
        <f t="shared" si="21"/>
        <v/>
      </c>
      <c r="G355" t="str">
        <f t="shared" si="22"/>
        <v/>
      </c>
      <c r="H355" s="188" t="str">
        <f t="shared" si="23"/>
        <v/>
      </c>
      <c r="I355" s="189"/>
    </row>
    <row r="356" spans="1:9">
      <c r="A356" s="187">
        <v>304</v>
      </c>
      <c r="B356" s="222">
        <v>45504</v>
      </c>
      <c r="C356" s="221">
        <v>24.35939520223344</v>
      </c>
      <c r="D356" s="221">
        <v>25.910326049029329</v>
      </c>
      <c r="E356" s="221">
        <f t="shared" si="20"/>
        <v>24.35939520223344</v>
      </c>
      <c r="F356" s="188" t="str">
        <f t="shared" si="21"/>
        <v/>
      </c>
      <c r="G356" t="str">
        <f t="shared" si="22"/>
        <v/>
      </c>
      <c r="H356" s="188" t="str">
        <f t="shared" si="23"/>
        <v/>
      </c>
      <c r="I356" s="189"/>
    </row>
    <row r="357" spans="1:9">
      <c r="A357" s="187">
        <v>305</v>
      </c>
      <c r="B357" s="222">
        <v>45505</v>
      </c>
      <c r="C357" s="221">
        <v>3.2914033582334379</v>
      </c>
      <c r="D357" s="221">
        <v>15.363630405709555</v>
      </c>
      <c r="E357" s="221">
        <f t="shared" si="20"/>
        <v>3.2914033582334379</v>
      </c>
      <c r="F357" s="188">
        <f t="shared" si="21"/>
        <v>600</v>
      </c>
      <c r="G357" t="str">
        <f t="shared" si="22"/>
        <v/>
      </c>
      <c r="H357" s="188" t="str">
        <f t="shared" si="23"/>
        <v/>
      </c>
      <c r="I357" s="189"/>
    </row>
    <row r="358" spans="1:9">
      <c r="A358" s="187">
        <v>306</v>
      </c>
      <c r="B358" s="222">
        <v>45506</v>
      </c>
      <c r="C358" s="221">
        <v>1.8560847702352985</v>
      </c>
      <c r="D358" s="221">
        <v>15.363630405709555</v>
      </c>
      <c r="E358" s="221">
        <f t="shared" si="20"/>
        <v>1.8560847702352985</v>
      </c>
      <c r="F358" s="188" t="str">
        <f t="shared" si="21"/>
        <v/>
      </c>
      <c r="G358" t="str">
        <f>IF(MONTH(B358)=1,IF(DAY(B358)=1,YEAR(B358),""),"")</f>
        <v/>
      </c>
      <c r="H358" s="188" t="str">
        <f t="shared" si="23"/>
        <v/>
      </c>
      <c r="I358" s="189"/>
    </row>
    <row r="359" spans="1:9">
      <c r="A359" s="187">
        <v>307</v>
      </c>
      <c r="B359" s="222">
        <v>45507</v>
      </c>
      <c r="C359" s="221">
        <v>3.1090699312334329</v>
      </c>
      <c r="D359" s="221">
        <v>15.363630405709555</v>
      </c>
      <c r="E359" s="221">
        <f t="shared" si="20"/>
        <v>3.1090699312334329</v>
      </c>
      <c r="F359" s="188" t="str">
        <f t="shared" si="21"/>
        <v/>
      </c>
      <c r="G359" t="str">
        <f t="shared" si="22"/>
        <v/>
      </c>
      <c r="H359" s="188" t="str">
        <f t="shared" si="23"/>
        <v/>
      </c>
      <c r="I359" s="189"/>
    </row>
    <row r="360" spans="1:9">
      <c r="A360" s="187">
        <v>308</v>
      </c>
      <c r="B360" s="222">
        <v>45508</v>
      </c>
      <c r="C360" s="221">
        <v>2.4807760832334314</v>
      </c>
      <c r="D360" s="221">
        <v>15.363630405709555</v>
      </c>
      <c r="E360" s="221">
        <f t="shared" si="20"/>
        <v>2.4807760832334314</v>
      </c>
      <c r="F360" s="188" t="str">
        <f t="shared" si="21"/>
        <v/>
      </c>
      <c r="G360" t="str">
        <f t="shared" si="22"/>
        <v/>
      </c>
      <c r="H360" s="188" t="str">
        <f t="shared" si="23"/>
        <v/>
      </c>
      <c r="I360" s="189"/>
    </row>
    <row r="361" spans="1:9">
      <c r="A361" s="187">
        <v>309</v>
      </c>
      <c r="B361" s="222">
        <v>45509</v>
      </c>
      <c r="C361" s="221">
        <v>3.27927523323716</v>
      </c>
      <c r="D361" s="221">
        <v>15.363630405709555</v>
      </c>
      <c r="E361" s="221">
        <f t="shared" si="20"/>
        <v>3.27927523323716</v>
      </c>
      <c r="F361" s="188" t="str">
        <f t="shared" si="21"/>
        <v/>
      </c>
      <c r="G361" t="str">
        <f t="shared" si="22"/>
        <v/>
      </c>
      <c r="H361" s="188" t="str">
        <f t="shared" si="23"/>
        <v/>
      </c>
      <c r="I361" s="189"/>
    </row>
    <row r="362" spans="1:9">
      <c r="A362" s="187">
        <v>310</v>
      </c>
      <c r="B362" s="222">
        <v>45510</v>
      </c>
      <c r="C362" s="221">
        <v>3.0810359062334318</v>
      </c>
      <c r="D362" s="221">
        <v>15.363630405709555</v>
      </c>
      <c r="E362" s="221">
        <f t="shared" si="20"/>
        <v>3.0810359062334318</v>
      </c>
      <c r="F362" s="188" t="str">
        <f t="shared" si="21"/>
        <v/>
      </c>
      <c r="G362" t="str">
        <f t="shared" si="22"/>
        <v/>
      </c>
      <c r="H362" s="188" t="str">
        <f t="shared" si="23"/>
        <v/>
      </c>
      <c r="I362" s="189"/>
    </row>
    <row r="363" spans="1:9">
      <c r="A363" s="187">
        <v>311</v>
      </c>
      <c r="B363" s="222">
        <v>45511</v>
      </c>
      <c r="C363" s="221">
        <v>3.19426276293696</v>
      </c>
      <c r="D363" s="221">
        <v>15.363630405709555</v>
      </c>
      <c r="E363" s="221">
        <f t="shared" si="20"/>
        <v>3.19426276293696</v>
      </c>
      <c r="F363" s="188" t="str">
        <f t="shared" si="21"/>
        <v/>
      </c>
      <c r="G363" t="str">
        <f t="shared" si="22"/>
        <v/>
      </c>
      <c r="H363" s="188" t="str">
        <f t="shared" si="23"/>
        <v/>
      </c>
      <c r="I363" s="189"/>
    </row>
    <row r="364" spans="1:9">
      <c r="A364" s="187">
        <v>312</v>
      </c>
      <c r="B364" s="222">
        <v>45512</v>
      </c>
      <c r="C364" s="221">
        <v>3.3697791099406897</v>
      </c>
      <c r="D364" s="221">
        <v>15.363630405709555</v>
      </c>
      <c r="E364" s="221">
        <f t="shared" si="20"/>
        <v>3.3697791099406897</v>
      </c>
      <c r="F364" s="188" t="str">
        <f t="shared" si="21"/>
        <v/>
      </c>
      <c r="G364" t="str">
        <f t="shared" si="22"/>
        <v/>
      </c>
      <c r="H364" s="188" t="str">
        <f t="shared" si="23"/>
        <v/>
      </c>
      <c r="I364" s="189"/>
    </row>
    <row r="365" spans="1:9">
      <c r="A365" s="187">
        <v>313</v>
      </c>
      <c r="B365" s="222">
        <v>45513</v>
      </c>
      <c r="C365" s="221">
        <v>3.9030743759388278</v>
      </c>
      <c r="D365" s="221">
        <v>15.363630405709555</v>
      </c>
      <c r="E365" s="221">
        <f t="shared" si="20"/>
        <v>3.9030743759388278</v>
      </c>
      <c r="F365" s="188" t="str">
        <f t="shared" si="21"/>
        <v/>
      </c>
      <c r="G365" t="str">
        <f t="shared" si="22"/>
        <v/>
      </c>
      <c r="H365" s="188" t="str">
        <f t="shared" si="23"/>
        <v/>
      </c>
      <c r="I365" s="189"/>
    </row>
    <row r="366" spans="1:9">
      <c r="A366" s="187">
        <v>314</v>
      </c>
      <c r="B366" s="222">
        <v>45514</v>
      </c>
      <c r="C366" s="221">
        <v>2.8245451479388213</v>
      </c>
      <c r="D366" s="221">
        <v>15.363630405709555</v>
      </c>
      <c r="E366" s="221">
        <f t="shared" si="20"/>
        <v>2.8245451479388213</v>
      </c>
      <c r="F366" s="188" t="str">
        <f t="shared" si="21"/>
        <v/>
      </c>
      <c r="G366" t="str">
        <f t="shared" si="22"/>
        <v/>
      </c>
      <c r="H366" s="188" t="str">
        <f t="shared" si="23"/>
        <v/>
      </c>
      <c r="I366" s="189"/>
    </row>
    <row r="367" spans="1:9">
      <c r="A367" s="187">
        <v>315</v>
      </c>
      <c r="B367" s="222">
        <v>45515</v>
      </c>
      <c r="C367" s="221">
        <v>3.2445350539369611</v>
      </c>
      <c r="D367" s="221">
        <v>15.363630405709555</v>
      </c>
      <c r="E367" s="221">
        <f t="shared" si="20"/>
        <v>3.2445350539369611</v>
      </c>
      <c r="F367" s="188" t="str">
        <f t="shared" si="21"/>
        <v/>
      </c>
      <c r="G367" t="str">
        <f t="shared" si="22"/>
        <v/>
      </c>
      <c r="H367" s="188" t="str">
        <f t="shared" si="23"/>
        <v/>
      </c>
      <c r="I367" s="189"/>
    </row>
    <row r="368" spans="1:9">
      <c r="A368" s="187">
        <v>316</v>
      </c>
      <c r="B368" s="222">
        <v>45516</v>
      </c>
      <c r="C368" s="221">
        <v>2.3591191749406861</v>
      </c>
      <c r="D368" s="221">
        <v>15.363630405709555</v>
      </c>
      <c r="E368" s="221">
        <f t="shared" si="20"/>
        <v>2.3591191749406861</v>
      </c>
      <c r="F368" s="188" t="str">
        <f t="shared" si="21"/>
        <v/>
      </c>
      <c r="G368" t="str">
        <f t="shared" si="22"/>
        <v/>
      </c>
      <c r="H368" s="188" t="str">
        <f t="shared" si="23"/>
        <v/>
      </c>
      <c r="I368" s="189"/>
    </row>
    <row r="369" spans="1:9">
      <c r="A369" s="187">
        <v>317</v>
      </c>
      <c r="B369" s="222">
        <v>45517</v>
      </c>
      <c r="C369" s="221">
        <v>6.1163461269388204</v>
      </c>
      <c r="D369" s="221">
        <v>15.363630405709555</v>
      </c>
      <c r="E369" s="221">
        <f t="shared" si="20"/>
        <v>6.1163461269388204</v>
      </c>
      <c r="F369" s="188" t="str">
        <f t="shared" si="21"/>
        <v/>
      </c>
      <c r="G369" t="str">
        <f t="shared" si="22"/>
        <v/>
      </c>
      <c r="H369" s="188" t="str">
        <f>IF(DAY(B369)=15,IF(MONTH(B369)=1,"E",IF(MONTH(B369)=2,"F",IF(MONTH(B369)=3,"M",IF(MONTH(B369)=4,"A",IF(MONTH(B369)=5,"M",IF(MONTH(B369)=6,"J",IF(MONTH(B369)=7,"J",IF(MONTH(B369)=8,"A",IF(MONTH(B369)=9,"S",IF(MONTH(B369)=10,"O",IF(MONTH(B369)=11,"N",IF(MONTH(B369)=12,"D","")))))))))))),"")</f>
        <v/>
      </c>
      <c r="I369" s="189"/>
    </row>
    <row r="370" spans="1:9">
      <c r="A370" s="187">
        <v>318</v>
      </c>
      <c r="B370" s="222">
        <v>45518</v>
      </c>
      <c r="C370" s="221">
        <v>11.974662251003625</v>
      </c>
      <c r="D370" s="221">
        <v>15.363630405709555</v>
      </c>
      <c r="E370" s="221">
        <f t="shared" si="20"/>
        <v>11.974662251003625</v>
      </c>
      <c r="F370" s="188" t="str">
        <f t="shared" si="21"/>
        <v/>
      </c>
      <c r="G370" t="str">
        <f t="shared" si="22"/>
        <v/>
      </c>
      <c r="H370" s="188" t="str">
        <f>IF(DAY(B370)=15,IF(MONTH(B370)=1,"E",IF(MONTH(B370)=2,"F",IF(MONTH(B370)=3,"M",IF(MONTH(B370)=4,"A",IF(MONTH(B370)=5,"M",IF(MONTH(B370)=6,"J",IF(MONTH(B370)=7,"J",IF(MONTH(B370)=8,"A",IF(MONTH(B370)=9,"S",IF(MONTH(B370)=10,"O",IF(MONTH(B370)=11,"N",IF(MONTH(B370)=12,"D","")))))))))))),"")</f>
        <v/>
      </c>
      <c r="I370" s="189"/>
    </row>
    <row r="371" spans="1:9">
      <c r="A371" s="187">
        <v>319</v>
      </c>
      <c r="B371" s="222">
        <v>45519</v>
      </c>
      <c r="C371" s="221">
        <v>2.313891444005487</v>
      </c>
      <c r="D371" s="221">
        <v>15.363630405709555</v>
      </c>
      <c r="E371" s="221">
        <f t="shared" si="20"/>
        <v>2.313891444005487</v>
      </c>
      <c r="F371" s="188" t="str">
        <f t="shared" si="21"/>
        <v/>
      </c>
      <c r="G371" t="str">
        <f t="shared" si="22"/>
        <v/>
      </c>
      <c r="H371" s="188" t="str">
        <f t="shared" si="23"/>
        <v>A</v>
      </c>
      <c r="I371" s="189">
        <f>IF(DAY(B371)=15,D371,"")</f>
        <v>15.363630405709555</v>
      </c>
    </row>
    <row r="372" spans="1:9">
      <c r="A372" s="187">
        <v>320</v>
      </c>
      <c r="B372" s="222">
        <v>45520</v>
      </c>
      <c r="C372" s="221">
        <v>2.7889215240073537</v>
      </c>
      <c r="D372" s="221">
        <v>15.363630405709555</v>
      </c>
      <c r="E372" s="221">
        <f t="shared" ref="E372:E435" si="24">IF(C372&lt;D372,C372,D372)</f>
        <v>2.7889215240073537</v>
      </c>
      <c r="F372" s="188" t="str">
        <f t="shared" ref="F372:F435" si="25">IF(DAY(B372)=1,600,"")</f>
        <v/>
      </c>
      <c r="G372" t="str">
        <f t="shared" si="22"/>
        <v/>
      </c>
      <c r="H372" s="188" t="str">
        <f>IF(DAY(B372)=15,IF(MONTH(B372)=1,"E",IF(MONTH(B372)=2,"F",IF(MONTH(B372)=3,"M",IF(MONTH(B372)=4,"A",IF(MONTH(B372)=5,"M",IF(MONTH(B372)=6,"J",IF(MONTH(B372)=7,"J",IF(MONTH(B372)=8,"A",IF(MONTH(B372)=9,"S",IF(MONTH(B372)=10,"O",IF(MONTH(B372)=11,"N",IF(MONTH(B372)=12,"D","")))))))))))),"")</f>
        <v/>
      </c>
      <c r="I372" s="189"/>
    </row>
    <row r="373" spans="1:9">
      <c r="A373" s="187">
        <v>321</v>
      </c>
      <c r="B373" s="222">
        <v>45521</v>
      </c>
      <c r="C373" s="221">
        <v>3.6637183840073484</v>
      </c>
      <c r="D373" s="221">
        <v>15.363630405709555</v>
      </c>
      <c r="E373" s="221">
        <f t="shared" si="24"/>
        <v>3.6637183840073484</v>
      </c>
      <c r="F373" s="188" t="str">
        <f t="shared" si="25"/>
        <v/>
      </c>
      <c r="G373" t="str">
        <f t="shared" si="22"/>
        <v/>
      </c>
      <c r="H373" s="188" t="str">
        <f t="shared" si="23"/>
        <v/>
      </c>
      <c r="I373" s="189"/>
    </row>
    <row r="374" spans="1:9">
      <c r="A374" s="187">
        <v>322</v>
      </c>
      <c r="B374" s="222">
        <v>45522</v>
      </c>
      <c r="C374" s="221">
        <v>3.1426225090036239</v>
      </c>
      <c r="D374" s="221">
        <v>15.363630405709555</v>
      </c>
      <c r="E374" s="221">
        <f t="shared" si="24"/>
        <v>3.1426225090036239</v>
      </c>
      <c r="F374" s="188" t="str">
        <f t="shared" si="25"/>
        <v/>
      </c>
      <c r="G374" t="str">
        <f t="shared" ref="G374:G437" si="26">IF(MONTH(B374)=1,IF(DAY(B374)=1,YEAR(B374),""),"")</f>
        <v/>
      </c>
      <c r="H374" s="188" t="str">
        <f t="shared" si="23"/>
        <v/>
      </c>
      <c r="I374" s="189"/>
    </row>
    <row r="375" spans="1:9">
      <c r="A375" s="187">
        <v>323</v>
      </c>
      <c r="B375" s="222">
        <v>45523</v>
      </c>
      <c r="C375" s="221">
        <v>2.7647522880036268</v>
      </c>
      <c r="D375" s="221">
        <v>15.363630405709555</v>
      </c>
      <c r="E375" s="221">
        <f t="shared" si="24"/>
        <v>2.7647522880036268</v>
      </c>
      <c r="F375" s="188" t="str">
        <f t="shared" si="25"/>
        <v/>
      </c>
      <c r="G375" t="str">
        <f t="shared" si="26"/>
        <v/>
      </c>
      <c r="H375" s="188" t="str">
        <f t="shared" si="23"/>
        <v/>
      </c>
      <c r="I375" s="189"/>
    </row>
    <row r="376" spans="1:9">
      <c r="A376" s="187">
        <v>324</v>
      </c>
      <c r="B376" s="222">
        <v>45524</v>
      </c>
      <c r="C376" s="221">
        <v>8.3475346870073484</v>
      </c>
      <c r="D376" s="221">
        <v>15.363630405709555</v>
      </c>
      <c r="E376" s="221">
        <f t="shared" si="24"/>
        <v>8.3475346870073484</v>
      </c>
      <c r="F376" s="188" t="str">
        <f t="shared" si="25"/>
        <v/>
      </c>
      <c r="G376" t="str">
        <f t="shared" si="26"/>
        <v/>
      </c>
      <c r="H376" s="188" t="str">
        <f t="shared" si="23"/>
        <v/>
      </c>
      <c r="I376" s="189"/>
    </row>
    <row r="377" spans="1:9">
      <c r="A377" s="187">
        <v>325</v>
      </c>
      <c r="B377" s="222">
        <v>45525</v>
      </c>
      <c r="C377" s="221">
        <v>13.457443864621782</v>
      </c>
      <c r="D377" s="221">
        <v>15.363630405709555</v>
      </c>
      <c r="E377" s="221">
        <f t="shared" si="24"/>
        <v>13.457443864621782</v>
      </c>
      <c r="F377" s="188" t="str">
        <f t="shared" si="25"/>
        <v/>
      </c>
      <c r="G377" t="str">
        <f t="shared" si="26"/>
        <v/>
      </c>
      <c r="H377" s="188" t="str">
        <f t="shared" si="23"/>
        <v/>
      </c>
      <c r="I377" s="189"/>
    </row>
    <row r="378" spans="1:9">
      <c r="A378" s="187">
        <v>326</v>
      </c>
      <c r="B378" s="222">
        <v>45526</v>
      </c>
      <c r="C378" s="221">
        <v>17.84504337562737</v>
      </c>
      <c r="D378" s="221">
        <v>15.363630405709555</v>
      </c>
      <c r="E378" s="221">
        <f t="shared" si="24"/>
        <v>15.363630405709555</v>
      </c>
      <c r="F378" s="188" t="str">
        <f t="shared" si="25"/>
        <v/>
      </c>
      <c r="G378" t="str">
        <f t="shared" si="26"/>
        <v/>
      </c>
      <c r="H378" s="188" t="str">
        <f t="shared" si="23"/>
        <v/>
      </c>
      <c r="I378" s="189"/>
    </row>
    <row r="379" spans="1:9">
      <c r="A379" s="187">
        <v>327</v>
      </c>
      <c r="B379" s="222">
        <v>45527</v>
      </c>
      <c r="C379" s="221">
        <v>13.587899395625515</v>
      </c>
      <c r="D379" s="221">
        <v>15.363630405709555</v>
      </c>
      <c r="E379" s="221">
        <f t="shared" si="24"/>
        <v>13.587899395625515</v>
      </c>
      <c r="F379" s="188" t="str">
        <f t="shared" si="25"/>
        <v/>
      </c>
      <c r="G379" t="str">
        <f t="shared" si="26"/>
        <v/>
      </c>
      <c r="H379" s="188" t="str">
        <f t="shared" si="23"/>
        <v/>
      </c>
      <c r="I379" s="189"/>
    </row>
    <row r="380" spans="1:9">
      <c r="A380" s="187">
        <v>328</v>
      </c>
      <c r="B380" s="222">
        <v>45528</v>
      </c>
      <c r="C380" s="221">
        <v>3.139176939625504</v>
      </c>
      <c r="D380" s="221">
        <v>15.363630405709555</v>
      </c>
      <c r="E380" s="221">
        <f t="shared" si="24"/>
        <v>3.139176939625504</v>
      </c>
      <c r="F380" s="188" t="str">
        <f t="shared" si="25"/>
        <v/>
      </c>
      <c r="G380" t="str">
        <f t="shared" si="26"/>
        <v/>
      </c>
      <c r="H380" s="188" t="str">
        <f t="shared" si="23"/>
        <v/>
      </c>
      <c r="I380" s="189"/>
    </row>
    <row r="381" spans="1:9">
      <c r="A381" s="187">
        <v>329</v>
      </c>
      <c r="B381" s="222">
        <v>45529</v>
      </c>
      <c r="C381" s="221">
        <v>3.6239849436255063</v>
      </c>
      <c r="D381" s="221">
        <v>15.363630405709555</v>
      </c>
      <c r="E381" s="221">
        <f t="shared" si="24"/>
        <v>3.6239849436255063</v>
      </c>
      <c r="F381" s="188" t="str">
        <f t="shared" si="25"/>
        <v/>
      </c>
      <c r="G381" t="str">
        <f t="shared" si="26"/>
        <v/>
      </c>
      <c r="H381" s="188" t="str">
        <f t="shared" si="23"/>
        <v/>
      </c>
      <c r="I381" s="189"/>
    </row>
    <row r="382" spans="1:9">
      <c r="A382" s="187">
        <v>330</v>
      </c>
      <c r="B382" s="222">
        <v>45530</v>
      </c>
      <c r="C382" s="221">
        <v>18.695398971623646</v>
      </c>
      <c r="D382" s="221">
        <v>15.363630405709555</v>
      </c>
      <c r="E382" s="221">
        <f t="shared" si="24"/>
        <v>15.363630405709555</v>
      </c>
      <c r="F382" s="188" t="str">
        <f t="shared" si="25"/>
        <v/>
      </c>
      <c r="G382" t="str">
        <f t="shared" si="26"/>
        <v/>
      </c>
      <c r="H382" s="188" t="str">
        <f t="shared" si="23"/>
        <v/>
      </c>
      <c r="I382" s="189"/>
    </row>
    <row r="383" spans="1:9">
      <c r="A383" s="187">
        <v>331</v>
      </c>
      <c r="B383" s="222">
        <v>45531</v>
      </c>
      <c r="C383" s="221">
        <v>19.764271587625508</v>
      </c>
      <c r="D383" s="221">
        <v>15.363630405709555</v>
      </c>
      <c r="E383" s="221">
        <f t="shared" si="24"/>
        <v>15.363630405709555</v>
      </c>
      <c r="F383" s="188" t="str">
        <f t="shared" si="25"/>
        <v/>
      </c>
      <c r="G383" t="str">
        <f t="shared" si="26"/>
        <v/>
      </c>
      <c r="H383" s="188" t="str">
        <f t="shared" si="23"/>
        <v/>
      </c>
      <c r="I383" s="189"/>
    </row>
    <row r="384" spans="1:9">
      <c r="A384" s="187">
        <v>332</v>
      </c>
      <c r="B384" s="222">
        <v>45532</v>
      </c>
      <c r="C384" s="221">
        <v>25.071713284847881</v>
      </c>
      <c r="D384" s="221">
        <v>15.363630405709555</v>
      </c>
      <c r="E384" s="221">
        <f t="shared" si="24"/>
        <v>15.363630405709555</v>
      </c>
      <c r="F384" s="188" t="str">
        <f t="shared" si="25"/>
        <v/>
      </c>
      <c r="G384" t="str">
        <f t="shared" si="26"/>
        <v/>
      </c>
      <c r="H384" s="188" t="str">
        <f t="shared" si="23"/>
        <v/>
      </c>
      <c r="I384" s="189"/>
    </row>
    <row r="385" spans="1:9">
      <c r="A385" s="187">
        <v>333</v>
      </c>
      <c r="B385" s="222">
        <v>45533</v>
      </c>
      <c r="C385" s="221">
        <v>17.686682008849747</v>
      </c>
      <c r="D385" s="221">
        <v>15.363630405709555</v>
      </c>
      <c r="E385" s="221">
        <f t="shared" si="24"/>
        <v>15.363630405709555</v>
      </c>
      <c r="F385" s="188" t="str">
        <f t="shared" si="25"/>
        <v/>
      </c>
      <c r="G385" t="str">
        <f t="shared" si="26"/>
        <v/>
      </c>
      <c r="H385" s="188" t="str">
        <f t="shared" si="23"/>
        <v/>
      </c>
      <c r="I385" s="189"/>
    </row>
    <row r="386" spans="1:9">
      <c r="A386" s="187">
        <v>334</v>
      </c>
      <c r="B386" s="222">
        <v>45534</v>
      </c>
      <c r="C386" s="221">
        <v>20.918469743849744</v>
      </c>
      <c r="D386" s="221">
        <v>15.363630405709555</v>
      </c>
      <c r="E386" s="221">
        <f t="shared" si="24"/>
        <v>15.363630405709555</v>
      </c>
      <c r="F386" s="188" t="str">
        <f t="shared" si="25"/>
        <v/>
      </c>
      <c r="G386" t="str">
        <f t="shared" si="26"/>
        <v/>
      </c>
      <c r="H386" s="188" t="str">
        <f t="shared" si="23"/>
        <v/>
      </c>
      <c r="I386" s="189"/>
    </row>
    <row r="387" spans="1:9">
      <c r="A387" s="187">
        <v>335</v>
      </c>
      <c r="B387" s="222">
        <v>45535</v>
      </c>
      <c r="C387" s="221">
        <v>2.742251960849746</v>
      </c>
      <c r="D387" s="221">
        <v>15.363630405709555</v>
      </c>
      <c r="E387" s="221">
        <f t="shared" si="24"/>
        <v>2.742251960849746</v>
      </c>
      <c r="F387" s="188" t="str">
        <f t="shared" si="25"/>
        <v/>
      </c>
      <c r="G387" t="str">
        <f t="shared" si="26"/>
        <v/>
      </c>
      <c r="H387" s="188" t="str">
        <f t="shared" ref="H387:H450" si="27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I387" s="189"/>
    </row>
    <row r="388" spans="1:9">
      <c r="A388" s="187">
        <v>336</v>
      </c>
      <c r="B388" s="222">
        <v>45536</v>
      </c>
      <c r="C388" s="221">
        <v>3.3861522168516096</v>
      </c>
      <c r="D388" s="221">
        <v>19.885734840413747</v>
      </c>
      <c r="E388" s="221">
        <f t="shared" si="24"/>
        <v>3.3861522168516096</v>
      </c>
      <c r="F388" s="188">
        <f t="shared" si="25"/>
        <v>600</v>
      </c>
      <c r="G388" t="str">
        <f t="shared" si="26"/>
        <v/>
      </c>
      <c r="H388" s="188" t="str">
        <f t="shared" si="27"/>
        <v/>
      </c>
      <c r="I388" s="189"/>
    </row>
    <row r="389" spans="1:9">
      <c r="A389" s="187">
        <v>337</v>
      </c>
      <c r="B389" s="222">
        <v>45537</v>
      </c>
      <c r="C389" s="221">
        <v>3.4677666688497486</v>
      </c>
      <c r="D389" s="221">
        <v>19.885734840413747</v>
      </c>
      <c r="E389" s="221">
        <f t="shared" si="24"/>
        <v>3.4677666688497486</v>
      </c>
      <c r="F389" s="188" t="str">
        <f t="shared" si="25"/>
        <v/>
      </c>
      <c r="G389" t="str">
        <f t="shared" si="26"/>
        <v/>
      </c>
      <c r="H389" s="188" t="str">
        <f t="shared" si="27"/>
        <v/>
      </c>
      <c r="I389" s="189"/>
    </row>
    <row r="390" spans="1:9">
      <c r="A390" s="187">
        <v>338</v>
      </c>
      <c r="B390" s="222">
        <v>45538</v>
      </c>
      <c r="C390" s="221">
        <v>2.9788258928478828</v>
      </c>
      <c r="D390" s="221">
        <v>19.885734840413747</v>
      </c>
      <c r="E390" s="221">
        <f t="shared" si="24"/>
        <v>2.9788258928478828</v>
      </c>
      <c r="F390" s="188" t="str">
        <f t="shared" si="25"/>
        <v/>
      </c>
      <c r="G390" t="str">
        <f t="shared" si="26"/>
        <v/>
      </c>
      <c r="H390" s="188" t="str">
        <f t="shared" si="27"/>
        <v/>
      </c>
      <c r="I390" s="189"/>
    </row>
    <row r="391" spans="1:9">
      <c r="A391" s="187">
        <v>339</v>
      </c>
      <c r="B391" s="222">
        <v>45539</v>
      </c>
      <c r="C391" s="221">
        <v>13.350197940835489</v>
      </c>
      <c r="D391" s="221">
        <v>19.885734840413747</v>
      </c>
      <c r="E391" s="221">
        <f t="shared" si="24"/>
        <v>13.350197940835489</v>
      </c>
      <c r="F391" s="188" t="str">
        <f t="shared" si="25"/>
        <v/>
      </c>
      <c r="G391" t="str">
        <f t="shared" si="26"/>
        <v/>
      </c>
      <c r="H391" s="188" t="str">
        <f t="shared" si="27"/>
        <v/>
      </c>
      <c r="I391" s="189"/>
    </row>
    <row r="392" spans="1:9">
      <c r="A392" s="187">
        <v>340</v>
      </c>
      <c r="B392" s="222">
        <v>45540</v>
      </c>
      <c r="C392" s="221">
        <v>44.858035183837345</v>
      </c>
      <c r="D392" s="221">
        <v>19.885734840413747</v>
      </c>
      <c r="E392" s="221">
        <f t="shared" si="24"/>
        <v>19.885734840413747</v>
      </c>
      <c r="F392" s="188" t="str">
        <f t="shared" si="25"/>
        <v/>
      </c>
      <c r="G392" t="str">
        <f t="shared" si="26"/>
        <v/>
      </c>
      <c r="H392" s="188" t="str">
        <f t="shared" si="27"/>
        <v/>
      </c>
      <c r="I392" s="189"/>
    </row>
    <row r="393" spans="1:9">
      <c r="A393" s="187">
        <v>341</v>
      </c>
      <c r="B393" s="222">
        <v>45541</v>
      </c>
      <c r="C393" s="221">
        <v>39.888847947835487</v>
      </c>
      <c r="D393" s="221">
        <v>19.885734840413747</v>
      </c>
      <c r="E393" s="221">
        <f t="shared" si="24"/>
        <v>19.885734840413747</v>
      </c>
      <c r="F393" s="188" t="str">
        <f t="shared" si="25"/>
        <v/>
      </c>
      <c r="G393" t="str">
        <f t="shared" si="26"/>
        <v/>
      </c>
      <c r="H393" s="188" t="str">
        <f t="shared" si="27"/>
        <v/>
      </c>
      <c r="I393" s="189"/>
    </row>
    <row r="394" spans="1:9">
      <c r="A394" s="187">
        <v>342</v>
      </c>
      <c r="B394" s="222">
        <v>45542</v>
      </c>
      <c r="C394" s="221">
        <v>44.693236418833621</v>
      </c>
      <c r="D394" s="221">
        <v>19.885734840413747</v>
      </c>
      <c r="E394" s="221">
        <f t="shared" si="24"/>
        <v>19.885734840413747</v>
      </c>
      <c r="F394" s="188" t="str">
        <f t="shared" si="25"/>
        <v/>
      </c>
      <c r="G394" t="str">
        <f t="shared" si="26"/>
        <v/>
      </c>
      <c r="H394" s="188" t="str">
        <f t="shared" si="27"/>
        <v/>
      </c>
      <c r="I394" s="189"/>
    </row>
    <row r="395" spans="1:9">
      <c r="A395" s="187">
        <v>343</v>
      </c>
      <c r="B395" s="222">
        <v>45543</v>
      </c>
      <c r="C395" s="221">
        <v>24.864796343835486</v>
      </c>
      <c r="D395" s="221">
        <v>19.885734840413747</v>
      </c>
      <c r="E395" s="221">
        <f t="shared" si="24"/>
        <v>19.885734840413747</v>
      </c>
      <c r="F395" s="188" t="str">
        <f t="shared" si="25"/>
        <v/>
      </c>
      <c r="G395" t="str">
        <f t="shared" si="26"/>
        <v/>
      </c>
      <c r="H395" s="188" t="str">
        <f t="shared" si="27"/>
        <v/>
      </c>
      <c r="I395" s="189"/>
    </row>
    <row r="396" spans="1:9">
      <c r="A396" s="187">
        <v>344</v>
      </c>
      <c r="B396" s="222">
        <v>45544</v>
      </c>
      <c r="C396" s="221">
        <v>34.384552203833621</v>
      </c>
      <c r="D396" s="221">
        <v>19.885734840413747</v>
      </c>
      <c r="E396" s="221">
        <f t="shared" si="24"/>
        <v>19.885734840413747</v>
      </c>
      <c r="F396" s="188" t="str">
        <f t="shared" si="25"/>
        <v/>
      </c>
      <c r="G396" t="str">
        <f t="shared" si="26"/>
        <v/>
      </c>
      <c r="H396" s="188" t="str">
        <f t="shared" si="27"/>
        <v/>
      </c>
      <c r="I396" s="189"/>
    </row>
    <row r="397" spans="1:9">
      <c r="A397" s="187">
        <v>345</v>
      </c>
      <c r="B397" s="222">
        <v>45545</v>
      </c>
      <c r="C397" s="221">
        <v>31.774274239835488</v>
      </c>
      <c r="D397" s="221">
        <v>19.885734840413747</v>
      </c>
      <c r="E397" s="221">
        <f t="shared" si="24"/>
        <v>19.885734840413747</v>
      </c>
      <c r="F397" s="188" t="str">
        <f t="shared" si="25"/>
        <v/>
      </c>
      <c r="G397" t="str">
        <f t="shared" si="26"/>
        <v/>
      </c>
      <c r="H397" s="188" t="str">
        <f t="shared" si="27"/>
        <v/>
      </c>
      <c r="I397" s="189"/>
    </row>
    <row r="398" spans="1:9">
      <c r="A398" s="187">
        <v>346</v>
      </c>
      <c r="B398" s="222">
        <v>45546</v>
      </c>
      <c r="C398" s="221">
        <v>28.271422682858041</v>
      </c>
      <c r="D398" s="221">
        <v>19.885734840413747</v>
      </c>
      <c r="E398" s="221">
        <f t="shared" si="24"/>
        <v>19.885734840413747</v>
      </c>
      <c r="F398" s="188" t="str">
        <f t="shared" si="25"/>
        <v/>
      </c>
      <c r="G398" t="str">
        <f t="shared" si="26"/>
        <v/>
      </c>
      <c r="H398" s="188" t="str">
        <f t="shared" si="27"/>
        <v/>
      </c>
      <c r="I398" s="189"/>
    </row>
    <row r="399" spans="1:9">
      <c r="A399" s="187">
        <v>347</v>
      </c>
      <c r="B399" s="222">
        <v>45547</v>
      </c>
      <c r="C399" s="221">
        <v>31.615490350856177</v>
      </c>
      <c r="D399" s="221">
        <v>19.885734840413747</v>
      </c>
      <c r="E399" s="221">
        <f t="shared" si="24"/>
        <v>19.885734840413747</v>
      </c>
      <c r="F399" s="188" t="str">
        <f t="shared" si="25"/>
        <v/>
      </c>
      <c r="G399" t="str">
        <f t="shared" si="26"/>
        <v/>
      </c>
      <c r="H399" s="188" t="str">
        <f t="shared" si="27"/>
        <v/>
      </c>
      <c r="I399" s="189"/>
    </row>
    <row r="400" spans="1:9">
      <c r="A400" s="187">
        <v>348</v>
      </c>
      <c r="B400" s="222">
        <v>45548</v>
      </c>
      <c r="C400" s="221">
        <v>19.226709610854318</v>
      </c>
      <c r="D400" s="221">
        <v>19.885734840413747</v>
      </c>
      <c r="E400" s="221">
        <f t="shared" si="24"/>
        <v>19.226709610854318</v>
      </c>
      <c r="F400" s="188" t="str">
        <f t="shared" si="25"/>
        <v/>
      </c>
      <c r="G400" t="str">
        <f t="shared" si="26"/>
        <v/>
      </c>
      <c r="H400" s="188" t="str">
        <f t="shared" si="27"/>
        <v/>
      </c>
      <c r="I400" s="189"/>
    </row>
    <row r="401" spans="1:9">
      <c r="A401" s="187">
        <v>349</v>
      </c>
      <c r="B401" s="222">
        <v>45549</v>
      </c>
      <c r="C401" s="221">
        <v>10.20638647585618</v>
      </c>
      <c r="D401" s="221">
        <v>19.885734840413747</v>
      </c>
      <c r="E401" s="221">
        <f t="shared" si="24"/>
        <v>10.20638647585618</v>
      </c>
      <c r="F401" s="188" t="str">
        <f t="shared" si="25"/>
        <v/>
      </c>
      <c r="G401" t="str">
        <f t="shared" si="26"/>
        <v/>
      </c>
      <c r="H401" s="188" t="str">
        <f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/>
      </c>
      <c r="I401" s="189"/>
    </row>
    <row r="402" spans="1:9">
      <c r="A402" s="187">
        <v>350</v>
      </c>
      <c r="B402" s="222">
        <v>45550</v>
      </c>
      <c r="C402" s="221">
        <v>4.7013636978543181</v>
      </c>
      <c r="D402" s="221">
        <v>19.885734840413747</v>
      </c>
      <c r="E402" s="221">
        <f t="shared" si="24"/>
        <v>4.7013636978543181</v>
      </c>
      <c r="F402" s="188" t="str">
        <f t="shared" si="25"/>
        <v/>
      </c>
      <c r="G402" t="str">
        <f t="shared" si="26"/>
        <v/>
      </c>
      <c r="H402" s="188" t="str">
        <f t="shared" si="27"/>
        <v>S</v>
      </c>
      <c r="I402" s="189">
        <f>IF(DAY(B402)=15,D402,"")</f>
        <v>19.885734840413747</v>
      </c>
    </row>
    <row r="403" spans="1:9">
      <c r="A403" s="187">
        <v>351</v>
      </c>
      <c r="B403" s="222">
        <v>45551</v>
      </c>
      <c r="C403" s="221">
        <v>8.5534986828543182</v>
      </c>
      <c r="D403" s="221">
        <v>19.885734840413747</v>
      </c>
      <c r="E403" s="221">
        <f t="shared" si="24"/>
        <v>8.5534986828543182</v>
      </c>
      <c r="F403" s="188" t="str">
        <f t="shared" si="25"/>
        <v/>
      </c>
      <c r="G403" t="str">
        <f t="shared" si="26"/>
        <v/>
      </c>
      <c r="H403" s="188" t="str">
        <f>IF(DAY(B403)=15,IF(MONTH(B403)=1,"E",IF(MONTH(B403)=2,"F",IF(MONTH(B403)=3,"M",IF(MONTH(B403)=4,"A",IF(MONTH(B403)=5,"M",IF(MONTH(B403)=6,"J",IF(MONTH(B403)=7,"J",IF(MONTH(B403)=8,"A",IF(MONTH(B403)=9,"S",IF(MONTH(B403)=10,"O",IF(MONTH(B403)=11,"N",IF(MONTH(B403)=12,"D","")))))))))))),"")</f>
        <v/>
      </c>
      <c r="I403" s="189"/>
    </row>
    <row r="404" spans="1:9">
      <c r="A404" s="187">
        <v>352</v>
      </c>
      <c r="B404" s="222">
        <v>45552</v>
      </c>
      <c r="C404" s="221">
        <v>9.7971874988580421</v>
      </c>
      <c r="D404" s="221">
        <v>19.885734840413747</v>
      </c>
      <c r="E404" s="221">
        <f t="shared" si="24"/>
        <v>9.7971874988580421</v>
      </c>
      <c r="F404" s="188" t="str">
        <f t="shared" si="25"/>
        <v/>
      </c>
      <c r="G404" t="str">
        <f t="shared" si="26"/>
        <v/>
      </c>
      <c r="H404" s="188" t="str">
        <f t="shared" si="27"/>
        <v/>
      </c>
      <c r="I404" s="189"/>
    </row>
    <row r="405" spans="1:9">
      <c r="A405" s="187">
        <v>353</v>
      </c>
      <c r="B405" s="222">
        <v>45553</v>
      </c>
      <c r="C405" s="221">
        <v>29.041916538356869</v>
      </c>
      <c r="D405" s="221">
        <v>19.885734840413747</v>
      </c>
      <c r="E405" s="221">
        <f t="shared" si="24"/>
        <v>19.885734840413747</v>
      </c>
      <c r="F405" s="188" t="str">
        <f t="shared" si="25"/>
        <v/>
      </c>
      <c r="G405" t="str">
        <f t="shared" si="26"/>
        <v/>
      </c>
      <c r="H405" s="188" t="str">
        <f t="shared" si="27"/>
        <v/>
      </c>
      <c r="I405" s="189"/>
    </row>
    <row r="406" spans="1:9">
      <c r="A406" s="187">
        <v>354</v>
      </c>
      <c r="B406" s="222">
        <v>45554</v>
      </c>
      <c r="C406" s="221">
        <v>60.274292950355012</v>
      </c>
      <c r="D406" s="221">
        <v>19.885734840413747</v>
      </c>
      <c r="E406" s="221">
        <f t="shared" si="24"/>
        <v>19.885734840413747</v>
      </c>
      <c r="F406" s="188" t="str">
        <f t="shared" si="25"/>
        <v/>
      </c>
      <c r="G406" t="str">
        <f t="shared" si="26"/>
        <v/>
      </c>
      <c r="H406" s="188" t="str">
        <f t="shared" si="27"/>
        <v/>
      </c>
      <c r="I406" s="189"/>
    </row>
    <row r="407" spans="1:9">
      <c r="A407" s="187">
        <v>355</v>
      </c>
      <c r="B407" s="222">
        <v>45555</v>
      </c>
      <c r="C407" s="221">
        <v>63.832625350356871</v>
      </c>
      <c r="D407" s="221">
        <v>19.885734840413747</v>
      </c>
      <c r="E407" s="221">
        <f t="shared" si="24"/>
        <v>19.885734840413747</v>
      </c>
      <c r="F407" s="188" t="str">
        <f t="shared" si="25"/>
        <v/>
      </c>
      <c r="G407" t="str">
        <f t="shared" si="26"/>
        <v/>
      </c>
      <c r="H407" s="188" t="str">
        <f t="shared" si="27"/>
        <v/>
      </c>
      <c r="I407" s="189"/>
    </row>
    <row r="408" spans="1:9">
      <c r="A408" s="187">
        <v>356</v>
      </c>
      <c r="B408" s="222">
        <v>45556</v>
      </c>
      <c r="C408" s="221">
        <v>50.197664322356871</v>
      </c>
      <c r="D408" s="221">
        <v>19.885734840413747</v>
      </c>
      <c r="E408" s="221">
        <f t="shared" si="24"/>
        <v>19.885734840413747</v>
      </c>
      <c r="F408" s="188" t="str">
        <f t="shared" si="25"/>
        <v/>
      </c>
      <c r="G408" t="str">
        <f t="shared" si="26"/>
        <v/>
      </c>
      <c r="H408" s="188" t="str">
        <f t="shared" si="27"/>
        <v/>
      </c>
      <c r="I408" s="189"/>
    </row>
    <row r="409" spans="1:9">
      <c r="A409" s="187">
        <v>357</v>
      </c>
      <c r="B409" s="222">
        <v>45557</v>
      </c>
      <c r="C409" s="221">
        <v>43.917412422356882</v>
      </c>
      <c r="D409" s="221">
        <v>19.885734840413747</v>
      </c>
      <c r="E409" s="221">
        <f t="shared" si="24"/>
        <v>19.885734840413747</v>
      </c>
      <c r="F409" s="188" t="str">
        <f t="shared" si="25"/>
        <v/>
      </c>
      <c r="G409" t="str">
        <f t="shared" si="26"/>
        <v/>
      </c>
      <c r="H409" s="188" t="str">
        <f t="shared" si="27"/>
        <v/>
      </c>
      <c r="I409" s="189"/>
    </row>
    <row r="410" spans="1:9">
      <c r="A410" s="187">
        <v>358</v>
      </c>
      <c r="B410" s="222">
        <v>45558</v>
      </c>
      <c r="C410" s="221">
        <v>42.279065178355012</v>
      </c>
      <c r="D410" s="221">
        <v>19.885734840413747</v>
      </c>
      <c r="E410" s="221">
        <f t="shared" si="24"/>
        <v>19.885734840413747</v>
      </c>
      <c r="F410" s="188" t="str">
        <f t="shared" si="25"/>
        <v/>
      </c>
      <c r="G410" t="str">
        <f t="shared" si="26"/>
        <v/>
      </c>
      <c r="H410" s="188" t="str">
        <f t="shared" si="27"/>
        <v/>
      </c>
      <c r="I410" s="189"/>
    </row>
    <row r="411" spans="1:9">
      <c r="A411" s="187">
        <v>359</v>
      </c>
      <c r="B411" s="222">
        <v>45559</v>
      </c>
      <c r="C411" s="221">
        <v>43.818669830356868</v>
      </c>
      <c r="D411" s="221">
        <v>19.885734840413747</v>
      </c>
      <c r="E411" s="221">
        <f t="shared" si="24"/>
        <v>19.885734840413747</v>
      </c>
      <c r="F411" s="188" t="str">
        <f t="shared" si="25"/>
        <v/>
      </c>
      <c r="G411" t="str">
        <f t="shared" si="26"/>
        <v/>
      </c>
      <c r="H411" s="188" t="str">
        <f t="shared" si="27"/>
        <v/>
      </c>
      <c r="I411" s="189"/>
    </row>
    <row r="412" spans="1:9">
      <c r="A412" s="187">
        <v>360</v>
      </c>
      <c r="B412" s="222">
        <v>45560</v>
      </c>
      <c r="C412" s="221">
        <v>49.660390897962571</v>
      </c>
      <c r="D412" s="221">
        <v>19.885734840413747</v>
      </c>
      <c r="E412" s="221">
        <f t="shared" si="24"/>
        <v>19.885734840413747</v>
      </c>
      <c r="F412" s="188" t="str">
        <f t="shared" si="25"/>
        <v/>
      </c>
      <c r="G412" t="str">
        <f t="shared" si="26"/>
        <v/>
      </c>
      <c r="H412" s="188" t="str">
        <f t="shared" si="27"/>
        <v/>
      </c>
      <c r="I412" s="189"/>
    </row>
    <row r="413" spans="1:9">
      <c r="A413" s="187">
        <v>361</v>
      </c>
      <c r="B413" s="222">
        <v>45561</v>
      </c>
      <c r="C413" s="221">
        <v>36.476566837960704</v>
      </c>
      <c r="D413" s="221">
        <v>19.885734840413747</v>
      </c>
      <c r="E413" s="221">
        <f t="shared" si="24"/>
        <v>19.885734840413747</v>
      </c>
      <c r="F413" s="188" t="str">
        <f t="shared" si="25"/>
        <v/>
      </c>
      <c r="G413" t="str">
        <f t="shared" si="26"/>
        <v/>
      </c>
      <c r="H413" s="188" t="str">
        <f t="shared" si="27"/>
        <v/>
      </c>
      <c r="I413" s="189"/>
    </row>
    <row r="414" spans="1:9">
      <c r="A414" s="187">
        <v>362</v>
      </c>
      <c r="B414" s="222">
        <v>45562</v>
      </c>
      <c r="C414" s="221">
        <v>37.369163633964433</v>
      </c>
      <c r="D414" s="221">
        <v>19.885734840413747</v>
      </c>
      <c r="E414" s="221">
        <f t="shared" si="24"/>
        <v>19.885734840413747</v>
      </c>
      <c r="F414" s="188" t="str">
        <f t="shared" si="25"/>
        <v/>
      </c>
      <c r="G414" t="str">
        <f t="shared" si="26"/>
        <v/>
      </c>
      <c r="H414" s="188" t="str">
        <f t="shared" si="27"/>
        <v/>
      </c>
      <c r="I414" s="189"/>
    </row>
    <row r="415" spans="1:9">
      <c r="A415" s="187">
        <v>363</v>
      </c>
      <c r="B415" s="222">
        <v>45563</v>
      </c>
      <c r="C415" s="221">
        <v>45.754677949964432</v>
      </c>
      <c r="D415" s="221">
        <v>19.885734840413747</v>
      </c>
      <c r="E415" s="221">
        <f t="shared" si="24"/>
        <v>19.885734840413747</v>
      </c>
      <c r="F415" s="188" t="str">
        <f t="shared" si="25"/>
        <v/>
      </c>
      <c r="G415" t="str">
        <f t="shared" si="26"/>
        <v/>
      </c>
      <c r="H415" s="188" t="str">
        <f t="shared" si="27"/>
        <v/>
      </c>
      <c r="I415" s="189"/>
    </row>
    <row r="416" spans="1:9">
      <c r="A416" s="187">
        <v>364</v>
      </c>
      <c r="B416" s="222">
        <v>45564</v>
      </c>
      <c r="C416" s="221">
        <v>37.675193005962569</v>
      </c>
      <c r="D416" s="221">
        <v>19.885734840413747</v>
      </c>
      <c r="E416" s="221">
        <f t="shared" si="24"/>
        <v>19.885734840413747</v>
      </c>
      <c r="F416" s="188" t="str">
        <f t="shared" si="25"/>
        <v/>
      </c>
      <c r="G416" t="str">
        <f t="shared" si="26"/>
        <v/>
      </c>
      <c r="H416" s="188" t="str">
        <f t="shared" si="27"/>
        <v/>
      </c>
      <c r="I416" s="189"/>
    </row>
    <row r="417" spans="1:9">
      <c r="A417" s="187">
        <v>365</v>
      </c>
      <c r="B417" s="222">
        <v>45565</v>
      </c>
      <c r="C417" s="221">
        <v>63.93063872696257</v>
      </c>
      <c r="D417" s="221">
        <v>19.885734840413747</v>
      </c>
      <c r="E417" s="221">
        <f t="shared" si="24"/>
        <v>19.885734840413747</v>
      </c>
      <c r="F417" s="188" t="str">
        <f t="shared" si="25"/>
        <v/>
      </c>
      <c r="G417" t="str">
        <f t="shared" si="26"/>
        <v/>
      </c>
      <c r="H417" s="188" t="str">
        <f t="shared" si="27"/>
        <v/>
      </c>
      <c r="I417" s="189"/>
    </row>
    <row r="418" spans="1:9">
      <c r="A418" s="187">
        <v>366</v>
      </c>
      <c r="B418" s="222">
        <v>45566</v>
      </c>
      <c r="C418" s="221">
        <v>70.068381224962565</v>
      </c>
      <c r="D418" s="221">
        <v>40.505689176644211</v>
      </c>
      <c r="E418" s="221">
        <f t="shared" si="24"/>
        <v>40.505689176644211</v>
      </c>
      <c r="F418" s="188">
        <f t="shared" si="25"/>
        <v>600</v>
      </c>
      <c r="G418" t="str">
        <f t="shared" si="26"/>
        <v/>
      </c>
      <c r="H418" s="188" t="str">
        <f t="shared" si="27"/>
        <v/>
      </c>
      <c r="I418" s="189"/>
    </row>
    <row r="419" spans="1:9">
      <c r="A419" s="187">
        <v>367</v>
      </c>
      <c r="B419" s="222">
        <v>45567</v>
      </c>
      <c r="C419" s="221">
        <v>58.052029492615212</v>
      </c>
      <c r="D419" s="221">
        <v>40.505689176644211</v>
      </c>
      <c r="E419" s="221">
        <f t="shared" si="24"/>
        <v>40.505689176644211</v>
      </c>
      <c r="F419" s="188" t="str">
        <f t="shared" si="25"/>
        <v/>
      </c>
      <c r="G419" t="str">
        <f t="shared" si="26"/>
        <v/>
      </c>
      <c r="H419" s="188" t="str">
        <f t="shared" si="27"/>
        <v/>
      </c>
      <c r="I419" s="189"/>
    </row>
    <row r="420" spans="1:9">
      <c r="A420" s="187">
        <v>368</v>
      </c>
      <c r="B420" s="222">
        <v>45568</v>
      </c>
      <c r="C420" s="221">
        <v>63.437394593613355</v>
      </c>
      <c r="D420" s="221">
        <v>40.505689176644211</v>
      </c>
      <c r="E420" s="221">
        <f t="shared" si="24"/>
        <v>40.505689176644211</v>
      </c>
      <c r="F420" s="188" t="str">
        <f t="shared" si="25"/>
        <v/>
      </c>
      <c r="G420" t="str">
        <f t="shared" si="26"/>
        <v/>
      </c>
      <c r="H420" s="188" t="str">
        <f t="shared" si="27"/>
        <v/>
      </c>
      <c r="I420" s="189"/>
    </row>
    <row r="421" spans="1:9">
      <c r="A421" s="187">
        <v>369</v>
      </c>
      <c r="B421" s="222">
        <v>45569</v>
      </c>
      <c r="C421" s="221">
        <v>75.007707163617084</v>
      </c>
      <c r="D421" s="221">
        <v>40.505689176644211</v>
      </c>
      <c r="E421" s="221">
        <f t="shared" si="24"/>
        <v>40.505689176644211</v>
      </c>
      <c r="F421" s="188" t="str">
        <f t="shared" si="25"/>
        <v/>
      </c>
      <c r="G421" t="str">
        <f t="shared" si="26"/>
        <v/>
      </c>
      <c r="H421" s="188" t="str">
        <f t="shared" si="27"/>
        <v/>
      </c>
      <c r="I421" s="189"/>
    </row>
    <row r="422" spans="1:9">
      <c r="A422" s="187">
        <v>370</v>
      </c>
      <c r="B422" s="222">
        <v>45570</v>
      </c>
      <c r="C422" s="221">
        <v>63.616250232613353</v>
      </c>
      <c r="D422" s="221">
        <v>40.505689176644211</v>
      </c>
      <c r="E422" s="221">
        <f t="shared" si="24"/>
        <v>40.505689176644211</v>
      </c>
      <c r="F422" s="188" t="str">
        <f t="shared" si="25"/>
        <v/>
      </c>
      <c r="G422" t="str">
        <f t="shared" si="26"/>
        <v/>
      </c>
      <c r="H422" s="188" t="str">
        <f t="shared" si="27"/>
        <v/>
      </c>
      <c r="I422" s="189"/>
    </row>
    <row r="423" spans="1:9">
      <c r="A423" s="187">
        <v>371</v>
      </c>
      <c r="B423" s="222">
        <v>45571</v>
      </c>
      <c r="C423" s="221">
        <v>32.810350096617086</v>
      </c>
      <c r="D423" s="221">
        <v>40.505689176644211</v>
      </c>
      <c r="E423" s="221">
        <f t="shared" si="24"/>
        <v>32.810350096617086</v>
      </c>
      <c r="F423" s="188" t="str">
        <f t="shared" si="25"/>
        <v/>
      </c>
      <c r="G423" t="str">
        <f t="shared" si="26"/>
        <v/>
      </c>
      <c r="H423" s="188" t="str">
        <f t="shared" si="27"/>
        <v/>
      </c>
      <c r="I423" s="189"/>
    </row>
    <row r="424" spans="1:9">
      <c r="A424" s="187">
        <v>372</v>
      </c>
      <c r="B424" s="222">
        <v>45572</v>
      </c>
      <c r="C424" s="221">
        <v>54.122171761615213</v>
      </c>
      <c r="D424" s="221">
        <v>40.505689176644211</v>
      </c>
      <c r="E424" s="221">
        <f t="shared" si="24"/>
        <v>40.505689176644211</v>
      </c>
      <c r="F424" s="188" t="str">
        <f t="shared" si="25"/>
        <v/>
      </c>
      <c r="G424" t="str">
        <f t="shared" si="26"/>
        <v/>
      </c>
      <c r="H424" s="188" t="str">
        <f t="shared" si="27"/>
        <v/>
      </c>
      <c r="I424" s="189"/>
    </row>
    <row r="425" spans="1:9">
      <c r="A425" s="187">
        <v>373</v>
      </c>
      <c r="B425" s="222">
        <v>45573</v>
      </c>
      <c r="C425" s="221">
        <v>44.16330611961336</v>
      </c>
      <c r="D425" s="221">
        <v>40.505689176644211</v>
      </c>
      <c r="E425" s="221">
        <f t="shared" si="24"/>
        <v>40.505689176644211</v>
      </c>
      <c r="F425" s="188" t="str">
        <f t="shared" si="25"/>
        <v/>
      </c>
      <c r="G425" t="str">
        <f t="shared" si="26"/>
        <v/>
      </c>
      <c r="H425" s="188" t="str">
        <f t="shared" si="27"/>
        <v/>
      </c>
      <c r="I425" s="189"/>
    </row>
    <row r="426" spans="1:9">
      <c r="A426" s="187">
        <v>374</v>
      </c>
      <c r="B426" s="222">
        <v>45574</v>
      </c>
      <c r="C426" s="221">
        <v>108.57079895363435</v>
      </c>
      <c r="D426" s="221">
        <v>40.505689176644211</v>
      </c>
      <c r="E426" s="221">
        <f t="shared" si="24"/>
        <v>40.505689176644211</v>
      </c>
      <c r="F426" s="188" t="str">
        <f t="shared" si="25"/>
        <v/>
      </c>
      <c r="G426" t="str">
        <f t="shared" si="26"/>
        <v/>
      </c>
      <c r="H426" s="188" t="str">
        <f t="shared" si="27"/>
        <v/>
      </c>
      <c r="I426" s="189"/>
    </row>
    <row r="427" spans="1:9">
      <c r="A427" s="187">
        <v>375</v>
      </c>
      <c r="B427" s="222">
        <v>45575</v>
      </c>
      <c r="C427" s="221">
        <v>142.66093879663435</v>
      </c>
      <c r="D427" s="221">
        <v>40.505689176644211</v>
      </c>
      <c r="E427" s="221">
        <f t="shared" si="24"/>
        <v>40.505689176644211</v>
      </c>
      <c r="F427" s="188" t="str">
        <f t="shared" si="25"/>
        <v/>
      </c>
      <c r="G427" t="str">
        <f t="shared" si="26"/>
        <v/>
      </c>
      <c r="H427" s="188" t="str">
        <f t="shared" si="27"/>
        <v/>
      </c>
      <c r="I427" s="189"/>
    </row>
    <row r="428" spans="1:9">
      <c r="A428" s="187">
        <v>376</v>
      </c>
      <c r="B428" s="222">
        <v>45576</v>
      </c>
      <c r="C428" s="221">
        <v>165.5278694396325</v>
      </c>
      <c r="D428" s="221">
        <v>40.505689176644211</v>
      </c>
      <c r="E428" s="221">
        <f t="shared" si="24"/>
        <v>40.505689176644211</v>
      </c>
      <c r="F428" s="188" t="str">
        <f t="shared" si="25"/>
        <v/>
      </c>
      <c r="G428" t="str">
        <f t="shared" si="26"/>
        <v/>
      </c>
      <c r="H428" s="188" t="str">
        <f t="shared" si="27"/>
        <v/>
      </c>
      <c r="I428" s="189"/>
    </row>
    <row r="429" spans="1:9">
      <c r="A429" s="187">
        <v>377</v>
      </c>
      <c r="B429" s="222">
        <v>45577</v>
      </c>
      <c r="C429" s="221">
        <v>154.03467495263436</v>
      </c>
      <c r="D429" s="221">
        <v>40.505689176644211</v>
      </c>
      <c r="E429" s="221">
        <f t="shared" si="24"/>
        <v>40.505689176644211</v>
      </c>
      <c r="F429" s="188" t="str">
        <f t="shared" si="25"/>
        <v/>
      </c>
      <c r="G429" t="str">
        <f t="shared" si="26"/>
        <v/>
      </c>
      <c r="H429" s="188" t="str">
        <f t="shared" si="27"/>
        <v/>
      </c>
      <c r="I429" s="189"/>
    </row>
    <row r="430" spans="1:9">
      <c r="A430" s="187">
        <v>378</v>
      </c>
      <c r="B430" s="222">
        <v>45578</v>
      </c>
      <c r="C430" s="221">
        <v>138.60919570463437</v>
      </c>
      <c r="D430" s="221">
        <v>40.505689176644211</v>
      </c>
      <c r="E430" s="221">
        <f t="shared" si="24"/>
        <v>40.505689176644211</v>
      </c>
      <c r="F430" s="188" t="str">
        <f t="shared" si="25"/>
        <v/>
      </c>
      <c r="G430" t="str">
        <f t="shared" si="26"/>
        <v/>
      </c>
      <c r="H430" s="188" t="str">
        <f t="shared" si="27"/>
        <v/>
      </c>
      <c r="I430" s="189"/>
    </row>
    <row r="431" spans="1:9">
      <c r="A431" s="187">
        <v>379</v>
      </c>
      <c r="B431" s="222">
        <v>45579</v>
      </c>
      <c r="C431" s="221">
        <v>174.22466010063437</v>
      </c>
      <c r="D431" s="221">
        <v>40.505689176644211</v>
      </c>
      <c r="E431" s="221">
        <f t="shared" si="24"/>
        <v>40.505689176644211</v>
      </c>
      <c r="F431" s="188" t="str">
        <f t="shared" si="25"/>
        <v/>
      </c>
      <c r="G431" t="str">
        <f t="shared" si="26"/>
        <v/>
      </c>
      <c r="H431" s="188" t="str">
        <f t="shared" si="27"/>
        <v/>
      </c>
      <c r="I431" s="189"/>
    </row>
    <row r="432" spans="1:9">
      <c r="A432" s="187">
        <v>380</v>
      </c>
      <c r="B432" s="222">
        <v>45580</v>
      </c>
      <c r="C432" s="221">
        <v>159.80809982463248</v>
      </c>
      <c r="D432" s="221">
        <v>40.505689176644211</v>
      </c>
      <c r="E432" s="221">
        <f t="shared" si="24"/>
        <v>40.505689176644211</v>
      </c>
      <c r="F432" s="188" t="str">
        <f t="shared" si="25"/>
        <v/>
      </c>
      <c r="G432" t="str">
        <f t="shared" si="26"/>
        <v/>
      </c>
      <c r="H432" s="188" t="str">
        <f>IF(DAY(B432)=15,IF(MONTH(B432)=1,"E",IF(MONTH(B432)=2,"F",IF(MONTH(B432)=3,"M",IF(MONTH(B432)=4,"A",IF(MONTH(B432)=5,"M",IF(MONTH(B432)=6,"J",IF(MONTH(B432)=7,"J",IF(MONTH(B432)=8,"A",IF(MONTH(B432)=9,"S",IF(MONTH(B432)=10,"O",IF(MONTH(B432)=11,"N",IF(MONTH(B432)=12,"D","")))))))))))),"")</f>
        <v>O</v>
      </c>
      <c r="I432" s="189">
        <f>IF(DAY(B432)=15,D432,"")</f>
        <v>40.505689176644211</v>
      </c>
    </row>
    <row r="433" spans="1:9">
      <c r="A433" s="187">
        <v>381</v>
      </c>
      <c r="B433" s="222">
        <v>45581</v>
      </c>
      <c r="C433" s="221">
        <v>125.8817006946114</v>
      </c>
      <c r="D433" s="221">
        <v>40.505689176644211</v>
      </c>
      <c r="E433" s="221">
        <f t="shared" si="24"/>
        <v>40.505689176644211</v>
      </c>
      <c r="F433" s="188" t="str">
        <f t="shared" si="25"/>
        <v/>
      </c>
      <c r="G433" t="str">
        <f t="shared" si="26"/>
        <v/>
      </c>
      <c r="H433" s="188" t="str">
        <f t="shared" si="27"/>
        <v/>
      </c>
      <c r="I433" s="189"/>
    </row>
    <row r="434" spans="1:9">
      <c r="A434" s="187">
        <v>382</v>
      </c>
      <c r="B434" s="222">
        <v>45582</v>
      </c>
      <c r="C434" s="221">
        <v>121.5447070726114</v>
      </c>
      <c r="D434" s="221">
        <v>40.505689176644211</v>
      </c>
      <c r="E434" s="221">
        <f t="shared" si="24"/>
        <v>40.505689176644211</v>
      </c>
      <c r="F434" s="188" t="str">
        <f t="shared" si="25"/>
        <v/>
      </c>
      <c r="G434" t="str">
        <f t="shared" si="26"/>
        <v/>
      </c>
      <c r="H434" s="188" t="str">
        <f t="shared" si="27"/>
        <v/>
      </c>
      <c r="I434" s="189"/>
    </row>
    <row r="435" spans="1:9">
      <c r="A435" s="187">
        <v>383</v>
      </c>
      <c r="B435" s="222">
        <v>45583</v>
      </c>
      <c r="C435" s="221">
        <v>130.54230420161514</v>
      </c>
      <c r="D435" s="221">
        <v>40.505689176644211</v>
      </c>
      <c r="E435" s="221">
        <f t="shared" si="24"/>
        <v>40.505689176644211</v>
      </c>
      <c r="F435" s="188" t="str">
        <f t="shared" si="25"/>
        <v/>
      </c>
      <c r="G435" t="str">
        <f t="shared" si="26"/>
        <v/>
      </c>
      <c r="H435" s="188" t="str">
        <f t="shared" si="27"/>
        <v/>
      </c>
      <c r="I435" s="189"/>
    </row>
    <row r="436" spans="1:9">
      <c r="A436" s="187">
        <v>384</v>
      </c>
      <c r="B436" s="222">
        <v>45584</v>
      </c>
      <c r="C436" s="221">
        <v>125.60238285760954</v>
      </c>
      <c r="D436" s="221">
        <v>40.505689176644211</v>
      </c>
      <c r="E436" s="221">
        <f t="shared" ref="E436:E499" si="28">IF(C436&lt;D436,C436,D436)</f>
        <v>40.505689176644211</v>
      </c>
      <c r="F436" s="188" t="str">
        <f t="shared" ref="F436:F499" si="29">IF(DAY(B436)=1,600,"")</f>
        <v/>
      </c>
      <c r="G436" t="str">
        <f t="shared" si="26"/>
        <v/>
      </c>
      <c r="H436" s="188" t="str">
        <f t="shared" si="27"/>
        <v/>
      </c>
      <c r="I436" s="189"/>
    </row>
    <row r="437" spans="1:9">
      <c r="A437" s="187">
        <v>385</v>
      </c>
      <c r="B437" s="222">
        <v>45585</v>
      </c>
      <c r="C437" s="221">
        <v>114.77731400161326</v>
      </c>
      <c r="D437" s="221">
        <v>40.505689176644211</v>
      </c>
      <c r="E437" s="221">
        <f t="shared" si="28"/>
        <v>40.505689176644211</v>
      </c>
      <c r="F437" s="188" t="str">
        <f t="shared" si="29"/>
        <v/>
      </c>
      <c r="G437" t="str">
        <f t="shared" si="26"/>
        <v/>
      </c>
      <c r="H437" s="188" t="str">
        <f t="shared" si="27"/>
        <v/>
      </c>
      <c r="I437" s="189"/>
    </row>
    <row r="438" spans="1:9">
      <c r="A438" s="187">
        <v>386</v>
      </c>
      <c r="B438" s="222">
        <v>45586</v>
      </c>
      <c r="C438" s="221">
        <v>146.65737781060952</v>
      </c>
      <c r="D438" s="221">
        <v>40.505689176644211</v>
      </c>
      <c r="E438" s="221">
        <f t="shared" si="28"/>
        <v>40.505689176644211</v>
      </c>
      <c r="F438" s="188" t="str">
        <f t="shared" si="29"/>
        <v/>
      </c>
      <c r="G438" t="str">
        <f t="shared" ref="G438:G501" si="30">IF(MONTH(B438)=1,IF(DAY(B438)=1,YEAR(B438),""),"")</f>
        <v/>
      </c>
      <c r="H438" s="188" t="str">
        <f t="shared" si="27"/>
        <v/>
      </c>
      <c r="I438" s="189"/>
    </row>
    <row r="439" spans="1:9">
      <c r="A439" s="187">
        <v>387</v>
      </c>
      <c r="B439" s="222">
        <v>45587</v>
      </c>
      <c r="C439" s="221">
        <v>144.62549306961139</v>
      </c>
      <c r="D439" s="221">
        <v>40.505689176644211</v>
      </c>
      <c r="E439" s="221">
        <f t="shared" si="28"/>
        <v>40.505689176644211</v>
      </c>
      <c r="F439" s="188" t="str">
        <f t="shared" si="29"/>
        <v/>
      </c>
      <c r="G439" t="str">
        <f t="shared" si="30"/>
        <v/>
      </c>
      <c r="H439" s="188" t="str">
        <f t="shared" si="27"/>
        <v/>
      </c>
      <c r="I439" s="189"/>
    </row>
    <row r="440" spans="1:9">
      <c r="A440" s="187">
        <v>388</v>
      </c>
      <c r="B440" s="222">
        <v>45588</v>
      </c>
      <c r="C440" s="221">
        <v>99.303005761531949</v>
      </c>
      <c r="D440" s="221">
        <v>40.505689176644211</v>
      </c>
      <c r="E440" s="221">
        <f t="shared" si="28"/>
        <v>40.505689176644211</v>
      </c>
      <c r="F440" s="188" t="str">
        <f t="shared" si="29"/>
        <v/>
      </c>
      <c r="G440" t="str">
        <f t="shared" si="30"/>
        <v/>
      </c>
      <c r="H440" s="188" t="str">
        <f t="shared" si="27"/>
        <v/>
      </c>
      <c r="I440" s="189"/>
    </row>
    <row r="441" spans="1:9">
      <c r="A441" s="187">
        <v>389</v>
      </c>
      <c r="B441" s="222">
        <v>45589</v>
      </c>
      <c r="C441" s="221">
        <v>89.790892455530084</v>
      </c>
      <c r="D441" s="221">
        <v>40.505689176644211</v>
      </c>
      <c r="E441" s="221">
        <f t="shared" si="28"/>
        <v>40.505689176644211</v>
      </c>
      <c r="F441" s="188" t="str">
        <f t="shared" si="29"/>
        <v/>
      </c>
      <c r="G441" t="str">
        <f t="shared" si="30"/>
        <v/>
      </c>
      <c r="H441" s="188" t="str">
        <f t="shared" si="27"/>
        <v/>
      </c>
      <c r="I441" s="189"/>
    </row>
    <row r="442" spans="1:9">
      <c r="A442" s="187">
        <v>390</v>
      </c>
      <c r="B442" s="222">
        <v>45590</v>
      </c>
      <c r="C442" s="221">
        <v>108.95479519853195</v>
      </c>
      <c r="D442" s="221">
        <v>40.505689176644211</v>
      </c>
      <c r="E442" s="221">
        <f t="shared" si="28"/>
        <v>40.505689176644211</v>
      </c>
      <c r="F442" s="188" t="str">
        <f t="shared" si="29"/>
        <v/>
      </c>
      <c r="G442" t="str">
        <f t="shared" si="30"/>
        <v/>
      </c>
      <c r="H442" s="188" t="str">
        <f t="shared" si="27"/>
        <v/>
      </c>
      <c r="I442" s="189"/>
    </row>
    <row r="443" spans="1:9">
      <c r="A443" s="187">
        <v>391</v>
      </c>
      <c r="B443" s="222">
        <v>45591</v>
      </c>
      <c r="C443" s="221">
        <v>104.75625435853009</v>
      </c>
      <c r="D443" s="221">
        <v>40.505689176644211</v>
      </c>
      <c r="E443" s="221">
        <f t="shared" si="28"/>
        <v>40.505689176644211</v>
      </c>
      <c r="F443" s="188" t="str">
        <f t="shared" si="29"/>
        <v/>
      </c>
      <c r="G443" t="str">
        <f t="shared" si="30"/>
        <v/>
      </c>
      <c r="H443" s="188" t="str">
        <f t="shared" si="27"/>
        <v/>
      </c>
      <c r="I443" s="189"/>
    </row>
    <row r="444" spans="1:9">
      <c r="A444" s="187">
        <v>392</v>
      </c>
      <c r="B444" s="222">
        <v>45592</v>
      </c>
      <c r="C444" s="221">
        <v>100.9805895135338</v>
      </c>
      <c r="D444" s="221">
        <v>40.505689176644211</v>
      </c>
      <c r="E444" s="221">
        <f t="shared" si="28"/>
        <v>40.505689176644211</v>
      </c>
      <c r="F444" s="188" t="str">
        <f t="shared" si="29"/>
        <v/>
      </c>
      <c r="G444" t="str">
        <f t="shared" si="30"/>
        <v/>
      </c>
      <c r="H444" s="188" t="str">
        <f t="shared" si="27"/>
        <v/>
      </c>
      <c r="I444" s="189"/>
    </row>
    <row r="445" spans="1:9">
      <c r="A445" s="187">
        <v>393</v>
      </c>
      <c r="B445" s="222">
        <v>45593</v>
      </c>
      <c r="C445" s="221">
        <v>85.280425566530084</v>
      </c>
      <c r="D445" s="221">
        <v>40.505689176644211</v>
      </c>
      <c r="E445" s="221">
        <f t="shared" si="28"/>
        <v>40.505689176644211</v>
      </c>
      <c r="F445" s="188" t="str">
        <f t="shared" si="29"/>
        <v/>
      </c>
      <c r="G445" t="str">
        <f t="shared" si="30"/>
        <v/>
      </c>
      <c r="H445" s="188" t="str">
        <f t="shared" si="27"/>
        <v/>
      </c>
      <c r="I445" s="189"/>
    </row>
    <row r="446" spans="1:9">
      <c r="A446" s="187">
        <v>394</v>
      </c>
      <c r="B446" s="222">
        <v>45594</v>
      </c>
      <c r="C446" s="221">
        <v>107.49838493853008</v>
      </c>
      <c r="D446" s="221">
        <v>40.505689176644211</v>
      </c>
      <c r="E446" s="221">
        <f t="shared" si="28"/>
        <v>40.505689176644211</v>
      </c>
      <c r="F446" s="188" t="str">
        <f t="shared" si="29"/>
        <v/>
      </c>
      <c r="G446" t="str">
        <f t="shared" si="30"/>
        <v/>
      </c>
      <c r="H446" s="188" t="str">
        <f t="shared" si="27"/>
        <v/>
      </c>
      <c r="I446" s="189"/>
    </row>
    <row r="447" spans="1:9">
      <c r="A447" s="187">
        <v>395</v>
      </c>
      <c r="B447" s="222">
        <v>45595</v>
      </c>
      <c r="C447" s="221">
        <v>114.20029164982061</v>
      </c>
      <c r="D447" s="221">
        <v>40.505689176644211</v>
      </c>
      <c r="E447" s="221">
        <f t="shared" si="28"/>
        <v>40.505689176644211</v>
      </c>
      <c r="F447" s="188" t="str">
        <f t="shared" si="29"/>
        <v/>
      </c>
      <c r="G447" t="str">
        <f t="shared" si="30"/>
        <v/>
      </c>
      <c r="H447" s="188" t="str">
        <f t="shared" si="27"/>
        <v/>
      </c>
      <c r="I447" s="189"/>
    </row>
    <row r="448" spans="1:9">
      <c r="A448" s="187">
        <v>396</v>
      </c>
      <c r="B448" s="222">
        <v>45596</v>
      </c>
      <c r="C448" s="221">
        <v>120.56744921381875</v>
      </c>
      <c r="D448" s="221">
        <v>40.505689176644211</v>
      </c>
      <c r="E448" s="221">
        <f t="shared" si="28"/>
        <v>40.505689176644211</v>
      </c>
      <c r="F448" s="188" t="str">
        <f t="shared" si="29"/>
        <v/>
      </c>
      <c r="G448" t="str">
        <f t="shared" si="30"/>
        <v/>
      </c>
      <c r="H448" s="188" t="str">
        <f t="shared" si="27"/>
        <v/>
      </c>
      <c r="I448" s="189"/>
    </row>
    <row r="449" spans="1:9">
      <c r="A449" s="187">
        <v>397</v>
      </c>
      <c r="B449" s="222">
        <v>45597</v>
      </c>
      <c r="C449" s="221">
        <v>108.72068790582061</v>
      </c>
      <c r="D449" s="221">
        <v>82.040549235563063</v>
      </c>
      <c r="E449" s="221">
        <f t="shared" si="28"/>
        <v>82.040549235563063</v>
      </c>
      <c r="F449" s="188">
        <f t="shared" si="29"/>
        <v>600</v>
      </c>
      <c r="G449" t="str">
        <f t="shared" si="30"/>
        <v/>
      </c>
      <c r="H449" s="188" t="str">
        <f t="shared" si="27"/>
        <v/>
      </c>
      <c r="I449" s="189"/>
    </row>
    <row r="450" spans="1:9">
      <c r="A450" s="187">
        <v>398</v>
      </c>
      <c r="B450" s="222">
        <v>45598</v>
      </c>
      <c r="C450" s="221">
        <v>109.19724974981874</v>
      </c>
      <c r="D450" s="221">
        <v>82.040549235563063</v>
      </c>
      <c r="E450" s="221">
        <f t="shared" si="28"/>
        <v>82.040549235563063</v>
      </c>
      <c r="F450" s="188" t="str">
        <f t="shared" si="29"/>
        <v/>
      </c>
      <c r="G450" t="str">
        <f t="shared" si="30"/>
        <v/>
      </c>
      <c r="H450" s="188" t="str">
        <f t="shared" si="27"/>
        <v/>
      </c>
      <c r="I450" s="189"/>
    </row>
    <row r="451" spans="1:9">
      <c r="A451" s="187">
        <v>399</v>
      </c>
      <c r="B451" s="222">
        <v>45599</v>
      </c>
      <c r="C451" s="221">
        <v>95.714585525818748</v>
      </c>
      <c r="D451" s="221">
        <v>82.040549235563063</v>
      </c>
      <c r="E451" s="221">
        <f t="shared" si="28"/>
        <v>82.040549235563063</v>
      </c>
      <c r="F451" s="188" t="str">
        <f t="shared" si="29"/>
        <v/>
      </c>
      <c r="G451" t="str">
        <f t="shared" si="30"/>
        <v/>
      </c>
      <c r="H451" s="188" t="str">
        <f t="shared" ref="H451:H514" si="31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I451" s="189"/>
    </row>
    <row r="452" spans="1:9">
      <c r="A452" s="187">
        <v>400</v>
      </c>
      <c r="B452" s="222">
        <v>45600</v>
      </c>
      <c r="C452" s="221">
        <v>119.13054744981875</v>
      </c>
      <c r="D452" s="221">
        <v>82.040549235563063</v>
      </c>
      <c r="E452" s="221">
        <f t="shared" si="28"/>
        <v>82.040549235563063</v>
      </c>
      <c r="F452" s="188" t="str">
        <f t="shared" si="29"/>
        <v/>
      </c>
      <c r="G452" t="str">
        <f t="shared" si="30"/>
        <v/>
      </c>
      <c r="H452" s="188" t="str">
        <f t="shared" si="31"/>
        <v/>
      </c>
      <c r="I452" s="189"/>
    </row>
    <row r="453" spans="1:9">
      <c r="A453" s="187">
        <v>401</v>
      </c>
      <c r="B453" s="222">
        <v>45601</v>
      </c>
      <c r="C453" s="221">
        <v>129.5196712458206</v>
      </c>
      <c r="D453" s="221">
        <v>82.040549235563063</v>
      </c>
      <c r="E453" s="221">
        <f t="shared" si="28"/>
        <v>82.040549235563063</v>
      </c>
      <c r="F453" s="188" t="str">
        <f t="shared" si="29"/>
        <v/>
      </c>
      <c r="G453" t="str">
        <f t="shared" si="30"/>
        <v/>
      </c>
      <c r="H453" s="188" t="str">
        <f t="shared" si="31"/>
        <v/>
      </c>
      <c r="I453" s="189"/>
    </row>
    <row r="454" spans="1:9">
      <c r="A454" s="187">
        <v>402</v>
      </c>
      <c r="B454" s="222">
        <v>45602</v>
      </c>
      <c r="C454" s="221">
        <v>87.747738995033558</v>
      </c>
      <c r="D454" s="221">
        <v>82.040549235563063</v>
      </c>
      <c r="E454" s="221">
        <f t="shared" si="28"/>
        <v>82.040549235563063</v>
      </c>
      <c r="F454" s="188" t="str">
        <f t="shared" si="29"/>
        <v/>
      </c>
      <c r="G454" t="str">
        <f t="shared" si="30"/>
        <v/>
      </c>
      <c r="H454" s="188" t="str">
        <f t="shared" si="31"/>
        <v/>
      </c>
      <c r="I454" s="189"/>
    </row>
    <row r="455" spans="1:9">
      <c r="A455" s="187">
        <v>403</v>
      </c>
      <c r="B455" s="222">
        <v>45603</v>
      </c>
      <c r="C455" s="221">
        <v>88.905466919029848</v>
      </c>
      <c r="D455" s="221">
        <v>82.040549235563063</v>
      </c>
      <c r="E455" s="221">
        <f t="shared" si="28"/>
        <v>82.040549235563063</v>
      </c>
      <c r="F455" s="188" t="str">
        <f t="shared" si="29"/>
        <v/>
      </c>
      <c r="G455" t="str">
        <f t="shared" si="30"/>
        <v/>
      </c>
      <c r="H455" s="188" t="str">
        <f t="shared" si="31"/>
        <v/>
      </c>
      <c r="I455" s="189"/>
    </row>
    <row r="456" spans="1:9">
      <c r="A456" s="187">
        <v>404</v>
      </c>
      <c r="B456" s="222">
        <v>45604</v>
      </c>
      <c r="C456" s="221">
        <v>102.83224174303358</v>
      </c>
      <c r="D456" s="221">
        <v>82.040549235563063</v>
      </c>
      <c r="E456" s="221">
        <f t="shared" si="28"/>
        <v>82.040549235563063</v>
      </c>
      <c r="F456" s="188" t="str">
        <f t="shared" si="29"/>
        <v/>
      </c>
      <c r="G456" t="str">
        <f t="shared" si="30"/>
        <v/>
      </c>
      <c r="H456" s="188" t="str">
        <f t="shared" si="31"/>
        <v/>
      </c>
      <c r="I456" s="189"/>
    </row>
    <row r="457" spans="1:9">
      <c r="A457" s="187">
        <v>405</v>
      </c>
      <c r="B457" s="222">
        <v>45605</v>
      </c>
      <c r="C457" s="221">
        <v>68.936405255031715</v>
      </c>
      <c r="D457" s="221">
        <v>82.040549235563063</v>
      </c>
      <c r="E457" s="221">
        <f t="shared" si="28"/>
        <v>68.936405255031715</v>
      </c>
      <c r="F457" s="188" t="str">
        <f t="shared" si="29"/>
        <v/>
      </c>
      <c r="G457" t="str">
        <f t="shared" si="30"/>
        <v/>
      </c>
      <c r="H457" s="188" t="str">
        <f t="shared" si="31"/>
        <v/>
      </c>
      <c r="I457" s="189"/>
    </row>
    <row r="458" spans="1:9">
      <c r="A458" s="187">
        <v>406</v>
      </c>
      <c r="B458" s="222">
        <v>45606</v>
      </c>
      <c r="C458" s="221">
        <v>48.757162151029846</v>
      </c>
      <c r="D458" s="221">
        <v>82.040549235563063</v>
      </c>
      <c r="E458" s="221">
        <f t="shared" si="28"/>
        <v>48.757162151029846</v>
      </c>
      <c r="F458" s="188" t="str">
        <f t="shared" si="29"/>
        <v/>
      </c>
      <c r="G458" t="str">
        <f t="shared" si="30"/>
        <v/>
      </c>
      <c r="H458" s="188" t="str">
        <f t="shared" si="31"/>
        <v/>
      </c>
      <c r="I458" s="189"/>
    </row>
    <row r="459" spans="1:9">
      <c r="A459" s="187">
        <v>407</v>
      </c>
      <c r="B459" s="222">
        <v>45607</v>
      </c>
      <c r="C459" s="221">
        <v>48.689695399035436</v>
      </c>
      <c r="D459" s="221">
        <v>82.040549235563063</v>
      </c>
      <c r="E459" s="221">
        <f t="shared" si="28"/>
        <v>48.689695399035436</v>
      </c>
      <c r="F459" s="188" t="str">
        <f t="shared" si="29"/>
        <v/>
      </c>
      <c r="G459" t="str">
        <f t="shared" si="30"/>
        <v/>
      </c>
      <c r="H459" s="188" t="str">
        <f t="shared" si="31"/>
        <v/>
      </c>
      <c r="I459" s="189"/>
    </row>
    <row r="460" spans="1:9">
      <c r="A460" s="187">
        <v>408</v>
      </c>
      <c r="B460" s="222">
        <v>45608</v>
      </c>
      <c r="C460" s="221">
        <v>40.047803227031707</v>
      </c>
      <c r="D460" s="221">
        <v>82.040549235563063</v>
      </c>
      <c r="E460" s="221">
        <f t="shared" si="28"/>
        <v>40.047803227031707</v>
      </c>
      <c r="F460" s="188" t="str">
        <f t="shared" si="29"/>
        <v/>
      </c>
      <c r="G460" t="str">
        <f t="shared" si="30"/>
        <v/>
      </c>
      <c r="H460" s="188" t="str">
        <f>IF(DAY(B460)=15,IF(MONTH(B460)=1,"E",IF(MONTH(B460)=2,"F",IF(MONTH(B460)=3,"M",IF(MONTH(B460)=4,"A",IF(MONTH(B460)=5,"M",IF(MONTH(B460)=6,"J",IF(MONTH(B460)=7,"J",IF(MONTH(B460)=8,"A",IF(MONTH(B460)=9,"S",IF(MONTH(B460)=10,"O",IF(MONTH(B460)=11,"N",IF(MONTH(B460)=12,"D","")))))))))))),"")</f>
        <v/>
      </c>
      <c r="I460" s="189"/>
    </row>
    <row r="461" spans="1:9">
      <c r="A461" s="187">
        <v>409</v>
      </c>
      <c r="B461" s="222">
        <v>45609</v>
      </c>
      <c r="C461" s="221">
        <v>68.855309445166483</v>
      </c>
      <c r="D461" s="221">
        <v>82.040549235563063</v>
      </c>
      <c r="E461" s="221">
        <f t="shared" si="28"/>
        <v>68.855309445166483</v>
      </c>
      <c r="F461" s="188" t="str">
        <f t="shared" si="29"/>
        <v/>
      </c>
      <c r="G461" t="str">
        <f t="shared" si="30"/>
        <v/>
      </c>
      <c r="H461" s="188" t="str">
        <f t="shared" si="31"/>
        <v/>
      </c>
      <c r="I461" s="189"/>
    </row>
    <row r="462" spans="1:9">
      <c r="A462" s="187">
        <v>410</v>
      </c>
      <c r="B462" s="222">
        <v>45610</v>
      </c>
      <c r="C462" s="221">
        <v>75.299004657168354</v>
      </c>
      <c r="D462" s="221">
        <v>82.040549235563063</v>
      </c>
      <c r="E462" s="221">
        <f t="shared" si="28"/>
        <v>75.299004657168354</v>
      </c>
      <c r="F462" s="188" t="str">
        <f t="shared" si="29"/>
        <v/>
      </c>
      <c r="G462" t="str">
        <f t="shared" si="30"/>
        <v/>
      </c>
      <c r="H462" s="188" t="str">
        <f>IF(DAY(B462)=15,IF(MONTH(B462)=1,"E",IF(MONTH(B462)=2,"F",IF(MONTH(B462)=3,"M",IF(MONTH(B462)=4,"A",IF(MONTH(B462)=5,"M",IF(MONTH(B462)=6,"J",IF(MONTH(B462)=7,"J",IF(MONTH(B462)=8,"A",IF(MONTH(B462)=9,"S",IF(MONTH(B462)=10,"O",IF(MONTH(B462)=11,"N",IF(MONTH(B462)=12,"D","")))))))))))),"")</f>
        <v/>
      </c>
      <c r="I462" s="189"/>
    </row>
    <row r="463" spans="1:9" s="189" customFormat="1">
      <c r="A463" s="187">
        <v>411</v>
      </c>
      <c r="B463" s="222">
        <v>45611</v>
      </c>
      <c r="C463" s="221">
        <v>68.215954553168345</v>
      </c>
      <c r="D463" s="221">
        <v>82.040549235563063</v>
      </c>
      <c r="E463" s="221">
        <f t="shared" si="28"/>
        <v>68.215954553168345</v>
      </c>
      <c r="F463" s="188" t="str">
        <f t="shared" si="29"/>
        <v/>
      </c>
      <c r="G463" t="str">
        <f t="shared" si="30"/>
        <v/>
      </c>
      <c r="H463" s="188" t="str">
        <f>IF(DAY(B463)=15,IF(MONTH(B463)=1,"E",IF(MONTH(B463)=2,"F",IF(MONTH(B463)=3,"M",IF(MONTH(B463)=4,"A",IF(MONTH(B463)=5,"M",IF(MONTH(B463)=6,"J",IF(MONTH(B463)=7,"J",IF(MONTH(B463)=8,"A",IF(MONTH(B463)=9,"S",IF(MONTH(B463)=10,"O",IF(MONTH(B463)=11,"N",IF(MONTH(B463)=12,"D","")))))))))))),"")</f>
        <v>N</v>
      </c>
      <c r="I463" s="189">
        <f>IF(DAY(B463)=15,D463,"")</f>
        <v>82.040549235563063</v>
      </c>
    </row>
    <row r="464" spans="1:9" s="189" customFormat="1">
      <c r="A464" s="187">
        <v>412</v>
      </c>
      <c r="B464" s="222">
        <v>45612</v>
      </c>
      <c r="C464" s="221">
        <v>58.871465425168338</v>
      </c>
      <c r="D464" s="221">
        <v>82.040549235563063</v>
      </c>
      <c r="E464" s="221">
        <f t="shared" si="28"/>
        <v>58.871465425168338</v>
      </c>
      <c r="F464" s="188" t="str">
        <f t="shared" si="29"/>
        <v/>
      </c>
      <c r="G464" t="str">
        <f t="shared" si="30"/>
        <v/>
      </c>
      <c r="H464" s="188" t="str">
        <f t="shared" si="31"/>
        <v/>
      </c>
    </row>
    <row r="465" spans="1:9" s="189" customFormat="1">
      <c r="A465" s="187">
        <v>413</v>
      </c>
      <c r="B465" s="222">
        <v>45613</v>
      </c>
      <c r="C465" s="221">
        <v>58.597059901168336</v>
      </c>
      <c r="D465" s="221">
        <v>82.040549235563063</v>
      </c>
      <c r="E465" s="221">
        <f t="shared" si="28"/>
        <v>58.597059901168336</v>
      </c>
      <c r="F465" s="188" t="str">
        <f t="shared" si="29"/>
        <v/>
      </c>
      <c r="G465" t="str">
        <f t="shared" si="30"/>
        <v/>
      </c>
      <c r="H465" s="188" t="str">
        <f t="shared" si="31"/>
        <v/>
      </c>
    </row>
    <row r="466" spans="1:9" s="189" customFormat="1">
      <c r="A466" s="187">
        <v>414</v>
      </c>
      <c r="B466" s="222">
        <v>45614</v>
      </c>
      <c r="C466" s="221">
        <v>72.038170989168336</v>
      </c>
      <c r="D466" s="221">
        <v>82.040549235563063</v>
      </c>
      <c r="E466" s="221">
        <f t="shared" si="28"/>
        <v>72.038170989168336</v>
      </c>
      <c r="F466" s="188" t="str">
        <f t="shared" si="29"/>
        <v/>
      </c>
      <c r="G466" t="str">
        <f t="shared" si="30"/>
        <v/>
      </c>
      <c r="H466" s="188" t="str">
        <f t="shared" si="31"/>
        <v/>
      </c>
    </row>
    <row r="467" spans="1:9" s="189" customFormat="1">
      <c r="A467" s="187">
        <v>415</v>
      </c>
      <c r="B467" s="222">
        <v>45615</v>
      </c>
      <c r="C467" s="221">
        <v>61.939732837168343</v>
      </c>
      <c r="D467" s="221">
        <v>82.040549235563063</v>
      </c>
      <c r="E467" s="221">
        <f t="shared" si="28"/>
        <v>61.939732837168343</v>
      </c>
      <c r="F467" s="188" t="str">
        <f t="shared" si="29"/>
        <v/>
      </c>
      <c r="G467" t="str">
        <f t="shared" si="30"/>
        <v/>
      </c>
      <c r="H467" s="188" t="str">
        <f t="shared" si="31"/>
        <v/>
      </c>
    </row>
    <row r="468" spans="1:9" s="189" customFormat="1">
      <c r="A468" s="187">
        <v>416</v>
      </c>
      <c r="B468" s="222">
        <v>45616</v>
      </c>
      <c r="C468" s="221">
        <v>57.604023443207126</v>
      </c>
      <c r="D468" s="221">
        <v>82.040549235563063</v>
      </c>
      <c r="E468" s="221">
        <f t="shared" si="28"/>
        <v>57.604023443207126</v>
      </c>
      <c r="F468" s="188" t="str">
        <f t="shared" si="29"/>
        <v/>
      </c>
      <c r="G468" t="str">
        <f t="shared" si="30"/>
        <v/>
      </c>
      <c r="H468" s="188" t="str">
        <f t="shared" si="31"/>
        <v/>
      </c>
    </row>
    <row r="469" spans="1:9" s="189" customFormat="1">
      <c r="A469" s="187">
        <v>417</v>
      </c>
      <c r="B469" s="222">
        <v>45617</v>
      </c>
      <c r="C469" s="221">
        <v>54.52021600720898</v>
      </c>
      <c r="D469" s="221">
        <v>82.040549235563063</v>
      </c>
      <c r="E469" s="221">
        <f t="shared" si="28"/>
        <v>54.52021600720898</v>
      </c>
      <c r="F469" s="188" t="str">
        <f t="shared" si="29"/>
        <v/>
      </c>
      <c r="G469" t="str">
        <f t="shared" si="30"/>
        <v/>
      </c>
      <c r="H469" s="188" t="str">
        <f t="shared" si="31"/>
        <v/>
      </c>
    </row>
    <row r="470" spans="1:9" s="189" customFormat="1">
      <c r="A470" s="187">
        <v>418</v>
      </c>
      <c r="B470" s="222">
        <v>45618</v>
      </c>
      <c r="C470" s="221">
        <v>77.539787579208976</v>
      </c>
      <c r="D470" s="221">
        <v>82.040549235563063</v>
      </c>
      <c r="E470" s="221">
        <f t="shared" si="28"/>
        <v>77.539787579208976</v>
      </c>
      <c r="F470" s="188" t="str">
        <f t="shared" si="29"/>
        <v/>
      </c>
      <c r="G470" t="str">
        <f t="shared" si="30"/>
        <v/>
      </c>
      <c r="H470" s="188" t="str">
        <f t="shared" si="31"/>
        <v/>
      </c>
    </row>
    <row r="471" spans="1:9" s="189" customFormat="1">
      <c r="A471" s="187">
        <v>419</v>
      </c>
      <c r="B471" s="222">
        <v>45619</v>
      </c>
      <c r="C471" s="221">
        <v>43.110696247205254</v>
      </c>
      <c r="D471" s="221">
        <v>82.040549235563063</v>
      </c>
      <c r="E471" s="221">
        <f t="shared" si="28"/>
        <v>43.110696247205254</v>
      </c>
      <c r="F471" s="188" t="str">
        <f t="shared" si="29"/>
        <v/>
      </c>
      <c r="G471" t="str">
        <f t="shared" si="30"/>
        <v/>
      </c>
      <c r="H471" s="188" t="str">
        <f t="shared" si="31"/>
        <v/>
      </c>
    </row>
    <row r="472" spans="1:9" s="189" customFormat="1">
      <c r="A472" s="187">
        <v>420</v>
      </c>
      <c r="B472" s="222">
        <v>45620</v>
      </c>
      <c r="C472" s="221">
        <v>43.692276563208978</v>
      </c>
      <c r="D472" s="221">
        <v>82.040549235563063</v>
      </c>
      <c r="E472" s="221">
        <f t="shared" si="28"/>
        <v>43.692276563208978</v>
      </c>
      <c r="F472" s="188" t="str">
        <f t="shared" si="29"/>
        <v/>
      </c>
      <c r="G472" t="str">
        <f t="shared" si="30"/>
        <v/>
      </c>
      <c r="H472" s="188" t="str">
        <f t="shared" si="31"/>
        <v/>
      </c>
    </row>
    <row r="473" spans="1:9" s="189" customFormat="1">
      <c r="A473" s="187">
        <v>421</v>
      </c>
      <c r="B473" s="222">
        <v>45621</v>
      </c>
      <c r="C473" s="221">
        <v>66.915898435208973</v>
      </c>
      <c r="D473" s="221">
        <v>82.040549235563063</v>
      </c>
      <c r="E473" s="221">
        <f t="shared" si="28"/>
        <v>66.915898435208973</v>
      </c>
      <c r="F473" s="188" t="str">
        <f t="shared" si="29"/>
        <v/>
      </c>
      <c r="G473" t="str">
        <f t="shared" si="30"/>
        <v/>
      </c>
      <c r="H473" s="188" t="str">
        <f t="shared" si="31"/>
        <v/>
      </c>
    </row>
    <row r="474" spans="1:9" s="189" customFormat="1">
      <c r="A474" s="187">
        <v>422</v>
      </c>
      <c r="B474" s="222">
        <v>45622</v>
      </c>
      <c r="C474" s="221">
        <v>92.756794711207121</v>
      </c>
      <c r="D474" s="221">
        <v>82.040549235563063</v>
      </c>
      <c r="E474" s="221">
        <f t="shared" si="28"/>
        <v>82.040549235563063</v>
      </c>
      <c r="F474" s="188" t="str">
        <f t="shared" si="29"/>
        <v/>
      </c>
      <c r="G474" t="str">
        <f t="shared" si="30"/>
        <v/>
      </c>
      <c r="H474" s="188" t="str">
        <f t="shared" si="31"/>
        <v/>
      </c>
    </row>
    <row r="475" spans="1:9" s="189" customFormat="1">
      <c r="A475" s="187">
        <v>423</v>
      </c>
      <c r="B475" s="222">
        <v>45623</v>
      </c>
      <c r="C475" s="221">
        <v>88.907669110948547</v>
      </c>
      <c r="D475" s="221">
        <v>82.040549235563063</v>
      </c>
      <c r="E475" s="221">
        <f t="shared" si="28"/>
        <v>82.040549235563063</v>
      </c>
      <c r="F475" s="188" t="str">
        <f t="shared" si="29"/>
        <v/>
      </c>
      <c r="G475" t="str">
        <f t="shared" si="30"/>
        <v/>
      </c>
      <c r="H475" s="188" t="str">
        <f t="shared" si="31"/>
        <v/>
      </c>
    </row>
    <row r="476" spans="1:9" s="189" customFormat="1">
      <c r="A476" s="187">
        <v>424</v>
      </c>
      <c r="B476" s="222">
        <v>45624</v>
      </c>
      <c r="C476" s="221">
        <v>87.877523222946678</v>
      </c>
      <c r="D476" s="221">
        <v>82.040549235563063</v>
      </c>
      <c r="E476" s="221">
        <f t="shared" si="28"/>
        <v>82.040549235563063</v>
      </c>
      <c r="F476" s="188" t="str">
        <f t="shared" si="29"/>
        <v/>
      </c>
      <c r="G476" t="str">
        <f t="shared" si="30"/>
        <v/>
      </c>
      <c r="H476" s="188" t="str">
        <f t="shared" si="31"/>
        <v/>
      </c>
    </row>
    <row r="477" spans="1:9" s="189" customFormat="1">
      <c r="A477" s="187">
        <v>425</v>
      </c>
      <c r="B477" s="222">
        <v>45625</v>
      </c>
      <c r="C477" s="221">
        <v>83.668051382946686</v>
      </c>
      <c r="D477" s="221">
        <v>82.040549235563063</v>
      </c>
      <c r="E477" s="221">
        <f t="shared" si="28"/>
        <v>82.040549235563063</v>
      </c>
      <c r="F477" s="188" t="str">
        <f t="shared" si="29"/>
        <v/>
      </c>
      <c r="G477" t="str">
        <f t="shared" si="30"/>
        <v/>
      </c>
      <c r="H477" s="188" t="str">
        <f t="shared" si="31"/>
        <v/>
      </c>
    </row>
    <row r="478" spans="1:9" s="189" customFormat="1">
      <c r="A478" s="187">
        <v>426</v>
      </c>
      <c r="B478" s="222">
        <v>45626</v>
      </c>
      <c r="C478" s="221">
        <v>75.554168506946681</v>
      </c>
      <c r="D478" s="221">
        <v>82.040549235563063</v>
      </c>
      <c r="E478" s="221">
        <f t="shared" si="28"/>
        <v>75.554168506946681</v>
      </c>
      <c r="F478" s="188" t="str">
        <f t="shared" si="29"/>
        <v/>
      </c>
      <c r="G478" t="str">
        <f t="shared" si="30"/>
        <v/>
      </c>
      <c r="H478" s="188" t="str">
        <f t="shared" si="31"/>
        <v/>
      </c>
    </row>
    <row r="479" spans="1:9">
      <c r="A479" s="187">
        <v>427</v>
      </c>
      <c r="B479" s="222">
        <v>45627</v>
      </c>
      <c r="C479" s="221">
        <v>83.351727374948538</v>
      </c>
      <c r="D479" s="221">
        <v>104.34579689704225</v>
      </c>
      <c r="E479" s="221">
        <f t="shared" si="28"/>
        <v>83.351727374948538</v>
      </c>
      <c r="F479" s="188">
        <f t="shared" si="29"/>
        <v>600</v>
      </c>
      <c r="G479" t="str">
        <f t="shared" si="30"/>
        <v/>
      </c>
      <c r="H479" s="188" t="str">
        <f t="shared" si="31"/>
        <v/>
      </c>
      <c r="I479" s="189"/>
    </row>
    <row r="480" spans="1:9">
      <c r="A480" s="187">
        <v>428</v>
      </c>
      <c r="B480" s="222">
        <v>45628</v>
      </c>
      <c r="C480" s="221">
        <v>89.505745218946672</v>
      </c>
      <c r="D480" s="221">
        <v>104.34579689704225</v>
      </c>
      <c r="E480" s="221">
        <f t="shared" si="28"/>
        <v>89.505745218946672</v>
      </c>
      <c r="F480" s="188" t="str">
        <f t="shared" si="29"/>
        <v/>
      </c>
      <c r="G480" t="str">
        <f t="shared" si="30"/>
        <v/>
      </c>
      <c r="H480" s="188" t="str">
        <f t="shared" si="31"/>
        <v/>
      </c>
      <c r="I480" s="189"/>
    </row>
    <row r="481" spans="1:9">
      <c r="A481" s="187">
        <v>429</v>
      </c>
      <c r="B481" s="222">
        <v>45629</v>
      </c>
      <c r="C481" s="221">
        <v>85.303495534948539</v>
      </c>
      <c r="D481" s="221">
        <v>104.34579689704225</v>
      </c>
      <c r="E481" s="221">
        <f t="shared" si="28"/>
        <v>85.303495534948539</v>
      </c>
      <c r="F481" s="188" t="str">
        <f t="shared" si="29"/>
        <v/>
      </c>
      <c r="G481" t="str">
        <f t="shared" si="30"/>
        <v/>
      </c>
      <c r="H481" s="188" t="str">
        <f t="shared" si="31"/>
        <v/>
      </c>
      <c r="I481" s="189"/>
    </row>
    <row r="482" spans="1:9">
      <c r="A482" s="187">
        <v>430</v>
      </c>
      <c r="B482" s="222">
        <v>45630</v>
      </c>
      <c r="C482" s="221">
        <v>79.086734727937156</v>
      </c>
      <c r="D482" s="221">
        <v>104.34579689704225</v>
      </c>
      <c r="E482" s="221">
        <f t="shared" si="28"/>
        <v>79.086734727937156</v>
      </c>
      <c r="F482" s="188" t="str">
        <f t="shared" si="29"/>
        <v/>
      </c>
      <c r="G482" t="str">
        <f t="shared" si="30"/>
        <v/>
      </c>
      <c r="H482" s="188" t="str">
        <f t="shared" si="31"/>
        <v/>
      </c>
      <c r="I482" s="189"/>
    </row>
    <row r="483" spans="1:9">
      <c r="A483" s="187">
        <v>431</v>
      </c>
      <c r="B483" s="222">
        <v>45631</v>
      </c>
      <c r="C483" s="221">
        <v>78.93060100793528</v>
      </c>
      <c r="D483" s="221">
        <v>104.34579689704225</v>
      </c>
      <c r="E483" s="221">
        <f t="shared" si="28"/>
        <v>78.93060100793528</v>
      </c>
      <c r="F483" s="188" t="str">
        <f t="shared" si="29"/>
        <v/>
      </c>
      <c r="G483" t="str">
        <f t="shared" si="30"/>
        <v/>
      </c>
      <c r="H483" s="188" t="str">
        <f t="shared" si="31"/>
        <v/>
      </c>
      <c r="I483" s="189"/>
    </row>
    <row r="484" spans="1:9">
      <c r="A484" s="187">
        <v>432</v>
      </c>
      <c r="B484" s="222">
        <v>45632</v>
      </c>
      <c r="C484" s="221">
        <v>64.088982263935293</v>
      </c>
      <c r="D484" s="221">
        <v>104.34579689704225</v>
      </c>
      <c r="E484" s="221">
        <f t="shared" si="28"/>
        <v>64.088982263935293</v>
      </c>
      <c r="F484" s="188" t="str">
        <f t="shared" si="29"/>
        <v/>
      </c>
      <c r="G484" t="str">
        <f t="shared" si="30"/>
        <v/>
      </c>
      <c r="H484" s="188" t="str">
        <f t="shared" si="31"/>
        <v/>
      </c>
      <c r="I484" s="189"/>
    </row>
    <row r="485" spans="1:9">
      <c r="A485" s="187">
        <v>433</v>
      </c>
      <c r="B485" s="222">
        <v>45633</v>
      </c>
      <c r="C485" s="221">
        <v>40.162962339937152</v>
      </c>
      <c r="D485" s="221">
        <v>104.34579689704225</v>
      </c>
      <c r="E485" s="221">
        <f t="shared" si="28"/>
        <v>40.162962339937152</v>
      </c>
      <c r="F485" s="188" t="str">
        <f t="shared" si="29"/>
        <v/>
      </c>
      <c r="G485" t="str">
        <f t="shared" si="30"/>
        <v/>
      </c>
      <c r="H485" s="188" t="str">
        <f t="shared" si="31"/>
        <v/>
      </c>
      <c r="I485" s="189"/>
    </row>
    <row r="486" spans="1:9">
      <c r="A486" s="187">
        <v>434</v>
      </c>
      <c r="B486" s="222">
        <v>45634</v>
      </c>
      <c r="C486" s="221">
        <v>38.804149971937157</v>
      </c>
      <c r="D486" s="221">
        <v>104.34579689704225</v>
      </c>
      <c r="E486" s="221">
        <f t="shared" si="28"/>
        <v>38.804149971937157</v>
      </c>
      <c r="F486" s="188" t="str">
        <f t="shared" si="29"/>
        <v/>
      </c>
      <c r="G486" t="str">
        <f t="shared" si="30"/>
        <v/>
      </c>
      <c r="H486" s="188" t="str">
        <f t="shared" si="31"/>
        <v/>
      </c>
      <c r="I486" s="189"/>
    </row>
    <row r="487" spans="1:9">
      <c r="A487" s="187">
        <v>435</v>
      </c>
      <c r="B487" s="222">
        <v>45635</v>
      </c>
      <c r="C487" s="221">
        <v>63.322006991937151</v>
      </c>
      <c r="D487" s="221">
        <v>104.34579689704225</v>
      </c>
      <c r="E487" s="221">
        <f t="shared" si="28"/>
        <v>63.322006991937151</v>
      </c>
      <c r="F487" s="188" t="str">
        <f t="shared" si="29"/>
        <v/>
      </c>
      <c r="G487" t="str">
        <f t="shared" si="30"/>
        <v/>
      </c>
      <c r="H487" s="188" t="str">
        <f t="shared" si="31"/>
        <v/>
      </c>
      <c r="I487" s="189"/>
    </row>
    <row r="488" spans="1:9">
      <c r="A488" s="187">
        <v>436</v>
      </c>
      <c r="B488" s="222">
        <v>45636</v>
      </c>
      <c r="C488" s="221">
        <v>102.49785781593529</v>
      </c>
      <c r="D488" s="221">
        <v>104.34579689704225</v>
      </c>
      <c r="E488" s="221">
        <f t="shared" si="28"/>
        <v>102.49785781593529</v>
      </c>
      <c r="F488" s="188" t="str">
        <f t="shared" si="29"/>
        <v/>
      </c>
      <c r="G488" t="str">
        <f t="shared" si="30"/>
        <v/>
      </c>
      <c r="H488" s="188" t="str">
        <f t="shared" si="31"/>
        <v/>
      </c>
      <c r="I488" s="189"/>
    </row>
    <row r="489" spans="1:9">
      <c r="A489" s="187">
        <v>437</v>
      </c>
      <c r="B489" s="222">
        <v>45637</v>
      </c>
      <c r="C489" s="221">
        <v>108.2293404624332</v>
      </c>
      <c r="D489" s="221">
        <v>104.34579689704225</v>
      </c>
      <c r="E489" s="221">
        <f t="shared" si="28"/>
        <v>104.34579689704225</v>
      </c>
      <c r="F489" s="188" t="str">
        <f t="shared" si="29"/>
        <v/>
      </c>
      <c r="G489" t="str">
        <f t="shared" si="30"/>
        <v/>
      </c>
      <c r="H489" s="188" t="str">
        <f t="shared" si="31"/>
        <v/>
      </c>
      <c r="I489" s="189"/>
    </row>
    <row r="490" spans="1:9">
      <c r="A490" s="187">
        <v>438</v>
      </c>
      <c r="B490" s="222">
        <v>45638</v>
      </c>
      <c r="C490" s="221">
        <v>113.80277490243134</v>
      </c>
      <c r="D490" s="221">
        <v>104.34579689704225</v>
      </c>
      <c r="E490" s="221">
        <f t="shared" si="28"/>
        <v>104.34579689704225</v>
      </c>
      <c r="F490" s="188" t="str">
        <f t="shared" si="29"/>
        <v/>
      </c>
      <c r="G490" t="str">
        <f t="shared" si="30"/>
        <v/>
      </c>
      <c r="H490" s="188" t="str">
        <f t="shared" si="31"/>
        <v/>
      </c>
      <c r="I490" s="189"/>
    </row>
    <row r="491" spans="1:9">
      <c r="A491" s="187">
        <v>439</v>
      </c>
      <c r="B491" s="222">
        <v>45639</v>
      </c>
      <c r="C491" s="221">
        <v>110.82258629043135</v>
      </c>
      <c r="D491" s="221">
        <v>104.34579689704225</v>
      </c>
      <c r="E491" s="221">
        <f t="shared" si="28"/>
        <v>104.34579689704225</v>
      </c>
      <c r="F491" s="188" t="str">
        <f t="shared" si="29"/>
        <v/>
      </c>
      <c r="G491" t="str">
        <f t="shared" si="30"/>
        <v/>
      </c>
      <c r="H491" s="188" t="str">
        <f t="shared" si="31"/>
        <v/>
      </c>
      <c r="I491" s="189"/>
    </row>
    <row r="492" spans="1:9">
      <c r="A492" s="187">
        <v>440</v>
      </c>
      <c r="B492" s="222">
        <v>45640</v>
      </c>
      <c r="C492" s="221">
        <v>80.227083350431329</v>
      </c>
      <c r="D492" s="221">
        <v>104.34579689704225</v>
      </c>
      <c r="E492" s="221">
        <f t="shared" si="28"/>
        <v>80.227083350431329</v>
      </c>
      <c r="F492" s="188" t="str">
        <f t="shared" si="29"/>
        <v/>
      </c>
      <c r="G492" t="str">
        <f t="shared" si="30"/>
        <v/>
      </c>
      <c r="H492" s="188" t="str">
        <f t="shared" si="31"/>
        <v/>
      </c>
      <c r="I492" s="189"/>
    </row>
    <row r="493" spans="1:9">
      <c r="A493" s="187">
        <v>441</v>
      </c>
      <c r="B493" s="222">
        <v>45641</v>
      </c>
      <c r="C493" s="221">
        <v>39.7176590744332</v>
      </c>
      <c r="D493" s="221">
        <v>104.34579689704225</v>
      </c>
      <c r="E493" s="221">
        <f t="shared" si="28"/>
        <v>39.7176590744332</v>
      </c>
      <c r="F493" s="188" t="str">
        <f t="shared" si="29"/>
        <v/>
      </c>
      <c r="G493" t="str">
        <f t="shared" si="30"/>
        <v/>
      </c>
      <c r="H493" s="188" t="str">
        <f>IF(DAY(B493)=15,IF(MONTH(B493)=1,"E",IF(MONTH(B493)=2,"F",IF(MONTH(B493)=3,"M",IF(MONTH(B493)=4,"A",IF(MONTH(B493)=5,"M",IF(MONTH(B493)=6,"J",IF(MONTH(B493)=7,"J",IF(MONTH(B493)=8,"A",IF(MONTH(B493)=9,"S",IF(MONTH(B493)=10,"O",IF(MONTH(B493)=11,"N",IF(MONTH(B493)=12,"D","")))))))))))),"")</f>
        <v>D</v>
      </c>
      <c r="I493" s="189">
        <f>IF(DAY(B493)=15,D493,"")</f>
        <v>104.34579689704225</v>
      </c>
    </row>
    <row r="494" spans="1:9">
      <c r="A494" s="187">
        <v>442</v>
      </c>
      <c r="B494" s="222">
        <v>45642</v>
      </c>
      <c r="C494" s="221">
        <v>64.088950914433198</v>
      </c>
      <c r="D494" s="221">
        <v>104.34579689704225</v>
      </c>
      <c r="E494" s="221">
        <f t="shared" si="28"/>
        <v>64.088950914433198</v>
      </c>
      <c r="F494" s="188" t="str">
        <f t="shared" si="29"/>
        <v/>
      </c>
      <c r="G494" t="str">
        <f t="shared" si="30"/>
        <v/>
      </c>
      <c r="H494" s="188" t="str">
        <f t="shared" si="31"/>
        <v/>
      </c>
      <c r="I494" s="189"/>
    </row>
    <row r="495" spans="1:9" s="189" customFormat="1">
      <c r="A495" s="187">
        <v>443</v>
      </c>
      <c r="B495" s="222">
        <v>45643</v>
      </c>
      <c r="C495" s="221">
        <v>70.47621098243134</v>
      </c>
      <c r="D495" s="221">
        <v>104.34579689704225</v>
      </c>
      <c r="E495" s="221">
        <f t="shared" si="28"/>
        <v>70.47621098243134</v>
      </c>
      <c r="F495" s="188" t="str">
        <f t="shared" si="29"/>
        <v/>
      </c>
      <c r="G495" t="str">
        <f t="shared" si="30"/>
        <v/>
      </c>
      <c r="H495" s="188" t="str">
        <f t="shared" si="31"/>
        <v/>
      </c>
    </row>
    <row r="496" spans="1:9" s="189" customFormat="1">
      <c r="A496" s="187">
        <v>444</v>
      </c>
      <c r="B496" s="222">
        <v>45644</v>
      </c>
      <c r="C496" s="221">
        <v>92.598211698818446</v>
      </c>
      <c r="D496" s="221">
        <v>104.34579689704225</v>
      </c>
      <c r="E496" s="221">
        <f t="shared" si="28"/>
        <v>92.598211698818446</v>
      </c>
      <c r="F496" s="188" t="str">
        <f t="shared" si="29"/>
        <v/>
      </c>
      <c r="G496" t="str">
        <f t="shared" si="30"/>
        <v/>
      </c>
      <c r="H496" s="188" t="str">
        <f t="shared" si="31"/>
        <v/>
      </c>
    </row>
    <row r="497" spans="1:9" s="189" customFormat="1">
      <c r="A497" s="187">
        <v>445</v>
      </c>
      <c r="B497" s="222">
        <v>45645</v>
      </c>
      <c r="C497" s="221">
        <v>75.712627666816587</v>
      </c>
      <c r="D497" s="221">
        <v>104.34579689704225</v>
      </c>
      <c r="E497" s="221">
        <f t="shared" si="28"/>
        <v>75.712627666816587</v>
      </c>
      <c r="F497" s="188" t="str">
        <f t="shared" si="29"/>
        <v/>
      </c>
      <c r="G497" t="str">
        <f t="shared" si="30"/>
        <v/>
      </c>
      <c r="H497" s="188" t="str">
        <f t="shared" si="31"/>
        <v/>
      </c>
    </row>
    <row r="498" spans="1:9" s="189" customFormat="1">
      <c r="A498" s="187">
        <v>446</v>
      </c>
      <c r="B498" s="222">
        <v>45646</v>
      </c>
      <c r="C498" s="221">
        <v>92.45569500281843</v>
      </c>
      <c r="D498" s="221">
        <v>104.34579689704225</v>
      </c>
      <c r="E498" s="221">
        <f t="shared" si="28"/>
        <v>92.45569500281843</v>
      </c>
      <c r="F498" s="188" t="str">
        <f t="shared" si="29"/>
        <v/>
      </c>
      <c r="G498" t="str">
        <f t="shared" si="30"/>
        <v/>
      </c>
      <c r="H498" s="188" t="str">
        <f t="shared" si="31"/>
        <v/>
      </c>
    </row>
    <row r="499" spans="1:9" s="189" customFormat="1">
      <c r="A499" s="187">
        <v>447</v>
      </c>
      <c r="B499" s="222">
        <v>45647</v>
      </c>
      <c r="C499" s="221">
        <v>78.206707970816581</v>
      </c>
      <c r="D499" s="221">
        <v>104.34579689704225</v>
      </c>
      <c r="E499" s="221">
        <f t="shared" si="28"/>
        <v>78.206707970816581</v>
      </c>
      <c r="F499" s="188" t="str">
        <f t="shared" si="29"/>
        <v/>
      </c>
      <c r="G499" t="str">
        <f t="shared" si="30"/>
        <v/>
      </c>
      <c r="H499" s="188" t="str">
        <f t="shared" si="31"/>
        <v/>
      </c>
    </row>
    <row r="500" spans="1:9" s="189" customFormat="1">
      <c r="A500" s="187">
        <v>448</v>
      </c>
      <c r="B500" s="222">
        <v>45648</v>
      </c>
      <c r="C500" s="221">
        <v>61.799051530818438</v>
      </c>
      <c r="D500" s="221">
        <v>104.34579689704225</v>
      </c>
      <c r="E500" s="221">
        <f t="shared" ref="E500:E563" si="32">IF(C500&lt;D500,C500,D500)</f>
        <v>61.799051530818438</v>
      </c>
      <c r="F500" s="188" t="str">
        <f t="shared" ref="F500:F563" si="33">IF(DAY(B500)=1,600,"")</f>
        <v/>
      </c>
      <c r="G500" t="str">
        <f t="shared" si="30"/>
        <v/>
      </c>
      <c r="H500" s="188" t="str">
        <f t="shared" si="31"/>
        <v/>
      </c>
    </row>
    <row r="501" spans="1:9" s="189" customFormat="1">
      <c r="A501" s="187">
        <v>449</v>
      </c>
      <c r="B501" s="222">
        <v>45649</v>
      </c>
      <c r="C501" s="221">
        <v>57.386626711818444</v>
      </c>
      <c r="D501" s="221">
        <v>104.34579689704225</v>
      </c>
      <c r="E501" s="221">
        <f t="shared" si="32"/>
        <v>57.386626711818444</v>
      </c>
      <c r="F501" s="188" t="str">
        <f t="shared" si="33"/>
        <v/>
      </c>
      <c r="G501" t="str">
        <f t="shared" si="30"/>
        <v/>
      </c>
      <c r="H501" s="188" t="str">
        <f t="shared" si="31"/>
        <v/>
      </c>
    </row>
    <row r="502" spans="1:9" s="189" customFormat="1">
      <c r="A502" s="187">
        <v>450</v>
      </c>
      <c r="B502" s="222">
        <v>45650</v>
      </c>
      <c r="C502" s="221">
        <v>52.449582449816582</v>
      </c>
      <c r="D502" s="221">
        <v>104.34579689704225</v>
      </c>
      <c r="E502" s="221">
        <f t="shared" si="32"/>
        <v>52.449582449816582</v>
      </c>
      <c r="F502" s="188" t="str">
        <f t="shared" si="33"/>
        <v/>
      </c>
      <c r="G502" t="str">
        <f t="shared" ref="G502:G565" si="34">IF(MONTH(B502)=1,IF(DAY(B502)=1,YEAR(B502),""),"")</f>
        <v/>
      </c>
      <c r="H502" s="188" t="str">
        <f t="shared" si="31"/>
        <v/>
      </c>
    </row>
    <row r="503" spans="1:9" s="189" customFormat="1">
      <c r="A503" s="187">
        <v>451</v>
      </c>
      <c r="B503" s="222">
        <v>45651</v>
      </c>
      <c r="C503" s="221">
        <v>61.08341566762121</v>
      </c>
      <c r="D503" s="221">
        <v>104.34579689704225</v>
      </c>
      <c r="E503" s="221">
        <f t="shared" si="32"/>
        <v>61.08341566762121</v>
      </c>
      <c r="F503" s="188" t="str">
        <f t="shared" si="33"/>
        <v/>
      </c>
      <c r="G503" t="str">
        <f t="shared" si="34"/>
        <v/>
      </c>
      <c r="H503" s="188" t="str">
        <f t="shared" si="31"/>
        <v/>
      </c>
    </row>
    <row r="504" spans="1:9" s="189" customFormat="1">
      <c r="A504" s="187">
        <v>452</v>
      </c>
      <c r="B504" s="222">
        <v>45652</v>
      </c>
      <c r="C504" s="221">
        <v>89.46091912362121</v>
      </c>
      <c r="D504" s="221">
        <v>104.34579689704225</v>
      </c>
      <c r="E504" s="221">
        <f t="shared" si="32"/>
        <v>89.46091912362121</v>
      </c>
      <c r="F504" s="188" t="str">
        <f t="shared" si="33"/>
        <v/>
      </c>
      <c r="G504" t="str">
        <f t="shared" si="34"/>
        <v/>
      </c>
      <c r="H504" s="188" t="str">
        <f t="shared" si="31"/>
        <v/>
      </c>
    </row>
    <row r="505" spans="1:9" s="189" customFormat="1">
      <c r="A505" s="187">
        <v>453</v>
      </c>
      <c r="B505" s="222">
        <v>45653</v>
      </c>
      <c r="C505" s="221">
        <v>90.775996751621207</v>
      </c>
      <c r="D505" s="221">
        <v>104.34579689704225</v>
      </c>
      <c r="E505" s="221">
        <f t="shared" si="32"/>
        <v>90.775996751621207</v>
      </c>
      <c r="F505" s="188" t="str">
        <f t="shared" si="33"/>
        <v/>
      </c>
      <c r="G505" t="str">
        <f t="shared" si="34"/>
        <v/>
      </c>
      <c r="H505" s="188" t="str">
        <f t="shared" si="31"/>
        <v/>
      </c>
    </row>
    <row r="506" spans="1:9" s="189" customFormat="1">
      <c r="A506" s="187">
        <v>454</v>
      </c>
      <c r="B506" s="222">
        <v>45654</v>
      </c>
      <c r="C506" s="221">
        <v>93.651292132621208</v>
      </c>
      <c r="D506" s="221">
        <v>104.34579689704225</v>
      </c>
      <c r="E506" s="221">
        <f t="shared" si="32"/>
        <v>93.651292132621208</v>
      </c>
      <c r="F506" s="188" t="str">
        <f t="shared" si="33"/>
        <v/>
      </c>
      <c r="G506" t="str">
        <f t="shared" si="34"/>
        <v/>
      </c>
      <c r="H506" s="188" t="str">
        <f t="shared" si="31"/>
        <v/>
      </c>
    </row>
    <row r="507" spans="1:9" s="189" customFormat="1">
      <c r="A507" s="187">
        <v>455</v>
      </c>
      <c r="B507" s="222">
        <v>45655</v>
      </c>
      <c r="C507" s="221">
        <v>85.887283035621209</v>
      </c>
      <c r="D507" s="221">
        <v>104.34579689704225</v>
      </c>
      <c r="E507" s="221">
        <f t="shared" si="32"/>
        <v>85.887283035621209</v>
      </c>
      <c r="F507" s="188" t="str">
        <f t="shared" si="33"/>
        <v/>
      </c>
      <c r="G507" t="str">
        <f t="shared" si="34"/>
        <v/>
      </c>
      <c r="H507" s="188" t="str">
        <f t="shared" si="31"/>
        <v/>
      </c>
    </row>
    <row r="508" spans="1:9" s="189" customFormat="1">
      <c r="A508" s="187">
        <v>456</v>
      </c>
      <c r="B508" s="222">
        <v>45656</v>
      </c>
      <c r="C508" s="221">
        <v>98.553430639621212</v>
      </c>
      <c r="D508" s="221">
        <v>104.34579689704225</v>
      </c>
      <c r="E508" s="221">
        <f t="shared" si="32"/>
        <v>98.553430639621212</v>
      </c>
      <c r="F508" s="188" t="str">
        <f t="shared" si="33"/>
        <v/>
      </c>
      <c r="G508" t="str">
        <f t="shared" si="34"/>
        <v/>
      </c>
      <c r="H508" s="188" t="str">
        <f t="shared" si="31"/>
        <v/>
      </c>
    </row>
    <row r="509" spans="1:9" s="189" customFormat="1">
      <c r="A509" s="187">
        <v>457</v>
      </c>
      <c r="B509" s="222">
        <v>45657</v>
      </c>
      <c r="C509" s="221">
        <v>93.224963215623077</v>
      </c>
      <c r="D509" s="221">
        <v>104.34579689704225</v>
      </c>
      <c r="E509" s="221">
        <f t="shared" si="32"/>
        <v>93.224963215623077</v>
      </c>
      <c r="F509" s="188" t="str">
        <f t="shared" si="33"/>
        <v/>
      </c>
      <c r="G509" t="str">
        <f t="shared" si="34"/>
        <v/>
      </c>
      <c r="H509" s="188" t="str">
        <f t="shared" si="31"/>
        <v/>
      </c>
    </row>
    <row r="510" spans="1:9" s="189" customFormat="1">
      <c r="A510" s="187">
        <v>458</v>
      </c>
      <c r="B510" s="222">
        <v>45658</v>
      </c>
      <c r="C510" s="221">
        <v>53.764441277254129</v>
      </c>
      <c r="D510" s="221">
        <v>119.24912559323448</v>
      </c>
      <c r="E510" s="221">
        <f t="shared" si="32"/>
        <v>53.764441277254129</v>
      </c>
      <c r="F510" s="188">
        <f t="shared" si="33"/>
        <v>600</v>
      </c>
      <c r="G510">
        <f t="shared" si="34"/>
        <v>2025</v>
      </c>
      <c r="H510" s="188" t="str">
        <f t="shared" si="31"/>
        <v/>
      </c>
    </row>
    <row r="511" spans="1:9">
      <c r="A511" s="187">
        <v>459</v>
      </c>
      <c r="B511" s="222">
        <v>45659</v>
      </c>
      <c r="C511" s="221">
        <v>69.234749627254118</v>
      </c>
      <c r="D511" s="221">
        <v>119.24912559323448</v>
      </c>
      <c r="E511" s="221">
        <f t="shared" si="32"/>
        <v>69.234749627254118</v>
      </c>
      <c r="F511" s="188" t="str">
        <f t="shared" si="33"/>
        <v/>
      </c>
      <c r="G511" t="str">
        <f t="shared" si="34"/>
        <v/>
      </c>
      <c r="H511" s="188" t="str">
        <f t="shared" si="31"/>
        <v/>
      </c>
      <c r="I511" s="189"/>
    </row>
    <row r="512" spans="1:9">
      <c r="A512" s="187">
        <v>460</v>
      </c>
      <c r="B512" s="222">
        <v>45660</v>
      </c>
      <c r="C512" s="221">
        <v>66.199535153254118</v>
      </c>
      <c r="D512" s="221">
        <v>119.24912559323448</v>
      </c>
      <c r="E512" s="221">
        <f t="shared" si="32"/>
        <v>66.199535153254118</v>
      </c>
      <c r="F512" s="188" t="str">
        <f t="shared" si="33"/>
        <v/>
      </c>
      <c r="G512" t="str">
        <f t="shared" si="34"/>
        <v/>
      </c>
      <c r="H512" s="188" t="str">
        <f t="shared" si="31"/>
        <v/>
      </c>
      <c r="I512" s="189"/>
    </row>
    <row r="513" spans="1:9">
      <c r="A513" s="187">
        <v>461</v>
      </c>
      <c r="B513" s="222">
        <v>45661</v>
      </c>
      <c r="C513" s="221">
        <v>75.288390178257842</v>
      </c>
      <c r="D513" s="221">
        <v>119.24912559323448</v>
      </c>
      <c r="E513" s="221">
        <f t="shared" si="32"/>
        <v>75.288390178257842</v>
      </c>
      <c r="F513" s="188" t="str">
        <f t="shared" si="33"/>
        <v/>
      </c>
      <c r="G513" t="str">
        <f t="shared" si="34"/>
        <v/>
      </c>
      <c r="H513" s="188" t="str">
        <f t="shared" si="31"/>
        <v/>
      </c>
      <c r="I513" s="189"/>
    </row>
    <row r="514" spans="1:9">
      <c r="A514" s="187">
        <v>462</v>
      </c>
      <c r="B514" s="222">
        <v>45662</v>
      </c>
      <c r="C514" s="221">
        <v>41.450572590254126</v>
      </c>
      <c r="D514" s="221">
        <v>119.24912559323448</v>
      </c>
      <c r="E514" s="221">
        <f t="shared" si="32"/>
        <v>41.450572590254126</v>
      </c>
      <c r="F514" s="188" t="str">
        <f t="shared" si="33"/>
        <v/>
      </c>
      <c r="G514" t="str">
        <f t="shared" si="34"/>
        <v/>
      </c>
      <c r="H514" s="188" t="str">
        <f t="shared" si="31"/>
        <v/>
      </c>
      <c r="I514" s="189"/>
    </row>
    <row r="515" spans="1:9">
      <c r="A515" s="187">
        <v>463</v>
      </c>
      <c r="B515" s="222">
        <v>45663</v>
      </c>
      <c r="C515" s="221">
        <v>49.20759138225413</v>
      </c>
      <c r="D515" s="221">
        <v>119.24912559323448</v>
      </c>
      <c r="E515" s="221">
        <f t="shared" si="32"/>
        <v>49.20759138225413</v>
      </c>
      <c r="F515" s="188" t="str">
        <f t="shared" si="33"/>
        <v/>
      </c>
      <c r="G515" t="str">
        <f t="shared" si="34"/>
        <v/>
      </c>
      <c r="H515" s="188" t="str">
        <f t="shared" ref="H515:H578" si="35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I515" s="189"/>
    </row>
    <row r="516" spans="1:9">
      <c r="A516" s="187">
        <v>464</v>
      </c>
      <c r="B516" s="222">
        <v>45664</v>
      </c>
      <c r="C516" s="221">
        <v>67.076790990255986</v>
      </c>
      <c r="D516" s="221">
        <v>119.24912559323448</v>
      </c>
      <c r="E516" s="221">
        <f t="shared" si="32"/>
        <v>67.076790990255986</v>
      </c>
      <c r="F516" s="188" t="str">
        <f t="shared" si="33"/>
        <v/>
      </c>
      <c r="G516" t="str">
        <f t="shared" si="34"/>
        <v/>
      </c>
      <c r="H516" s="188" t="str">
        <f t="shared" si="35"/>
        <v/>
      </c>
      <c r="I516" s="189"/>
    </row>
    <row r="517" spans="1:9">
      <c r="A517" s="187">
        <v>465</v>
      </c>
      <c r="B517" s="222">
        <v>45665</v>
      </c>
      <c r="C517" s="221">
        <v>136.52447012135673</v>
      </c>
      <c r="D517" s="221">
        <v>119.24912559323448</v>
      </c>
      <c r="E517" s="221">
        <f t="shared" si="32"/>
        <v>119.24912559323448</v>
      </c>
      <c r="F517" s="188" t="str">
        <f t="shared" si="33"/>
        <v/>
      </c>
      <c r="G517" t="str">
        <f t="shared" si="34"/>
        <v/>
      </c>
      <c r="H517" s="188" t="str">
        <f t="shared" si="35"/>
        <v/>
      </c>
      <c r="I517" s="189"/>
    </row>
    <row r="518" spans="1:9">
      <c r="A518" s="187">
        <v>466</v>
      </c>
      <c r="B518" s="222">
        <v>45666</v>
      </c>
      <c r="C518" s="221">
        <v>137.15978352435482</v>
      </c>
      <c r="D518" s="221">
        <v>119.24912559323448</v>
      </c>
      <c r="E518" s="221">
        <f t="shared" si="32"/>
        <v>119.24912559323448</v>
      </c>
      <c r="F518" s="188" t="str">
        <f t="shared" si="33"/>
        <v/>
      </c>
      <c r="G518" t="str">
        <f t="shared" si="34"/>
        <v/>
      </c>
      <c r="H518" s="188" t="str">
        <f t="shared" si="35"/>
        <v/>
      </c>
      <c r="I518" s="189"/>
    </row>
    <row r="519" spans="1:9">
      <c r="A519" s="187">
        <v>467</v>
      </c>
      <c r="B519" s="222">
        <v>45667</v>
      </c>
      <c r="C519" s="221">
        <v>160.75150758735668</v>
      </c>
      <c r="D519" s="221">
        <v>119.24912559323448</v>
      </c>
      <c r="E519" s="221">
        <f t="shared" si="32"/>
        <v>119.24912559323448</v>
      </c>
      <c r="F519" s="188" t="str">
        <f t="shared" si="33"/>
        <v/>
      </c>
      <c r="G519" t="str">
        <f t="shared" si="34"/>
        <v/>
      </c>
      <c r="H519" s="188" t="str">
        <f t="shared" si="35"/>
        <v/>
      </c>
      <c r="I519" s="189"/>
    </row>
    <row r="520" spans="1:9">
      <c r="A520" s="187">
        <v>468</v>
      </c>
      <c r="B520" s="222">
        <v>45668</v>
      </c>
      <c r="C520" s="221">
        <v>126.24398214435671</v>
      </c>
      <c r="D520" s="221">
        <v>119.24912559323448</v>
      </c>
      <c r="E520" s="221">
        <f t="shared" si="32"/>
        <v>119.24912559323448</v>
      </c>
      <c r="F520" s="188" t="str">
        <f t="shared" si="33"/>
        <v/>
      </c>
      <c r="G520" t="str">
        <f t="shared" si="34"/>
        <v/>
      </c>
      <c r="H520" s="188" t="str">
        <f t="shared" si="35"/>
        <v/>
      </c>
      <c r="I520" s="189"/>
    </row>
    <row r="521" spans="1:9">
      <c r="A521" s="187">
        <v>469</v>
      </c>
      <c r="B521" s="222">
        <v>45669</v>
      </c>
      <c r="C521" s="221">
        <v>111.39764761635669</v>
      </c>
      <c r="D521" s="221">
        <v>119.24912559323448</v>
      </c>
      <c r="E521" s="221">
        <f t="shared" si="32"/>
        <v>111.39764761635669</v>
      </c>
      <c r="F521" s="188" t="str">
        <f t="shared" si="33"/>
        <v/>
      </c>
      <c r="G521" t="str">
        <f t="shared" si="34"/>
        <v/>
      </c>
      <c r="H521" s="188" t="str">
        <f>IF(DAY(B521)=15,IF(MONTH(B521)=1,"E",IF(MONTH(B521)=2,"F",IF(MONTH(B521)=3,"M",IF(MONTH(B521)=4,"A",IF(MONTH(B521)=5,"M",IF(MONTH(B521)=6,"J",IF(MONTH(B521)=7,"J",IF(MONTH(B521)=8,"A",IF(MONTH(B521)=9,"S",IF(MONTH(B521)=10,"O",IF(MONTH(B521)=11,"N",IF(MONTH(B521)=12,"D","")))))))))))),"")</f>
        <v/>
      </c>
      <c r="I521" s="189"/>
    </row>
    <row r="522" spans="1:9">
      <c r="A522" s="187">
        <v>470</v>
      </c>
      <c r="B522" s="222">
        <v>45670</v>
      </c>
      <c r="C522" s="221">
        <v>151.45372460435669</v>
      </c>
      <c r="D522" s="221">
        <v>119.24912559323448</v>
      </c>
      <c r="E522" s="221">
        <f t="shared" si="32"/>
        <v>119.24912559323448</v>
      </c>
      <c r="F522" s="188" t="str">
        <f t="shared" si="33"/>
        <v/>
      </c>
      <c r="G522" t="str">
        <f t="shared" si="34"/>
        <v/>
      </c>
      <c r="H522" s="188" t="str">
        <f t="shared" si="35"/>
        <v/>
      </c>
      <c r="I522" s="189"/>
    </row>
    <row r="523" spans="1:9">
      <c r="A523" s="187">
        <v>471</v>
      </c>
      <c r="B523" s="222">
        <v>45671</v>
      </c>
      <c r="C523" s="221">
        <v>166.9272434003567</v>
      </c>
      <c r="D523" s="221">
        <v>119.24912559323448</v>
      </c>
      <c r="E523" s="221">
        <f t="shared" si="32"/>
        <v>119.24912559323448</v>
      </c>
      <c r="F523" s="188" t="str">
        <f t="shared" si="33"/>
        <v/>
      </c>
      <c r="G523" t="str">
        <f t="shared" si="34"/>
        <v/>
      </c>
      <c r="H523" s="188" t="str">
        <f>IF(DAY(B523)=15,IF(MONTH(B523)=1,"E",IF(MONTH(B523)=2,"F",IF(MONTH(B523)=3,"M",IF(MONTH(B523)=4,"A",IF(MONTH(B523)=5,"M",IF(MONTH(B523)=6,"J",IF(MONTH(B523)=7,"J",IF(MONTH(B523)=8,"A",IF(MONTH(B523)=9,"S",IF(MONTH(B523)=10,"O",IF(MONTH(B523)=11,"N",IF(MONTH(B523)=12,"D","")))))))))))),"")</f>
        <v/>
      </c>
      <c r="I523" s="189"/>
    </row>
    <row r="524" spans="1:9">
      <c r="A524" s="187">
        <v>472</v>
      </c>
      <c r="B524" s="222">
        <v>45672</v>
      </c>
      <c r="C524" s="221">
        <v>102.28984713263283</v>
      </c>
      <c r="D524" s="221">
        <v>119.24912559323448</v>
      </c>
      <c r="E524" s="221">
        <f t="shared" si="32"/>
        <v>102.28984713263283</v>
      </c>
      <c r="F524" s="188" t="str">
        <f t="shared" si="33"/>
        <v/>
      </c>
      <c r="G524" t="str">
        <f t="shared" si="34"/>
        <v/>
      </c>
      <c r="H524" s="188" t="str">
        <f>IF(DAY(B524)=15,IF(MONTH(B524)=1,"E",IF(MONTH(B524)=2,"F",IF(MONTH(B524)=3,"M",IF(MONTH(B524)=4,"A",IF(MONTH(B524)=5,"M",IF(MONTH(B524)=6,"J",IF(MONTH(B524)=7,"J",IF(MONTH(B524)=8,"A",IF(MONTH(B524)=9,"S",IF(MONTH(B524)=10,"O",IF(MONTH(B524)=11,"N",IF(MONTH(B524)=12,"D","")))))))))))),"")</f>
        <v>E</v>
      </c>
      <c r="I524" s="189">
        <f>IF(DAY(B524)=15,D524,"")</f>
        <v>119.24912559323448</v>
      </c>
    </row>
    <row r="525" spans="1:9">
      <c r="A525" s="187">
        <v>473</v>
      </c>
      <c r="B525" s="222">
        <v>45673</v>
      </c>
      <c r="C525" s="221">
        <v>105.35180540863281</v>
      </c>
      <c r="D525" s="221">
        <v>119.24912559323448</v>
      </c>
      <c r="E525" s="221">
        <f t="shared" si="32"/>
        <v>105.35180540863281</v>
      </c>
      <c r="F525" s="188" t="str">
        <f t="shared" si="33"/>
        <v/>
      </c>
      <c r="G525" t="str">
        <f t="shared" si="34"/>
        <v/>
      </c>
      <c r="H525" s="188" t="str">
        <f t="shared" si="35"/>
        <v/>
      </c>
      <c r="I525" s="189"/>
    </row>
    <row r="526" spans="1:9">
      <c r="A526" s="187">
        <v>474</v>
      </c>
      <c r="B526" s="222">
        <v>45674</v>
      </c>
      <c r="C526" s="221">
        <v>109.97886628463283</v>
      </c>
      <c r="D526" s="221">
        <v>119.24912559323448</v>
      </c>
      <c r="E526" s="221">
        <f t="shared" si="32"/>
        <v>109.97886628463283</v>
      </c>
      <c r="F526" s="188" t="str">
        <f t="shared" si="33"/>
        <v/>
      </c>
      <c r="G526" t="str">
        <f t="shared" si="34"/>
        <v/>
      </c>
      <c r="H526" s="188" t="str">
        <f t="shared" si="35"/>
        <v/>
      </c>
      <c r="I526" s="189"/>
    </row>
    <row r="527" spans="1:9" s="189" customFormat="1">
      <c r="A527" s="187">
        <v>475</v>
      </c>
      <c r="B527" s="222">
        <v>45675</v>
      </c>
      <c r="C527" s="221">
        <v>105.25200464463283</v>
      </c>
      <c r="D527" s="221">
        <v>119.24912559323448</v>
      </c>
      <c r="E527" s="221">
        <f t="shared" si="32"/>
        <v>105.25200464463283</v>
      </c>
      <c r="F527" s="188" t="str">
        <f t="shared" si="33"/>
        <v/>
      </c>
      <c r="G527" t="str">
        <f t="shared" si="34"/>
        <v/>
      </c>
      <c r="H527" s="188" t="str">
        <f t="shared" si="35"/>
        <v/>
      </c>
    </row>
    <row r="528" spans="1:9" s="189" customFormat="1">
      <c r="A528" s="187">
        <v>476</v>
      </c>
      <c r="B528" s="222">
        <v>45676</v>
      </c>
      <c r="C528" s="221">
        <v>91.644863272630957</v>
      </c>
      <c r="D528" s="221">
        <v>119.24912559323448</v>
      </c>
      <c r="E528" s="221">
        <f t="shared" si="32"/>
        <v>91.644863272630957</v>
      </c>
      <c r="F528" s="188" t="str">
        <f t="shared" si="33"/>
        <v/>
      </c>
      <c r="G528" t="str">
        <f t="shared" si="34"/>
        <v/>
      </c>
      <c r="H528" s="188" t="str">
        <f t="shared" si="35"/>
        <v/>
      </c>
    </row>
    <row r="529" spans="1:9" s="189" customFormat="1">
      <c r="A529" s="187">
        <v>477</v>
      </c>
      <c r="B529" s="222">
        <v>45677</v>
      </c>
      <c r="C529" s="221">
        <v>106.65338957663282</v>
      </c>
      <c r="D529" s="221">
        <v>119.24912559323448</v>
      </c>
      <c r="E529" s="221">
        <f t="shared" si="32"/>
        <v>106.65338957663282</v>
      </c>
      <c r="F529" s="188" t="str">
        <f t="shared" si="33"/>
        <v/>
      </c>
      <c r="G529" t="str">
        <f t="shared" si="34"/>
        <v/>
      </c>
      <c r="H529" s="188" t="str">
        <f t="shared" si="35"/>
        <v/>
      </c>
    </row>
    <row r="530" spans="1:9" s="189" customFormat="1">
      <c r="A530" s="187">
        <v>478</v>
      </c>
      <c r="B530" s="222">
        <v>45678</v>
      </c>
      <c r="C530" s="221">
        <v>91.819980448634681</v>
      </c>
      <c r="D530" s="221">
        <v>119.24912559323448</v>
      </c>
      <c r="E530" s="221">
        <f t="shared" si="32"/>
        <v>91.819980448634681</v>
      </c>
      <c r="F530" s="188" t="str">
        <f t="shared" si="33"/>
        <v/>
      </c>
      <c r="G530" t="str">
        <f t="shared" si="34"/>
        <v/>
      </c>
      <c r="H530" s="188" t="str">
        <f t="shared" si="35"/>
        <v/>
      </c>
    </row>
    <row r="531" spans="1:9" s="189" customFormat="1">
      <c r="A531" s="187">
        <v>479</v>
      </c>
      <c r="B531" s="222">
        <v>45679</v>
      </c>
      <c r="C531" s="221">
        <v>168.19282105444529</v>
      </c>
      <c r="D531" s="221">
        <v>119.24912559323448</v>
      </c>
      <c r="E531" s="221">
        <f t="shared" si="32"/>
        <v>119.24912559323448</v>
      </c>
      <c r="F531" s="188" t="str">
        <f t="shared" si="33"/>
        <v/>
      </c>
      <c r="G531" t="str">
        <f t="shared" si="34"/>
        <v/>
      </c>
      <c r="H531" s="188" t="str">
        <f t="shared" si="35"/>
        <v/>
      </c>
    </row>
    <row r="532" spans="1:9" s="189" customFormat="1">
      <c r="A532" s="187">
        <v>480</v>
      </c>
      <c r="B532" s="222">
        <v>45680</v>
      </c>
      <c r="C532" s="221">
        <v>178.56540373044342</v>
      </c>
      <c r="D532" s="221">
        <v>119.24912559323448</v>
      </c>
      <c r="E532" s="221">
        <f t="shared" si="32"/>
        <v>119.24912559323448</v>
      </c>
      <c r="F532" s="188" t="str">
        <f t="shared" si="33"/>
        <v/>
      </c>
      <c r="G532" t="str">
        <f t="shared" si="34"/>
        <v/>
      </c>
      <c r="H532" s="188" t="str">
        <f t="shared" si="35"/>
        <v/>
      </c>
    </row>
    <row r="533" spans="1:9" s="189" customFormat="1">
      <c r="A533" s="187">
        <v>481</v>
      </c>
      <c r="B533" s="222">
        <v>45681</v>
      </c>
      <c r="C533" s="221">
        <v>159.96776198644716</v>
      </c>
      <c r="D533" s="221">
        <v>119.24912559323448</v>
      </c>
      <c r="E533" s="221">
        <f t="shared" si="32"/>
        <v>119.24912559323448</v>
      </c>
      <c r="F533" s="188" t="str">
        <f t="shared" si="33"/>
        <v/>
      </c>
      <c r="G533" t="str">
        <f t="shared" si="34"/>
        <v/>
      </c>
      <c r="H533" s="188" t="str">
        <f t="shared" si="35"/>
        <v/>
      </c>
    </row>
    <row r="534" spans="1:9" s="189" customFormat="1">
      <c r="A534" s="187">
        <v>482</v>
      </c>
      <c r="B534" s="222">
        <v>45682</v>
      </c>
      <c r="C534" s="221">
        <v>138.24897072644342</v>
      </c>
      <c r="D534" s="221">
        <v>119.24912559323448</v>
      </c>
      <c r="E534" s="221">
        <f t="shared" si="32"/>
        <v>119.24912559323448</v>
      </c>
      <c r="F534" s="188" t="str">
        <f t="shared" si="33"/>
        <v/>
      </c>
      <c r="G534" t="str">
        <f t="shared" si="34"/>
        <v/>
      </c>
      <c r="H534" s="188" t="str">
        <f t="shared" si="35"/>
        <v/>
      </c>
    </row>
    <row r="535" spans="1:9" s="189" customFormat="1">
      <c r="A535" s="187">
        <v>483</v>
      </c>
      <c r="B535" s="222">
        <v>45683</v>
      </c>
      <c r="C535" s="221">
        <v>126.93350439844528</v>
      </c>
      <c r="D535" s="221">
        <v>119.24912559323448</v>
      </c>
      <c r="E535" s="221">
        <f t="shared" si="32"/>
        <v>119.24912559323448</v>
      </c>
      <c r="F535" s="188" t="str">
        <f t="shared" si="33"/>
        <v/>
      </c>
      <c r="G535" t="str">
        <f t="shared" si="34"/>
        <v/>
      </c>
      <c r="H535" s="188" t="str">
        <f t="shared" si="35"/>
        <v/>
      </c>
    </row>
    <row r="536" spans="1:9" s="189" customFormat="1">
      <c r="A536" s="187">
        <v>484</v>
      </c>
      <c r="B536" s="222">
        <v>45684</v>
      </c>
      <c r="C536" s="221">
        <v>133.60649396244344</v>
      </c>
      <c r="D536" s="221">
        <v>119.24912559323448</v>
      </c>
      <c r="E536" s="221">
        <f t="shared" si="32"/>
        <v>119.24912559323448</v>
      </c>
      <c r="F536" s="188" t="str">
        <f t="shared" si="33"/>
        <v/>
      </c>
      <c r="G536" t="str">
        <f t="shared" si="34"/>
        <v/>
      </c>
      <c r="H536" s="188" t="str">
        <f t="shared" si="35"/>
        <v/>
      </c>
    </row>
    <row r="537" spans="1:9" s="189" customFormat="1">
      <c r="A537" s="187">
        <v>485</v>
      </c>
      <c r="B537" s="222">
        <v>45685</v>
      </c>
      <c r="C537" s="221">
        <v>163.06880287044345</v>
      </c>
      <c r="D537" s="221">
        <v>119.24912559323448</v>
      </c>
      <c r="E537" s="221">
        <f t="shared" si="32"/>
        <v>119.24912559323448</v>
      </c>
      <c r="F537" s="188" t="str">
        <f t="shared" si="33"/>
        <v/>
      </c>
      <c r="G537" t="str">
        <f t="shared" si="34"/>
        <v/>
      </c>
      <c r="H537" s="188" t="str">
        <f t="shared" si="35"/>
        <v/>
      </c>
    </row>
    <row r="538" spans="1:9" s="189" customFormat="1">
      <c r="A538" s="187">
        <v>486</v>
      </c>
      <c r="B538" s="222">
        <v>45686</v>
      </c>
      <c r="C538" s="221">
        <v>294.44144330035601</v>
      </c>
      <c r="D538" s="221">
        <v>119.24912559323448</v>
      </c>
      <c r="E538" s="221">
        <f t="shared" si="32"/>
        <v>119.24912559323448</v>
      </c>
      <c r="F538" s="188" t="str">
        <f t="shared" si="33"/>
        <v/>
      </c>
      <c r="G538" t="str">
        <f t="shared" si="34"/>
        <v/>
      </c>
      <c r="H538" s="188" t="str">
        <f t="shared" si="35"/>
        <v/>
      </c>
    </row>
    <row r="539" spans="1:9" s="189" customFormat="1">
      <c r="A539" s="187">
        <v>487</v>
      </c>
      <c r="B539" s="222">
        <v>45687</v>
      </c>
      <c r="C539" s="221">
        <v>284.45562372035045</v>
      </c>
      <c r="D539" s="221">
        <v>119.24912559323448</v>
      </c>
      <c r="E539" s="221">
        <f t="shared" si="32"/>
        <v>119.24912559323448</v>
      </c>
      <c r="F539" s="188" t="str">
        <f t="shared" si="33"/>
        <v/>
      </c>
      <c r="G539" t="str">
        <f t="shared" si="34"/>
        <v/>
      </c>
      <c r="H539" s="188" t="str">
        <f t="shared" si="35"/>
        <v/>
      </c>
    </row>
    <row r="540" spans="1:9" s="189" customFormat="1">
      <c r="A540" s="187">
        <v>488</v>
      </c>
      <c r="B540" s="222">
        <v>45688</v>
      </c>
      <c r="C540" s="221">
        <v>315.41940095635044</v>
      </c>
      <c r="D540" s="221">
        <v>119.24912559323448</v>
      </c>
      <c r="E540" s="221">
        <f t="shared" si="32"/>
        <v>119.24912559323448</v>
      </c>
      <c r="F540" s="188" t="str">
        <f t="shared" si="33"/>
        <v/>
      </c>
      <c r="G540" t="str">
        <f t="shared" si="34"/>
        <v/>
      </c>
      <c r="H540" s="188" t="str">
        <f t="shared" si="35"/>
        <v/>
      </c>
    </row>
    <row r="541" spans="1:9" s="189" customFormat="1">
      <c r="A541" s="187">
        <v>489</v>
      </c>
      <c r="B541" s="222">
        <v>45689</v>
      </c>
      <c r="C541" s="221">
        <v>307.08398144835604</v>
      </c>
      <c r="D541" s="221">
        <v>124.45770390135006</v>
      </c>
      <c r="E541" s="221">
        <f t="shared" si="32"/>
        <v>124.45770390135006</v>
      </c>
      <c r="F541" s="188">
        <f t="shared" si="33"/>
        <v>600</v>
      </c>
      <c r="G541" t="str">
        <f t="shared" si="34"/>
        <v/>
      </c>
      <c r="H541" s="188" t="str">
        <f t="shared" si="35"/>
        <v/>
      </c>
    </row>
    <row r="542" spans="1:9" s="189" customFormat="1">
      <c r="A542" s="187">
        <v>490</v>
      </c>
      <c r="B542" s="222">
        <v>45690</v>
      </c>
      <c r="C542" s="221">
        <v>331.94847694435225</v>
      </c>
      <c r="D542" s="221">
        <v>124.45770390135006</v>
      </c>
      <c r="E542" s="221">
        <f t="shared" si="32"/>
        <v>124.45770390135006</v>
      </c>
      <c r="F542" s="188" t="str">
        <f t="shared" si="33"/>
        <v/>
      </c>
      <c r="G542" t="str">
        <f t="shared" si="34"/>
        <v/>
      </c>
      <c r="H542" s="188" t="str">
        <f t="shared" si="35"/>
        <v/>
      </c>
    </row>
    <row r="543" spans="1:9">
      <c r="A543" s="187">
        <v>491</v>
      </c>
      <c r="B543" s="222">
        <v>45691</v>
      </c>
      <c r="C543" s="221">
        <v>338.42124530435234</v>
      </c>
      <c r="D543" s="221">
        <v>124.45770390135006</v>
      </c>
      <c r="E543" s="221">
        <f t="shared" si="32"/>
        <v>124.45770390135006</v>
      </c>
      <c r="F543" s="188" t="str">
        <f t="shared" si="33"/>
        <v/>
      </c>
      <c r="G543" t="str">
        <f t="shared" si="34"/>
        <v/>
      </c>
      <c r="H543" s="188" t="str">
        <f t="shared" si="35"/>
        <v/>
      </c>
      <c r="I543" s="189"/>
    </row>
    <row r="544" spans="1:9">
      <c r="A544" s="187">
        <v>492</v>
      </c>
      <c r="B544" s="222">
        <v>45692</v>
      </c>
      <c r="C544" s="221">
        <v>349.82128388435046</v>
      </c>
      <c r="D544" s="221">
        <v>124.45770390135006</v>
      </c>
      <c r="E544" s="221">
        <f t="shared" si="32"/>
        <v>124.45770390135006</v>
      </c>
      <c r="F544" s="188" t="str">
        <f t="shared" si="33"/>
        <v/>
      </c>
      <c r="G544" t="str">
        <f t="shared" si="34"/>
        <v/>
      </c>
      <c r="H544" s="188" t="str">
        <f t="shared" si="35"/>
        <v/>
      </c>
      <c r="I544" s="189"/>
    </row>
    <row r="545" spans="1:9">
      <c r="A545" s="187">
        <v>493</v>
      </c>
      <c r="B545" s="222">
        <v>45693</v>
      </c>
      <c r="C545" s="221">
        <v>158.4682391612061</v>
      </c>
      <c r="D545" s="221">
        <v>124.45770390135006</v>
      </c>
      <c r="E545" s="221">
        <f t="shared" si="32"/>
        <v>124.45770390135006</v>
      </c>
      <c r="F545" s="188" t="str">
        <f t="shared" si="33"/>
        <v/>
      </c>
      <c r="G545" t="str">
        <f t="shared" si="34"/>
        <v/>
      </c>
      <c r="H545" s="188" t="str">
        <f t="shared" si="35"/>
        <v/>
      </c>
      <c r="I545" s="189"/>
    </row>
    <row r="546" spans="1:9">
      <c r="A546" s="187">
        <v>494</v>
      </c>
      <c r="B546" s="222">
        <v>45694</v>
      </c>
      <c r="C546" s="221">
        <v>163.97102183720796</v>
      </c>
      <c r="D546" s="221">
        <v>124.45770390135006</v>
      </c>
      <c r="E546" s="221">
        <f t="shared" si="32"/>
        <v>124.45770390135006</v>
      </c>
      <c r="F546" s="188" t="str">
        <f t="shared" si="33"/>
        <v/>
      </c>
      <c r="G546" t="str">
        <f t="shared" si="34"/>
        <v/>
      </c>
      <c r="H546" s="188" t="str">
        <f t="shared" si="35"/>
        <v/>
      </c>
      <c r="I546" s="189"/>
    </row>
    <row r="547" spans="1:9">
      <c r="A547" s="187">
        <v>495</v>
      </c>
      <c r="B547" s="222">
        <v>45695</v>
      </c>
      <c r="C547" s="221">
        <v>156.45654961720609</v>
      </c>
      <c r="D547" s="221">
        <v>124.45770390135006</v>
      </c>
      <c r="E547" s="221">
        <f t="shared" si="32"/>
        <v>124.45770390135006</v>
      </c>
      <c r="F547" s="188" t="str">
        <f t="shared" si="33"/>
        <v/>
      </c>
      <c r="G547" t="str">
        <f t="shared" si="34"/>
        <v/>
      </c>
      <c r="H547" s="188" t="str">
        <f t="shared" si="35"/>
        <v/>
      </c>
      <c r="I547" s="189"/>
    </row>
    <row r="548" spans="1:9">
      <c r="A548" s="187">
        <v>496</v>
      </c>
      <c r="B548" s="222">
        <v>45696</v>
      </c>
      <c r="C548" s="221">
        <v>132.35781980120794</v>
      </c>
      <c r="D548" s="221">
        <v>124.45770390135006</v>
      </c>
      <c r="E548" s="221">
        <f t="shared" si="32"/>
        <v>124.45770390135006</v>
      </c>
      <c r="F548" s="188" t="str">
        <f t="shared" si="33"/>
        <v/>
      </c>
      <c r="G548" t="str">
        <f t="shared" si="34"/>
        <v/>
      </c>
      <c r="H548" s="188" t="str">
        <f t="shared" si="35"/>
        <v/>
      </c>
      <c r="I548" s="189"/>
    </row>
    <row r="549" spans="1:9">
      <c r="A549" s="187">
        <v>497</v>
      </c>
      <c r="B549" s="222">
        <v>45697</v>
      </c>
      <c r="C549" s="221">
        <v>141.77497368120981</v>
      </c>
      <c r="D549" s="221">
        <v>124.45770390135006</v>
      </c>
      <c r="E549" s="221">
        <f t="shared" si="32"/>
        <v>124.45770390135006</v>
      </c>
      <c r="F549" s="188" t="str">
        <f t="shared" si="33"/>
        <v/>
      </c>
      <c r="G549" t="str">
        <f t="shared" si="34"/>
        <v/>
      </c>
      <c r="H549" s="188" t="str">
        <f t="shared" si="35"/>
        <v/>
      </c>
      <c r="I549" s="189"/>
    </row>
    <row r="550" spans="1:9">
      <c r="A550" s="187">
        <v>498</v>
      </c>
      <c r="B550" s="222">
        <v>45698</v>
      </c>
      <c r="C550" s="221">
        <v>161.20363822520611</v>
      </c>
      <c r="D550" s="221">
        <v>124.45770390135006</v>
      </c>
      <c r="E550" s="221">
        <f t="shared" si="32"/>
        <v>124.45770390135006</v>
      </c>
      <c r="F550" s="188" t="str">
        <f t="shared" si="33"/>
        <v/>
      </c>
      <c r="G550" t="str">
        <f t="shared" si="34"/>
        <v/>
      </c>
      <c r="H550" s="188" t="str">
        <f t="shared" si="35"/>
        <v/>
      </c>
      <c r="I550" s="189"/>
    </row>
    <row r="551" spans="1:9">
      <c r="A551" s="187">
        <v>499</v>
      </c>
      <c r="B551" s="222">
        <v>45699</v>
      </c>
      <c r="C551" s="221">
        <v>157.23944000920611</v>
      </c>
      <c r="D551" s="221">
        <v>124.45770390135006</v>
      </c>
      <c r="E551" s="221">
        <f t="shared" si="32"/>
        <v>124.45770390135006</v>
      </c>
      <c r="F551" s="188" t="str">
        <f t="shared" si="33"/>
        <v/>
      </c>
      <c r="G551" t="str">
        <f t="shared" si="34"/>
        <v/>
      </c>
      <c r="H551" s="188" t="str">
        <f t="shared" si="35"/>
        <v/>
      </c>
      <c r="I551" s="189"/>
    </row>
    <row r="552" spans="1:9">
      <c r="A552" s="187">
        <v>500</v>
      </c>
      <c r="B552" s="222">
        <v>45700</v>
      </c>
      <c r="C552" s="221">
        <v>153.16354308996853</v>
      </c>
      <c r="D552" s="221">
        <v>124.45770390135006</v>
      </c>
      <c r="E552" s="221">
        <f t="shared" si="32"/>
        <v>124.45770390135006</v>
      </c>
      <c r="F552" s="188" t="str">
        <f t="shared" si="33"/>
        <v/>
      </c>
      <c r="G552" t="str">
        <f t="shared" si="34"/>
        <v/>
      </c>
      <c r="H552" s="188" t="str">
        <f t="shared" si="35"/>
        <v/>
      </c>
      <c r="I552" s="189"/>
    </row>
    <row r="553" spans="1:9">
      <c r="A553" s="187">
        <v>501</v>
      </c>
      <c r="B553" s="222">
        <v>45701</v>
      </c>
      <c r="C553" s="221">
        <v>153.18490336197038</v>
      </c>
      <c r="D553" s="221">
        <v>124.45770390135006</v>
      </c>
      <c r="E553" s="221">
        <f t="shared" si="32"/>
        <v>124.45770390135006</v>
      </c>
      <c r="F553" s="188" t="str">
        <f t="shared" si="33"/>
        <v/>
      </c>
      <c r="G553" t="str">
        <f t="shared" si="34"/>
        <v/>
      </c>
      <c r="H553" s="188" t="str">
        <f t="shared" si="35"/>
        <v/>
      </c>
      <c r="I553" s="189"/>
    </row>
    <row r="554" spans="1:9">
      <c r="A554" s="187">
        <v>502</v>
      </c>
      <c r="B554" s="222">
        <v>45702</v>
      </c>
      <c r="C554" s="221">
        <v>159.65514007396663</v>
      </c>
      <c r="D554" s="221">
        <v>124.45770390135006</v>
      </c>
      <c r="E554" s="221">
        <f t="shared" si="32"/>
        <v>124.45770390135006</v>
      </c>
      <c r="F554" s="188" t="str">
        <f t="shared" si="33"/>
        <v/>
      </c>
      <c r="G554" t="str">
        <f t="shared" si="34"/>
        <v/>
      </c>
      <c r="H554" s="188" t="str">
        <f>IF(DAY(B554)=15,IF(MONTH(B554)=1,"E",IF(MONTH(B554)=2,"F",IF(MONTH(B554)=3,"M",IF(MONTH(B554)=4,"A",IF(MONTH(B554)=5,"M",IF(MONTH(B554)=6,"J",IF(MONTH(B554)=7,"J",IF(MONTH(B554)=8,"A",IF(MONTH(B554)=9,"S",IF(MONTH(B554)=10,"O",IF(MONTH(B554)=11,"N",IF(MONTH(B554)=12,"D","")))))))))))),"")</f>
        <v/>
      </c>
      <c r="I554" s="189"/>
    </row>
    <row r="555" spans="1:9">
      <c r="A555" s="187">
        <v>503</v>
      </c>
      <c r="B555" s="222">
        <v>45703</v>
      </c>
      <c r="C555" s="221">
        <v>145.27400540197038</v>
      </c>
      <c r="D555" s="221">
        <v>124.45770390135006</v>
      </c>
      <c r="E555" s="221">
        <f t="shared" si="32"/>
        <v>124.45770390135006</v>
      </c>
      <c r="F555" s="188" t="str">
        <f t="shared" si="33"/>
        <v/>
      </c>
      <c r="G555" t="str">
        <f t="shared" si="34"/>
        <v/>
      </c>
      <c r="H555" s="188" t="str">
        <f t="shared" si="35"/>
        <v>F</v>
      </c>
      <c r="I555" s="189">
        <f>IF(DAY(B555)=15,D555,"")</f>
        <v>124.45770390135006</v>
      </c>
    </row>
    <row r="556" spans="1:9">
      <c r="A556" s="187">
        <v>504</v>
      </c>
      <c r="B556" s="222">
        <v>45704</v>
      </c>
      <c r="C556" s="221">
        <v>139.34013846196666</v>
      </c>
      <c r="D556" s="221">
        <v>124.45770390135006</v>
      </c>
      <c r="E556" s="221">
        <f t="shared" si="32"/>
        <v>124.45770390135006</v>
      </c>
      <c r="F556" s="188" t="str">
        <f t="shared" si="33"/>
        <v/>
      </c>
      <c r="G556" t="str">
        <f t="shared" si="34"/>
        <v/>
      </c>
      <c r="H556" s="188" t="str">
        <f t="shared" si="35"/>
        <v/>
      </c>
      <c r="I556" s="189"/>
    </row>
    <row r="557" spans="1:9">
      <c r="A557" s="187">
        <v>505</v>
      </c>
      <c r="B557" s="222">
        <v>45705</v>
      </c>
      <c r="C557" s="221">
        <v>152.65729966597038</v>
      </c>
      <c r="D557" s="221">
        <v>124.45770390135006</v>
      </c>
      <c r="E557" s="221">
        <f t="shared" si="32"/>
        <v>124.45770390135006</v>
      </c>
      <c r="F557" s="188" t="str">
        <f t="shared" si="33"/>
        <v/>
      </c>
      <c r="G557" t="str">
        <f t="shared" si="34"/>
        <v/>
      </c>
      <c r="H557" s="188" t="str">
        <f t="shared" si="35"/>
        <v/>
      </c>
      <c r="I557" s="189"/>
    </row>
    <row r="558" spans="1:9">
      <c r="A558" s="187">
        <v>506</v>
      </c>
      <c r="B558" s="222">
        <v>45706</v>
      </c>
      <c r="C558" s="221">
        <v>136.08142172996853</v>
      </c>
      <c r="D558" s="221">
        <v>124.45770390135006</v>
      </c>
      <c r="E558" s="221">
        <f t="shared" si="32"/>
        <v>124.45770390135006</v>
      </c>
      <c r="F558" s="188" t="str">
        <f t="shared" si="33"/>
        <v/>
      </c>
      <c r="G558" t="str">
        <f t="shared" si="34"/>
        <v/>
      </c>
      <c r="H558" s="188" t="str">
        <f t="shared" si="35"/>
        <v/>
      </c>
      <c r="I558" s="189"/>
    </row>
    <row r="559" spans="1:9" s="189" customFormat="1">
      <c r="A559" s="187">
        <v>507</v>
      </c>
      <c r="B559" s="222">
        <v>45707</v>
      </c>
      <c r="C559" s="221">
        <v>141.03594522971258</v>
      </c>
      <c r="D559" s="221">
        <v>124.45770390135006</v>
      </c>
      <c r="E559" s="221">
        <f t="shared" si="32"/>
        <v>124.45770390135006</v>
      </c>
      <c r="F559" s="188" t="str">
        <f t="shared" si="33"/>
        <v/>
      </c>
      <c r="G559" t="str">
        <f t="shared" si="34"/>
        <v/>
      </c>
      <c r="H559" s="188" t="str">
        <f t="shared" si="35"/>
        <v/>
      </c>
    </row>
    <row r="560" spans="1:9" s="189" customFormat="1">
      <c r="A560" s="187">
        <v>508</v>
      </c>
      <c r="B560" s="222">
        <v>45708</v>
      </c>
      <c r="C560" s="221">
        <v>121.78872529771444</v>
      </c>
      <c r="D560" s="221">
        <v>124.45770390135006</v>
      </c>
      <c r="E560" s="221">
        <f t="shared" si="32"/>
        <v>121.78872529771444</v>
      </c>
      <c r="F560" s="188" t="str">
        <f t="shared" si="33"/>
        <v/>
      </c>
      <c r="G560" t="str">
        <f t="shared" si="34"/>
        <v/>
      </c>
      <c r="H560" s="188" t="str">
        <f t="shared" si="35"/>
        <v/>
      </c>
    </row>
    <row r="561" spans="1:9" s="189" customFormat="1">
      <c r="A561" s="187">
        <v>509</v>
      </c>
      <c r="B561" s="222">
        <v>45709</v>
      </c>
      <c r="C561" s="221">
        <v>87.441745705710716</v>
      </c>
      <c r="D561" s="221">
        <v>124.45770390135006</v>
      </c>
      <c r="E561" s="221">
        <f t="shared" si="32"/>
        <v>87.441745705710716</v>
      </c>
      <c r="F561" s="188" t="str">
        <f t="shared" si="33"/>
        <v/>
      </c>
      <c r="G561" t="str">
        <f t="shared" si="34"/>
        <v/>
      </c>
      <c r="H561" s="188" t="str">
        <f t="shared" si="35"/>
        <v/>
      </c>
    </row>
    <row r="562" spans="1:9" s="189" customFormat="1">
      <c r="A562" s="187">
        <v>510</v>
      </c>
      <c r="B562" s="222">
        <v>45710</v>
      </c>
      <c r="C562" s="221">
        <v>114.18028520971816</v>
      </c>
      <c r="D562" s="221">
        <v>124.45770390135006</v>
      </c>
      <c r="E562" s="221">
        <f t="shared" si="32"/>
        <v>114.18028520971816</v>
      </c>
      <c r="F562" s="188" t="str">
        <f t="shared" si="33"/>
        <v/>
      </c>
      <c r="G562" t="str">
        <f t="shared" si="34"/>
        <v/>
      </c>
      <c r="H562" s="188" t="str">
        <f t="shared" si="35"/>
        <v/>
      </c>
    </row>
    <row r="563" spans="1:9" s="189" customFormat="1">
      <c r="A563" s="187">
        <v>511</v>
      </c>
      <c r="B563" s="222">
        <v>45711</v>
      </c>
      <c r="C563" s="221">
        <v>83.092447149710722</v>
      </c>
      <c r="D563" s="221">
        <v>124.45770390135006</v>
      </c>
      <c r="E563" s="221">
        <f t="shared" si="32"/>
        <v>83.092447149710722</v>
      </c>
      <c r="F563" s="188" t="str">
        <f t="shared" si="33"/>
        <v/>
      </c>
      <c r="G563" t="str">
        <f t="shared" si="34"/>
        <v/>
      </c>
      <c r="H563" s="188" t="str">
        <f t="shared" si="35"/>
        <v/>
      </c>
    </row>
    <row r="564" spans="1:9" s="189" customFormat="1">
      <c r="A564" s="187">
        <v>512</v>
      </c>
      <c r="B564" s="222">
        <v>45712</v>
      </c>
      <c r="C564" s="221">
        <v>99.209965373714439</v>
      </c>
      <c r="D564" s="221">
        <v>124.45770390135006</v>
      </c>
      <c r="E564" s="221">
        <f t="shared" ref="E564:E627" si="36">IF(C564&lt;D564,C564,D564)</f>
        <v>99.209965373714439</v>
      </c>
      <c r="F564" s="188" t="str">
        <f t="shared" ref="F564:F627" si="37">IF(DAY(B564)=1,600,"")</f>
        <v/>
      </c>
      <c r="G564" t="str">
        <f t="shared" si="34"/>
        <v/>
      </c>
      <c r="H564" s="188" t="str">
        <f t="shared" si="35"/>
        <v/>
      </c>
    </row>
    <row r="565" spans="1:9" s="189" customFormat="1">
      <c r="A565" s="187">
        <v>513</v>
      </c>
      <c r="B565" s="222">
        <v>45713</v>
      </c>
      <c r="C565" s="221">
        <v>110.7750313257107</v>
      </c>
      <c r="D565" s="221">
        <v>124.45770390135006</v>
      </c>
      <c r="E565" s="221">
        <f t="shared" si="36"/>
        <v>110.7750313257107</v>
      </c>
      <c r="F565" s="188" t="str">
        <f t="shared" si="37"/>
        <v/>
      </c>
      <c r="G565" t="str">
        <f t="shared" si="34"/>
        <v/>
      </c>
      <c r="H565" s="188" t="str">
        <f t="shared" si="35"/>
        <v/>
      </c>
    </row>
    <row r="566" spans="1:9" s="189" customFormat="1">
      <c r="A566" s="187">
        <v>514</v>
      </c>
      <c r="B566" s="222">
        <v>45714</v>
      </c>
      <c r="C566" s="221">
        <v>124.45546917880809</v>
      </c>
      <c r="D566" s="221">
        <v>124.45770390135006</v>
      </c>
      <c r="E566" s="221">
        <f t="shared" si="36"/>
        <v>124.45546917880809</v>
      </c>
      <c r="F566" s="188" t="str">
        <f t="shared" si="37"/>
        <v/>
      </c>
      <c r="G566" t="str">
        <f t="shared" ref="G566:G629" si="38">IF(MONTH(B566)=1,IF(DAY(B566)=1,YEAR(B566),""),"")</f>
        <v/>
      </c>
      <c r="H566" s="188" t="str">
        <f t="shared" si="35"/>
        <v/>
      </c>
    </row>
    <row r="567" spans="1:9" s="189" customFormat="1">
      <c r="A567" s="187">
        <v>515</v>
      </c>
      <c r="B567" s="222">
        <v>45715</v>
      </c>
      <c r="C567" s="221">
        <v>138.90708472280625</v>
      </c>
      <c r="D567" s="221">
        <v>124.45770390135006</v>
      </c>
      <c r="E567" s="221">
        <f t="shared" si="36"/>
        <v>124.45770390135006</v>
      </c>
      <c r="F567" s="188" t="str">
        <f t="shared" si="37"/>
        <v/>
      </c>
      <c r="G567" t="str">
        <f t="shared" si="38"/>
        <v/>
      </c>
      <c r="H567" s="188" t="str">
        <f t="shared" si="35"/>
        <v/>
      </c>
    </row>
    <row r="568" spans="1:9" s="189" customFormat="1">
      <c r="A568" s="187">
        <v>516</v>
      </c>
      <c r="B568" s="222">
        <v>45716</v>
      </c>
      <c r="C568" s="221">
        <v>131.33949614280809</v>
      </c>
      <c r="D568" s="221">
        <v>124.45770390135006</v>
      </c>
      <c r="E568" s="221">
        <f t="shared" si="36"/>
        <v>124.45770390135006</v>
      </c>
      <c r="F568" s="188" t="str">
        <f t="shared" si="37"/>
        <v/>
      </c>
      <c r="G568" t="str">
        <f t="shared" si="38"/>
        <v/>
      </c>
      <c r="H568" s="188" t="str">
        <f t="shared" si="35"/>
        <v/>
      </c>
    </row>
    <row r="569" spans="1:9" s="189" customFormat="1">
      <c r="A569" s="187">
        <v>517</v>
      </c>
      <c r="B569" s="222">
        <v>45717</v>
      </c>
      <c r="C569" s="221">
        <v>80.179807062808095</v>
      </c>
      <c r="D569" s="221">
        <v>129.67177197597073</v>
      </c>
      <c r="E569" s="221">
        <f t="shared" si="36"/>
        <v>80.179807062808095</v>
      </c>
      <c r="F569" s="188">
        <f t="shared" si="37"/>
        <v>600</v>
      </c>
      <c r="G569" t="str">
        <f t="shared" si="38"/>
        <v/>
      </c>
      <c r="H569" s="188" t="str">
        <f t="shared" si="35"/>
        <v/>
      </c>
    </row>
    <row r="570" spans="1:9" s="189" customFormat="1">
      <c r="A570" s="187">
        <v>518</v>
      </c>
      <c r="B570" s="222">
        <v>45718</v>
      </c>
      <c r="C570" s="221">
        <v>73.149780046808075</v>
      </c>
      <c r="D570" s="221">
        <v>129.67177197597073</v>
      </c>
      <c r="E570" s="221">
        <f t="shared" si="36"/>
        <v>73.149780046808075</v>
      </c>
      <c r="F570" s="188" t="str">
        <f t="shared" si="37"/>
        <v/>
      </c>
      <c r="G570" t="str">
        <f t="shared" si="38"/>
        <v/>
      </c>
      <c r="H570" s="188" t="str">
        <f t="shared" si="35"/>
        <v/>
      </c>
    </row>
    <row r="571" spans="1:9" s="189" customFormat="1">
      <c r="A571" s="187">
        <v>519</v>
      </c>
      <c r="B571" s="222">
        <v>45719</v>
      </c>
      <c r="C571" s="221">
        <v>121.22998893080623</v>
      </c>
      <c r="D571" s="221">
        <v>129.67177197597073</v>
      </c>
      <c r="E571" s="221">
        <f t="shared" si="36"/>
        <v>121.22998893080623</v>
      </c>
      <c r="F571" s="188" t="str">
        <f t="shared" si="37"/>
        <v/>
      </c>
      <c r="G571" t="str">
        <f t="shared" si="38"/>
        <v/>
      </c>
      <c r="H571" s="188" t="str">
        <f t="shared" si="35"/>
        <v/>
      </c>
    </row>
    <row r="572" spans="1:9" s="189" customFormat="1">
      <c r="A572" s="187">
        <v>520</v>
      </c>
      <c r="B572" s="222">
        <v>45720</v>
      </c>
      <c r="C572" s="221">
        <v>119.62776690280809</v>
      </c>
      <c r="D572" s="221">
        <v>129.67177197597073</v>
      </c>
      <c r="E572" s="221">
        <f t="shared" si="36"/>
        <v>119.62776690280809</v>
      </c>
      <c r="F572" s="188" t="str">
        <f t="shared" si="37"/>
        <v/>
      </c>
      <c r="G572" t="str">
        <f t="shared" si="38"/>
        <v/>
      </c>
      <c r="H572" s="188" t="str">
        <f t="shared" si="35"/>
        <v/>
      </c>
    </row>
    <row r="573" spans="1:9" s="189" customFormat="1">
      <c r="A573" s="187">
        <v>521</v>
      </c>
      <c r="B573" s="222">
        <v>45721</v>
      </c>
      <c r="C573" s="221">
        <v>186.19269156423655</v>
      </c>
      <c r="D573" s="221">
        <v>129.67177197597073</v>
      </c>
      <c r="E573" s="221">
        <f t="shared" si="36"/>
        <v>129.67177197597073</v>
      </c>
      <c r="F573" s="188" t="str">
        <f t="shared" si="37"/>
        <v/>
      </c>
      <c r="G573" t="str">
        <f t="shared" si="38"/>
        <v/>
      </c>
      <c r="H573" s="188" t="str">
        <f t="shared" si="35"/>
        <v/>
      </c>
    </row>
    <row r="574" spans="1:9" s="189" customFormat="1">
      <c r="A574" s="187">
        <v>522</v>
      </c>
      <c r="B574" s="222">
        <v>45722</v>
      </c>
      <c r="C574" s="221">
        <v>177.18801422823657</v>
      </c>
      <c r="D574" s="221">
        <v>129.67177197597073</v>
      </c>
      <c r="E574" s="221">
        <f t="shared" si="36"/>
        <v>129.67177197597073</v>
      </c>
      <c r="F574" s="188" t="str">
        <f t="shared" si="37"/>
        <v/>
      </c>
      <c r="G574" t="str">
        <f t="shared" si="38"/>
        <v/>
      </c>
      <c r="H574" s="188" t="str">
        <f t="shared" si="35"/>
        <v/>
      </c>
    </row>
    <row r="575" spans="1:9">
      <c r="A575" s="187">
        <v>523</v>
      </c>
      <c r="B575" s="222">
        <v>45723</v>
      </c>
      <c r="C575" s="221">
        <v>163.07393469623472</v>
      </c>
      <c r="D575" s="221">
        <v>129.67177197597073</v>
      </c>
      <c r="E575" s="221">
        <f t="shared" si="36"/>
        <v>129.67177197597073</v>
      </c>
      <c r="F575" s="188" t="str">
        <f t="shared" si="37"/>
        <v/>
      </c>
      <c r="G575" t="str">
        <f t="shared" si="38"/>
        <v/>
      </c>
      <c r="H575" s="188" t="str">
        <f t="shared" si="35"/>
        <v/>
      </c>
      <c r="I575" s="189"/>
    </row>
    <row r="576" spans="1:9">
      <c r="A576" s="187">
        <v>524</v>
      </c>
      <c r="B576" s="222">
        <v>45724</v>
      </c>
      <c r="C576" s="221">
        <v>125.74691929223842</v>
      </c>
      <c r="D576" s="221">
        <v>129.67177197597073</v>
      </c>
      <c r="E576" s="221">
        <f t="shared" si="36"/>
        <v>125.74691929223842</v>
      </c>
      <c r="F576" s="188" t="str">
        <f t="shared" si="37"/>
        <v/>
      </c>
      <c r="G576" t="str">
        <f t="shared" si="38"/>
        <v/>
      </c>
      <c r="H576" s="188" t="str">
        <f t="shared" si="35"/>
        <v/>
      </c>
      <c r="I576" s="189"/>
    </row>
    <row r="577" spans="1:9">
      <c r="A577" s="187">
        <v>525</v>
      </c>
      <c r="B577" s="222">
        <v>45725</v>
      </c>
      <c r="C577" s="221">
        <v>150.77340681623468</v>
      </c>
      <c r="D577" s="221">
        <v>129.67177197597073</v>
      </c>
      <c r="E577" s="221">
        <f t="shared" si="36"/>
        <v>129.67177197597073</v>
      </c>
      <c r="F577" s="188" t="str">
        <f t="shared" si="37"/>
        <v/>
      </c>
      <c r="G577" t="str">
        <f t="shared" si="38"/>
        <v/>
      </c>
      <c r="H577" s="188" t="str">
        <f t="shared" si="35"/>
        <v/>
      </c>
      <c r="I577" s="189"/>
    </row>
    <row r="578" spans="1:9">
      <c r="A578" s="187">
        <v>526</v>
      </c>
      <c r="B578" s="222">
        <v>45726</v>
      </c>
      <c r="C578" s="221">
        <v>203.40770216823654</v>
      </c>
      <c r="D578" s="221">
        <v>129.67177197597073</v>
      </c>
      <c r="E578" s="221">
        <f t="shared" si="36"/>
        <v>129.67177197597073</v>
      </c>
      <c r="F578" s="188" t="str">
        <f t="shared" si="37"/>
        <v/>
      </c>
      <c r="G578" t="str">
        <f t="shared" si="38"/>
        <v/>
      </c>
      <c r="H578" s="188" t="str">
        <f t="shared" si="35"/>
        <v/>
      </c>
      <c r="I578" s="189"/>
    </row>
    <row r="579" spans="1:9">
      <c r="A579" s="187">
        <v>527</v>
      </c>
      <c r="B579" s="222">
        <v>45727</v>
      </c>
      <c r="C579" s="221">
        <v>206.67058230423282</v>
      </c>
      <c r="D579" s="221">
        <v>129.67177197597073</v>
      </c>
      <c r="E579" s="221">
        <f t="shared" si="36"/>
        <v>129.67177197597073</v>
      </c>
      <c r="F579" s="188" t="str">
        <f t="shared" si="37"/>
        <v/>
      </c>
      <c r="G579" t="str">
        <f t="shared" si="38"/>
        <v/>
      </c>
      <c r="H579" s="188" t="str">
        <f t="shared" ref="H579:H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I579" s="189"/>
    </row>
    <row r="580" spans="1:9">
      <c r="A580" s="187">
        <v>528</v>
      </c>
      <c r="B580" s="222">
        <v>45728</v>
      </c>
      <c r="C580" s="221">
        <v>260.66490308219272</v>
      </c>
      <c r="D580" s="221">
        <v>129.67177197597073</v>
      </c>
      <c r="E580" s="221">
        <f t="shared" si="36"/>
        <v>129.67177197597073</v>
      </c>
      <c r="F580" s="188" t="str">
        <f t="shared" si="37"/>
        <v/>
      </c>
      <c r="G580" t="str">
        <f t="shared" si="38"/>
        <v/>
      </c>
      <c r="H580" s="188" t="str">
        <f t="shared" si="39"/>
        <v/>
      </c>
      <c r="I580" s="189"/>
    </row>
    <row r="581" spans="1:9">
      <c r="A581" s="187">
        <v>529</v>
      </c>
      <c r="B581" s="222">
        <v>45729</v>
      </c>
      <c r="C581" s="221">
        <v>279.58197524218531</v>
      </c>
      <c r="D581" s="221">
        <v>129.67177197597073</v>
      </c>
      <c r="E581" s="221">
        <f t="shared" si="36"/>
        <v>129.67177197597073</v>
      </c>
      <c r="F581" s="188" t="str">
        <f t="shared" si="37"/>
        <v/>
      </c>
      <c r="G581" t="str">
        <f t="shared" si="38"/>
        <v/>
      </c>
      <c r="H581" s="188" t="str">
        <f t="shared" si="39"/>
        <v/>
      </c>
      <c r="I581" s="189"/>
    </row>
    <row r="582" spans="1:9">
      <c r="A582" s="187">
        <v>530</v>
      </c>
      <c r="B582" s="222">
        <v>45730</v>
      </c>
      <c r="C582" s="221">
        <v>268.99954767018897</v>
      </c>
      <c r="D582" s="221">
        <v>129.67177197597073</v>
      </c>
      <c r="E582" s="221">
        <f t="shared" si="36"/>
        <v>129.67177197597073</v>
      </c>
      <c r="F582" s="188" t="str">
        <f t="shared" si="37"/>
        <v/>
      </c>
      <c r="G582" t="str">
        <f t="shared" si="38"/>
        <v/>
      </c>
      <c r="H582" s="188" t="str">
        <f>IF(DAY(B582)=15,IF(MONTH(B582)=1,"E",IF(MONTH(B582)=2,"F",IF(MONTH(B582)=3,"M",IF(MONTH(B582)=4,"A",IF(MONTH(B582)=5,"M",IF(MONTH(B582)=6,"J",IF(MONTH(B582)=7,"J",IF(MONTH(B582)=8,"A",IF(MONTH(B582)=9,"S",IF(MONTH(B582)=10,"O",IF(MONTH(B582)=11,"N",IF(MONTH(B582)=12,"D","")))))))))))),"")</f>
        <v/>
      </c>
      <c r="I582" s="189"/>
    </row>
    <row r="583" spans="1:9">
      <c r="A583" s="187">
        <v>531</v>
      </c>
      <c r="B583" s="222">
        <v>45731</v>
      </c>
      <c r="C583" s="221">
        <v>259.33307406618712</v>
      </c>
      <c r="D583" s="221">
        <v>129.67177197597073</v>
      </c>
      <c r="E583" s="221">
        <f t="shared" si="36"/>
        <v>129.67177197597073</v>
      </c>
      <c r="F583" s="188" t="str">
        <f t="shared" si="37"/>
        <v/>
      </c>
      <c r="G583" t="str">
        <f t="shared" si="38"/>
        <v/>
      </c>
      <c r="H583" s="188" t="str">
        <f t="shared" si="39"/>
        <v>M</v>
      </c>
      <c r="I583" s="189">
        <f>IF(DAY(B583)=15,D583,"")</f>
        <v>129.67177197597073</v>
      </c>
    </row>
    <row r="584" spans="1:9">
      <c r="A584" s="187">
        <v>532</v>
      </c>
      <c r="B584" s="222">
        <v>45732</v>
      </c>
      <c r="C584" s="221">
        <v>258.50382549818897</v>
      </c>
      <c r="D584" s="221">
        <v>129.67177197597073</v>
      </c>
      <c r="E584" s="221">
        <f t="shared" si="36"/>
        <v>129.67177197597073</v>
      </c>
      <c r="F584" s="188" t="str">
        <f t="shared" si="37"/>
        <v/>
      </c>
      <c r="G584" t="str">
        <f t="shared" si="38"/>
        <v/>
      </c>
      <c r="H584" s="188" t="str">
        <f t="shared" si="39"/>
        <v/>
      </c>
      <c r="I584" s="189"/>
    </row>
    <row r="585" spans="1:9">
      <c r="A585" s="187">
        <v>533</v>
      </c>
      <c r="B585" s="222">
        <v>45733</v>
      </c>
      <c r="C585" s="221">
        <v>274.61169779018712</v>
      </c>
      <c r="D585" s="221">
        <v>129.67177197597073</v>
      </c>
      <c r="E585" s="221">
        <f t="shared" si="36"/>
        <v>129.67177197597073</v>
      </c>
      <c r="F585" s="188" t="str">
        <f t="shared" si="37"/>
        <v/>
      </c>
      <c r="G585" t="str">
        <f t="shared" si="38"/>
        <v/>
      </c>
      <c r="H585" s="188" t="str">
        <f>IF(DAY(B585)=15,IF(MONTH(B585)=1,"E",IF(MONTH(B585)=2,"F",IF(MONTH(B585)=3,"M",IF(MONTH(B585)=4,"A",IF(MONTH(B585)=5,"M",IF(MONTH(B585)=6,"J",IF(MONTH(B585)=7,"J",IF(MONTH(B585)=8,"A",IF(MONTH(B585)=9,"S",IF(MONTH(B585)=10,"O",IF(MONTH(B585)=11,"N",IF(MONTH(B585)=12,"D","")))))))))))),"")</f>
        <v/>
      </c>
      <c r="I585" s="189"/>
    </row>
    <row r="586" spans="1:9">
      <c r="A586" s="187">
        <v>534</v>
      </c>
      <c r="B586" s="222">
        <v>45734</v>
      </c>
      <c r="C586" s="221">
        <v>268.36891911018898</v>
      </c>
      <c r="D586" s="221">
        <v>129.67177197597073</v>
      </c>
      <c r="E586" s="221">
        <f t="shared" si="36"/>
        <v>129.67177197597073</v>
      </c>
      <c r="F586" s="188" t="str">
        <f t="shared" si="37"/>
        <v/>
      </c>
      <c r="G586" t="str">
        <f t="shared" si="38"/>
        <v/>
      </c>
      <c r="H586" s="188" t="str">
        <f t="shared" si="39"/>
        <v/>
      </c>
      <c r="I586" s="189"/>
    </row>
    <row r="587" spans="1:9">
      <c r="A587" s="187">
        <v>535</v>
      </c>
      <c r="B587" s="222">
        <v>45735</v>
      </c>
      <c r="C587" s="221">
        <v>253.39516285485877</v>
      </c>
      <c r="D587" s="221">
        <v>129.67177197597073</v>
      </c>
      <c r="E587" s="221">
        <f t="shared" si="36"/>
        <v>129.67177197597073</v>
      </c>
      <c r="F587" s="188" t="str">
        <f t="shared" si="37"/>
        <v/>
      </c>
      <c r="G587" t="str">
        <f t="shared" si="38"/>
        <v/>
      </c>
      <c r="H587" s="188" t="str">
        <f t="shared" si="39"/>
        <v/>
      </c>
      <c r="I587" s="189"/>
    </row>
    <row r="588" spans="1:9">
      <c r="A588" s="187">
        <v>536</v>
      </c>
      <c r="B588" s="222">
        <v>45736</v>
      </c>
      <c r="C588" s="221">
        <v>244.56696613085688</v>
      </c>
      <c r="D588" s="221">
        <v>129.67177197597073</v>
      </c>
      <c r="E588" s="221">
        <f t="shared" si="36"/>
        <v>129.67177197597073</v>
      </c>
      <c r="F588" s="188" t="str">
        <f t="shared" si="37"/>
        <v/>
      </c>
      <c r="G588" t="str">
        <f t="shared" si="38"/>
        <v/>
      </c>
      <c r="H588" s="188" t="str">
        <f t="shared" si="39"/>
        <v/>
      </c>
      <c r="I588" s="189"/>
    </row>
    <row r="589" spans="1:9">
      <c r="A589" s="187">
        <v>537</v>
      </c>
      <c r="B589" s="222">
        <v>45737</v>
      </c>
      <c r="C589" s="221">
        <v>248.87512723485875</v>
      </c>
      <c r="D589" s="221">
        <v>129.67177197597073</v>
      </c>
      <c r="E589" s="221">
        <f t="shared" si="36"/>
        <v>129.67177197597073</v>
      </c>
      <c r="F589" s="188" t="str">
        <f t="shared" si="37"/>
        <v/>
      </c>
      <c r="G589" t="str">
        <f t="shared" si="38"/>
        <v/>
      </c>
      <c r="H589" s="188" t="str">
        <f t="shared" si="39"/>
        <v/>
      </c>
      <c r="I589" s="189"/>
    </row>
    <row r="590" spans="1:9">
      <c r="A590" s="187">
        <v>538</v>
      </c>
      <c r="B590" s="222">
        <v>45738</v>
      </c>
      <c r="C590" s="221">
        <v>257.39827158285874</v>
      </c>
      <c r="D590" s="221">
        <v>129.67177197597073</v>
      </c>
      <c r="E590" s="221">
        <f t="shared" si="36"/>
        <v>129.67177197597073</v>
      </c>
      <c r="F590" s="188" t="str">
        <f t="shared" si="37"/>
        <v/>
      </c>
      <c r="G590" t="str">
        <f t="shared" si="38"/>
        <v/>
      </c>
      <c r="H590" s="188" t="str">
        <f t="shared" si="39"/>
        <v/>
      </c>
      <c r="I590" s="189"/>
    </row>
    <row r="591" spans="1:9" s="189" customFormat="1">
      <c r="A591" s="187">
        <v>539</v>
      </c>
      <c r="B591" s="222">
        <v>45739</v>
      </c>
      <c r="C591" s="221">
        <v>264.16365084285877</v>
      </c>
      <c r="D591" s="221">
        <v>129.67177197597073</v>
      </c>
      <c r="E591" s="221">
        <f t="shared" si="36"/>
        <v>129.67177197597073</v>
      </c>
      <c r="F591" s="188" t="str">
        <f t="shared" si="37"/>
        <v/>
      </c>
      <c r="G591" t="str">
        <f t="shared" si="38"/>
        <v/>
      </c>
      <c r="H591" s="188" t="str">
        <f t="shared" si="39"/>
        <v/>
      </c>
    </row>
    <row r="592" spans="1:9" s="189" customFormat="1">
      <c r="A592" s="187">
        <v>540</v>
      </c>
      <c r="B592" s="222">
        <v>45740</v>
      </c>
      <c r="C592" s="221">
        <v>287.02376599486064</v>
      </c>
      <c r="D592" s="221">
        <v>129.67177197597073</v>
      </c>
      <c r="E592" s="221">
        <f t="shared" si="36"/>
        <v>129.67177197597073</v>
      </c>
      <c r="F592" s="188" t="str">
        <f t="shared" si="37"/>
        <v/>
      </c>
      <c r="G592" t="str">
        <f t="shared" si="38"/>
        <v/>
      </c>
      <c r="H592" s="188" t="str">
        <f t="shared" si="39"/>
        <v/>
      </c>
    </row>
    <row r="593" spans="1:9" s="189" customFormat="1">
      <c r="A593" s="187">
        <v>541</v>
      </c>
      <c r="B593" s="222">
        <v>45741</v>
      </c>
      <c r="C593" s="221">
        <v>303.68461539086059</v>
      </c>
      <c r="D593" s="221">
        <v>129.67177197597073</v>
      </c>
      <c r="E593" s="221">
        <f t="shared" si="36"/>
        <v>129.67177197597073</v>
      </c>
      <c r="F593" s="188" t="str">
        <f t="shared" si="37"/>
        <v/>
      </c>
      <c r="G593" t="str">
        <f t="shared" si="38"/>
        <v/>
      </c>
      <c r="H593" s="188" t="str">
        <f t="shared" si="39"/>
        <v/>
      </c>
    </row>
    <row r="594" spans="1:9" s="189" customFormat="1">
      <c r="A594" s="187">
        <v>542</v>
      </c>
      <c r="B594" s="222">
        <v>45742</v>
      </c>
      <c r="C594" s="221">
        <v>243.07513922999721</v>
      </c>
      <c r="D594" s="221">
        <v>129.67177197597073</v>
      </c>
      <c r="E594" s="221">
        <f t="shared" si="36"/>
        <v>129.67177197597073</v>
      </c>
      <c r="F594" s="188" t="str">
        <f t="shared" si="37"/>
        <v/>
      </c>
      <c r="G594" t="str">
        <f t="shared" si="38"/>
        <v/>
      </c>
      <c r="H594" s="188" t="str">
        <f t="shared" si="39"/>
        <v/>
      </c>
    </row>
    <row r="595" spans="1:9" s="189" customFormat="1">
      <c r="A595" s="187">
        <v>543</v>
      </c>
      <c r="B595" s="222">
        <v>45743</v>
      </c>
      <c r="C595" s="221">
        <v>244.10366804599909</v>
      </c>
      <c r="D595" s="221">
        <v>129.67177197597073</v>
      </c>
      <c r="E595" s="221">
        <f t="shared" si="36"/>
        <v>129.67177197597073</v>
      </c>
      <c r="F595" s="188" t="str">
        <f t="shared" si="37"/>
        <v/>
      </c>
      <c r="G595" t="str">
        <f t="shared" si="38"/>
        <v/>
      </c>
      <c r="H595" s="188" t="str">
        <f t="shared" si="39"/>
        <v/>
      </c>
    </row>
    <row r="596" spans="1:9" s="189" customFormat="1">
      <c r="A596" s="187">
        <v>544</v>
      </c>
      <c r="B596" s="222">
        <v>45744</v>
      </c>
      <c r="C596" s="221">
        <v>231.19215472199534</v>
      </c>
      <c r="D596" s="221">
        <v>129.67177197597073</v>
      </c>
      <c r="E596" s="221">
        <f t="shared" si="36"/>
        <v>129.67177197597073</v>
      </c>
      <c r="F596" s="188" t="str">
        <f t="shared" si="37"/>
        <v/>
      </c>
      <c r="G596" t="str">
        <f t="shared" si="38"/>
        <v/>
      </c>
      <c r="H596" s="188" t="str">
        <f t="shared" si="39"/>
        <v/>
      </c>
    </row>
    <row r="597" spans="1:9" s="189" customFormat="1">
      <c r="A597" s="187">
        <v>545</v>
      </c>
      <c r="B597" s="222">
        <v>45745</v>
      </c>
      <c r="C597" s="221">
        <v>192.08118007399906</v>
      </c>
      <c r="D597" s="221">
        <v>129.67177197597073</v>
      </c>
      <c r="E597" s="221">
        <f t="shared" si="36"/>
        <v>129.67177197597073</v>
      </c>
      <c r="F597" s="188" t="str">
        <f t="shared" si="37"/>
        <v/>
      </c>
      <c r="G597" t="str">
        <f t="shared" si="38"/>
        <v/>
      </c>
      <c r="H597" s="188" t="str">
        <f t="shared" si="39"/>
        <v/>
      </c>
    </row>
    <row r="598" spans="1:9" s="189" customFormat="1">
      <c r="A598" s="187">
        <v>546</v>
      </c>
      <c r="B598" s="222">
        <v>45746</v>
      </c>
      <c r="C598" s="221">
        <v>163.67780198999907</v>
      </c>
      <c r="D598" s="221">
        <v>129.67177197597073</v>
      </c>
      <c r="E598" s="221">
        <f t="shared" si="36"/>
        <v>129.67177197597073</v>
      </c>
      <c r="F598" s="188" t="str">
        <f t="shared" si="37"/>
        <v/>
      </c>
      <c r="G598" t="str">
        <f t="shared" si="38"/>
        <v/>
      </c>
      <c r="H598" s="188" t="str">
        <f t="shared" si="39"/>
        <v/>
      </c>
    </row>
    <row r="599" spans="1:9" s="189" customFormat="1">
      <c r="A599" s="187">
        <v>547</v>
      </c>
      <c r="B599" s="222">
        <v>45747</v>
      </c>
      <c r="C599" s="221">
        <v>194.65612216599908</v>
      </c>
      <c r="D599" s="221">
        <v>129.67177197597073</v>
      </c>
      <c r="E599" s="221">
        <f t="shared" si="36"/>
        <v>129.67177197597073</v>
      </c>
      <c r="F599" s="188" t="str">
        <f t="shared" si="37"/>
        <v/>
      </c>
      <c r="G599" t="str">
        <f t="shared" si="38"/>
        <v/>
      </c>
      <c r="H599" s="188" t="str">
        <f t="shared" si="39"/>
        <v/>
      </c>
    </row>
    <row r="600" spans="1:9" s="189" customFormat="1">
      <c r="A600" s="187">
        <v>548</v>
      </c>
      <c r="B600" s="222">
        <v>45748</v>
      </c>
      <c r="C600" s="221">
        <v>220.91609711799907</v>
      </c>
      <c r="D600" s="221">
        <v>123.24737037204483</v>
      </c>
      <c r="E600" s="221">
        <f t="shared" si="36"/>
        <v>123.24737037204483</v>
      </c>
      <c r="F600" s="188">
        <f t="shared" si="37"/>
        <v>600</v>
      </c>
      <c r="G600" t="str">
        <f t="shared" si="38"/>
        <v/>
      </c>
      <c r="H600" s="188" t="str">
        <f t="shared" si="39"/>
        <v/>
      </c>
    </row>
    <row r="601" spans="1:9" s="189" customFormat="1">
      <c r="A601" s="187">
        <v>549</v>
      </c>
      <c r="B601" s="222">
        <v>45749</v>
      </c>
      <c r="C601" s="221">
        <v>180.20444293612357</v>
      </c>
      <c r="D601" s="221">
        <v>123.24737037204483</v>
      </c>
      <c r="E601" s="221">
        <f t="shared" si="36"/>
        <v>123.24737037204483</v>
      </c>
      <c r="F601" s="188" t="str">
        <f t="shared" si="37"/>
        <v/>
      </c>
      <c r="G601" t="str">
        <f t="shared" si="38"/>
        <v/>
      </c>
      <c r="H601" s="188" t="str">
        <f t="shared" si="39"/>
        <v/>
      </c>
    </row>
    <row r="602" spans="1:9" s="189" customFormat="1">
      <c r="A602" s="187">
        <v>550</v>
      </c>
      <c r="B602" s="222">
        <v>45750</v>
      </c>
      <c r="C602" s="221">
        <v>180.65194961611985</v>
      </c>
      <c r="D602" s="221">
        <v>123.24737037204483</v>
      </c>
      <c r="E602" s="221">
        <f t="shared" si="36"/>
        <v>123.24737037204483</v>
      </c>
      <c r="F602" s="188" t="str">
        <f t="shared" si="37"/>
        <v/>
      </c>
      <c r="G602" t="str">
        <f t="shared" si="38"/>
        <v/>
      </c>
      <c r="H602" s="188" t="str">
        <f t="shared" si="39"/>
        <v/>
      </c>
    </row>
    <row r="603" spans="1:9" s="189" customFormat="1">
      <c r="A603" s="187">
        <v>551</v>
      </c>
      <c r="B603" s="222">
        <v>45751</v>
      </c>
      <c r="C603" s="221">
        <v>167.7407860641236</v>
      </c>
      <c r="D603" s="221">
        <v>123.24737037204483</v>
      </c>
      <c r="E603" s="221">
        <f t="shared" si="36"/>
        <v>123.24737037204483</v>
      </c>
      <c r="F603" s="188" t="str">
        <f t="shared" si="37"/>
        <v/>
      </c>
      <c r="G603" t="str">
        <f t="shared" si="38"/>
        <v/>
      </c>
      <c r="H603" s="188" t="str">
        <f t="shared" si="39"/>
        <v/>
      </c>
    </row>
    <row r="604" spans="1:9" s="189" customFormat="1">
      <c r="A604" s="187">
        <v>552</v>
      </c>
      <c r="B604" s="222">
        <v>45752</v>
      </c>
      <c r="C604" s="221">
        <v>159.5159401401236</v>
      </c>
      <c r="D604" s="221">
        <v>123.24737037204483</v>
      </c>
      <c r="E604" s="221">
        <f t="shared" si="36"/>
        <v>123.24737037204483</v>
      </c>
      <c r="F604" s="188" t="str">
        <f t="shared" si="37"/>
        <v/>
      </c>
      <c r="G604" t="str">
        <f t="shared" si="38"/>
        <v/>
      </c>
      <c r="H604" s="188" t="str">
        <f t="shared" si="39"/>
        <v/>
      </c>
    </row>
    <row r="605" spans="1:9" s="189" customFormat="1">
      <c r="A605" s="187">
        <v>553</v>
      </c>
      <c r="B605" s="222">
        <v>45753</v>
      </c>
      <c r="C605" s="221">
        <v>156.28354039611989</v>
      </c>
      <c r="D605" s="221">
        <v>123.24737037204483</v>
      </c>
      <c r="E605" s="221">
        <f t="shared" si="36"/>
        <v>123.24737037204483</v>
      </c>
      <c r="F605" s="188" t="str">
        <f t="shared" si="37"/>
        <v/>
      </c>
      <c r="G605" t="str">
        <f t="shared" si="38"/>
        <v/>
      </c>
      <c r="H605" s="188" t="str">
        <f t="shared" si="39"/>
        <v/>
      </c>
    </row>
    <row r="606" spans="1:9" s="189" customFormat="1">
      <c r="A606" s="187">
        <v>554</v>
      </c>
      <c r="B606" s="222">
        <v>45754</v>
      </c>
      <c r="C606" s="221">
        <v>182.49534861212356</v>
      </c>
      <c r="D606" s="221">
        <v>123.24737037204483</v>
      </c>
      <c r="E606" s="221">
        <f t="shared" si="36"/>
        <v>123.24737037204483</v>
      </c>
      <c r="F606" s="188" t="str">
        <f t="shared" si="37"/>
        <v/>
      </c>
      <c r="G606" t="str">
        <f t="shared" si="38"/>
        <v/>
      </c>
      <c r="H606" s="188" t="str">
        <f t="shared" si="39"/>
        <v/>
      </c>
    </row>
    <row r="607" spans="1:9">
      <c r="A607" s="187">
        <v>555</v>
      </c>
      <c r="B607" s="222">
        <v>45755</v>
      </c>
      <c r="C607" s="221">
        <v>187.70822462812171</v>
      </c>
      <c r="D607" s="221">
        <v>123.24737037204483</v>
      </c>
      <c r="E607" s="221">
        <f t="shared" si="36"/>
        <v>123.24737037204483</v>
      </c>
      <c r="F607" s="188" t="str">
        <f t="shared" si="37"/>
        <v/>
      </c>
      <c r="G607" t="str">
        <f t="shared" si="38"/>
        <v/>
      </c>
      <c r="H607" s="188" t="str">
        <f t="shared" si="39"/>
        <v/>
      </c>
      <c r="I607" s="189"/>
    </row>
    <row r="608" spans="1:9">
      <c r="A608" s="187">
        <v>556</v>
      </c>
      <c r="B608" s="222">
        <v>45756</v>
      </c>
      <c r="C608" s="221">
        <v>173.59555560485555</v>
      </c>
      <c r="D608" s="221">
        <v>123.24737037204483</v>
      </c>
      <c r="E608" s="221">
        <f t="shared" si="36"/>
        <v>123.24737037204483</v>
      </c>
      <c r="F608" s="188" t="str">
        <f t="shared" si="37"/>
        <v/>
      </c>
      <c r="G608" t="str">
        <f t="shared" si="38"/>
        <v/>
      </c>
      <c r="H608" s="188" t="str">
        <f t="shared" si="39"/>
        <v/>
      </c>
      <c r="I608" s="189"/>
    </row>
    <row r="609" spans="1:9">
      <c r="A609" s="187">
        <v>557</v>
      </c>
      <c r="B609" s="222">
        <v>45757</v>
      </c>
      <c r="C609" s="221">
        <v>155.95361372885742</v>
      </c>
      <c r="D609" s="221">
        <v>123.24737037204483</v>
      </c>
      <c r="E609" s="221">
        <f t="shared" si="36"/>
        <v>123.24737037204483</v>
      </c>
      <c r="F609" s="188" t="str">
        <f t="shared" si="37"/>
        <v/>
      </c>
      <c r="G609" t="str">
        <f t="shared" si="38"/>
        <v/>
      </c>
      <c r="H609" s="188" t="str">
        <f t="shared" si="39"/>
        <v/>
      </c>
      <c r="I609" s="189"/>
    </row>
    <row r="610" spans="1:9">
      <c r="A610" s="187">
        <v>558</v>
      </c>
      <c r="B610" s="222">
        <v>45758</v>
      </c>
      <c r="C610" s="221">
        <v>162.01836914885556</v>
      </c>
      <c r="D610" s="221">
        <v>123.24737037204483</v>
      </c>
      <c r="E610" s="221">
        <f t="shared" si="36"/>
        <v>123.24737037204483</v>
      </c>
      <c r="F610" s="188" t="str">
        <f t="shared" si="37"/>
        <v/>
      </c>
      <c r="G610" t="str">
        <f t="shared" si="38"/>
        <v/>
      </c>
      <c r="H610" s="188" t="str">
        <f t="shared" si="39"/>
        <v/>
      </c>
      <c r="I610" s="189"/>
    </row>
    <row r="611" spans="1:9">
      <c r="A611" s="187">
        <v>559</v>
      </c>
      <c r="B611" s="222">
        <v>45759</v>
      </c>
      <c r="C611" s="221">
        <v>167.19396951285557</v>
      </c>
      <c r="D611" s="221">
        <v>123.24737037204483</v>
      </c>
      <c r="E611" s="221">
        <f t="shared" si="36"/>
        <v>123.24737037204483</v>
      </c>
      <c r="F611" s="188" t="str">
        <f t="shared" si="37"/>
        <v/>
      </c>
      <c r="G611" t="str">
        <f t="shared" si="38"/>
        <v/>
      </c>
      <c r="H611" s="188" t="str">
        <f t="shared" si="39"/>
        <v/>
      </c>
      <c r="I611" s="189"/>
    </row>
    <row r="612" spans="1:9">
      <c r="A612" s="187">
        <v>560</v>
      </c>
      <c r="B612" s="222">
        <v>45760</v>
      </c>
      <c r="C612" s="221">
        <v>150.14649389685371</v>
      </c>
      <c r="D612" s="221">
        <v>123.24737037204483</v>
      </c>
      <c r="E612" s="221">
        <f t="shared" si="36"/>
        <v>123.24737037204483</v>
      </c>
      <c r="F612" s="188" t="str">
        <f t="shared" si="37"/>
        <v/>
      </c>
      <c r="G612" t="str">
        <f t="shared" si="38"/>
        <v/>
      </c>
      <c r="H612" s="188" t="str">
        <f t="shared" si="39"/>
        <v/>
      </c>
      <c r="I612" s="189"/>
    </row>
    <row r="613" spans="1:9">
      <c r="A613" s="187">
        <v>561</v>
      </c>
      <c r="B613" s="222">
        <v>45761</v>
      </c>
      <c r="C613" s="221">
        <v>157.91851472486115</v>
      </c>
      <c r="D613" s="221">
        <v>123.24737037204483</v>
      </c>
      <c r="E613" s="221">
        <f t="shared" si="36"/>
        <v>123.24737037204483</v>
      </c>
      <c r="F613" s="188" t="str">
        <f t="shared" si="37"/>
        <v/>
      </c>
      <c r="G613" t="str">
        <f t="shared" si="38"/>
        <v/>
      </c>
      <c r="H613" s="188" t="str">
        <f>IF(DAY(B613)=15,IF(MONTH(B613)=1,"E",IF(MONTH(B613)=2,"F",IF(MONTH(B613)=3,"M",IF(MONTH(B613)=4,"A",IF(MONTH(B613)=5,"M",IF(MONTH(B613)=6,"J",IF(MONTH(B613)=7,"J",IF(MONTH(B613)=8,"A",IF(MONTH(B613)=9,"S",IF(MONTH(B613)=10,"O",IF(MONTH(B613)=11,"N",IF(MONTH(B613)=12,"D","")))))))))))),"")</f>
        <v/>
      </c>
      <c r="I613" s="189"/>
    </row>
    <row r="614" spans="1:9">
      <c r="A614" s="187">
        <v>562</v>
      </c>
      <c r="B614" s="222">
        <v>45762</v>
      </c>
      <c r="C614" s="221">
        <v>143.22710196885558</v>
      </c>
      <c r="D614" s="221">
        <v>123.24737037204483</v>
      </c>
      <c r="E614" s="221">
        <f t="shared" si="36"/>
        <v>123.24737037204483</v>
      </c>
      <c r="F614" s="188" t="str">
        <f t="shared" si="37"/>
        <v/>
      </c>
      <c r="G614" t="str">
        <f t="shared" si="38"/>
        <v/>
      </c>
      <c r="H614" s="188" t="str">
        <f t="shared" si="39"/>
        <v>A</v>
      </c>
      <c r="I614" s="189">
        <f>IF(DAY(B614)=15,D614,"")</f>
        <v>123.24737037204483</v>
      </c>
    </row>
    <row r="615" spans="1:9">
      <c r="A615" s="187">
        <v>563</v>
      </c>
      <c r="B615" s="222">
        <v>45763</v>
      </c>
      <c r="C615" s="221">
        <v>199.31030269631856</v>
      </c>
      <c r="D615" s="221">
        <v>123.24737037204483</v>
      </c>
      <c r="E615" s="221">
        <f t="shared" si="36"/>
        <v>123.24737037204483</v>
      </c>
      <c r="F615" s="188" t="str">
        <f t="shared" si="37"/>
        <v/>
      </c>
      <c r="G615" t="str">
        <f t="shared" si="38"/>
        <v/>
      </c>
      <c r="H615" s="188" t="str">
        <f>IF(DAY(B615)=15,IF(MONTH(B615)=1,"E",IF(MONTH(B615)=2,"F",IF(MONTH(B615)=3,"M",IF(MONTH(B615)=4,"A",IF(MONTH(B615)=5,"M",IF(MONTH(B615)=6,"J",IF(MONTH(B615)=7,"J",IF(MONTH(B615)=8,"A",IF(MONTH(B615)=9,"S",IF(MONTH(B615)=10,"O",IF(MONTH(B615)=11,"N",IF(MONTH(B615)=12,"D","")))))))))))),"")</f>
        <v/>
      </c>
      <c r="I615" s="189"/>
    </row>
    <row r="616" spans="1:9">
      <c r="A616" s="187">
        <v>564</v>
      </c>
      <c r="B616" s="222">
        <v>45764</v>
      </c>
      <c r="C616" s="221">
        <v>196.35778235632415</v>
      </c>
      <c r="D616" s="221">
        <v>123.24737037204483</v>
      </c>
      <c r="E616" s="221">
        <f t="shared" si="36"/>
        <v>123.24737037204483</v>
      </c>
      <c r="F616" s="188" t="str">
        <f t="shared" si="37"/>
        <v/>
      </c>
      <c r="G616" t="str">
        <f t="shared" si="38"/>
        <v/>
      </c>
      <c r="H616" s="188" t="str">
        <f>IF(DAY(B616)=15,IF(MONTH(B616)=1,"E",IF(MONTH(B616)=2,"F",IF(MONTH(B616)=3,"M",IF(MONTH(B616)=4,"A",IF(MONTH(B616)=5,"M",IF(MONTH(B616)=6,"J",IF(MONTH(B616)=7,"J",IF(MONTH(B616)=8,"A",IF(MONTH(B616)=9,"S",IF(MONTH(B616)=10,"O",IF(MONTH(B616)=11,"N",IF(MONTH(B616)=12,"D","")))))))))))),"")</f>
        <v/>
      </c>
      <c r="I616" s="189"/>
    </row>
    <row r="617" spans="1:9">
      <c r="A617" s="187">
        <v>565</v>
      </c>
      <c r="B617" s="222">
        <v>45765</v>
      </c>
      <c r="C617" s="221">
        <v>192.44321123632042</v>
      </c>
      <c r="D617" s="221">
        <v>123.24737037204483</v>
      </c>
      <c r="E617" s="221">
        <f t="shared" si="36"/>
        <v>123.24737037204483</v>
      </c>
      <c r="F617" s="188" t="str">
        <f t="shared" si="37"/>
        <v/>
      </c>
      <c r="G617" t="str">
        <f t="shared" si="38"/>
        <v/>
      </c>
      <c r="H617" s="188" t="str">
        <f t="shared" si="39"/>
        <v/>
      </c>
      <c r="I617" s="189"/>
    </row>
    <row r="618" spans="1:9">
      <c r="A618" s="187">
        <v>566</v>
      </c>
      <c r="B618" s="222">
        <v>45766</v>
      </c>
      <c r="C618" s="221">
        <v>184.22701234032232</v>
      </c>
      <c r="D618" s="221">
        <v>123.24737037204483</v>
      </c>
      <c r="E618" s="221">
        <f t="shared" si="36"/>
        <v>123.24737037204483</v>
      </c>
      <c r="F618" s="188" t="str">
        <f t="shared" si="37"/>
        <v/>
      </c>
      <c r="G618" t="str">
        <f t="shared" si="38"/>
        <v/>
      </c>
      <c r="H618" s="188" t="str">
        <f t="shared" si="39"/>
        <v/>
      </c>
      <c r="I618" s="189"/>
    </row>
    <row r="619" spans="1:9">
      <c r="A619" s="187">
        <v>567</v>
      </c>
      <c r="B619" s="222">
        <v>45767</v>
      </c>
      <c r="C619" s="221">
        <v>200.55065833632415</v>
      </c>
      <c r="D619" s="221">
        <v>123.24737037204483</v>
      </c>
      <c r="E619" s="221">
        <f t="shared" si="36"/>
        <v>123.24737037204483</v>
      </c>
      <c r="F619" s="188" t="str">
        <f t="shared" si="37"/>
        <v/>
      </c>
      <c r="G619" t="str">
        <f t="shared" si="38"/>
        <v/>
      </c>
      <c r="H619" s="188" t="str">
        <f t="shared" si="39"/>
        <v/>
      </c>
      <c r="I619" s="189"/>
    </row>
    <row r="620" spans="1:9">
      <c r="A620" s="187">
        <v>568</v>
      </c>
      <c r="B620" s="222">
        <v>45768</v>
      </c>
      <c r="C620" s="221">
        <v>230.44826107632042</v>
      </c>
      <c r="D620" s="221">
        <v>123.24737037204483</v>
      </c>
      <c r="E620" s="221">
        <f t="shared" si="36"/>
        <v>123.24737037204483</v>
      </c>
      <c r="F620" s="188" t="str">
        <f t="shared" si="37"/>
        <v/>
      </c>
      <c r="G620" t="str">
        <f t="shared" si="38"/>
        <v/>
      </c>
      <c r="H620" s="188" t="str">
        <f t="shared" si="39"/>
        <v/>
      </c>
      <c r="I620" s="189"/>
    </row>
    <row r="621" spans="1:9">
      <c r="A621" s="187">
        <v>569</v>
      </c>
      <c r="B621" s="222">
        <v>45769</v>
      </c>
      <c r="C621" s="221">
        <v>246.66486100432601</v>
      </c>
      <c r="D621" s="221">
        <v>123.24737037204483</v>
      </c>
      <c r="E621" s="221">
        <f t="shared" si="36"/>
        <v>123.24737037204483</v>
      </c>
      <c r="F621" s="188" t="str">
        <f t="shared" si="37"/>
        <v/>
      </c>
      <c r="G621" t="str">
        <f t="shared" si="38"/>
        <v/>
      </c>
      <c r="H621" s="188" t="str">
        <f t="shared" si="39"/>
        <v/>
      </c>
      <c r="I621" s="189"/>
    </row>
    <row r="622" spans="1:9">
      <c r="A622" s="187">
        <v>570</v>
      </c>
      <c r="B622" s="222">
        <v>45770</v>
      </c>
      <c r="C622" s="221">
        <v>197.83856872807988</v>
      </c>
      <c r="D622" s="221">
        <v>123.24737037204483</v>
      </c>
      <c r="E622" s="221">
        <f t="shared" si="36"/>
        <v>123.24737037204483</v>
      </c>
      <c r="F622" s="188" t="str">
        <f t="shared" si="37"/>
        <v/>
      </c>
      <c r="G622" t="str">
        <f t="shared" si="38"/>
        <v/>
      </c>
      <c r="H622" s="188" t="str">
        <f t="shared" si="39"/>
        <v/>
      </c>
      <c r="I622" s="189"/>
    </row>
    <row r="623" spans="1:9" s="189" customFormat="1">
      <c r="A623" s="187">
        <v>571</v>
      </c>
      <c r="B623" s="222">
        <v>45771</v>
      </c>
      <c r="C623" s="221">
        <v>180.858270072078</v>
      </c>
      <c r="D623" s="221">
        <v>123.24737037204483</v>
      </c>
      <c r="E623" s="221">
        <f t="shared" si="36"/>
        <v>123.24737037204483</v>
      </c>
      <c r="F623" s="188" t="str">
        <f t="shared" si="37"/>
        <v/>
      </c>
      <c r="G623" t="str">
        <f t="shared" si="38"/>
        <v/>
      </c>
      <c r="H623" s="188" t="str">
        <f t="shared" si="39"/>
        <v/>
      </c>
    </row>
    <row r="624" spans="1:9" s="189" customFormat="1">
      <c r="A624" s="187">
        <v>572</v>
      </c>
      <c r="B624" s="222">
        <v>45772</v>
      </c>
      <c r="C624" s="221">
        <v>183.52461616008173</v>
      </c>
      <c r="D624" s="221">
        <v>123.24737037204483</v>
      </c>
      <c r="E624" s="221">
        <f t="shared" si="36"/>
        <v>123.24737037204483</v>
      </c>
      <c r="F624" s="188" t="str">
        <f t="shared" si="37"/>
        <v/>
      </c>
      <c r="G624" t="str">
        <f t="shared" si="38"/>
        <v/>
      </c>
      <c r="H624" s="188" t="str">
        <f t="shared" si="39"/>
        <v/>
      </c>
    </row>
    <row r="625" spans="1:9" s="189" customFormat="1">
      <c r="A625" s="187">
        <v>573</v>
      </c>
      <c r="B625" s="222">
        <v>45773</v>
      </c>
      <c r="C625" s="221">
        <v>149.31526525208361</v>
      </c>
      <c r="D625" s="221">
        <v>123.24737037204483</v>
      </c>
      <c r="E625" s="221">
        <f t="shared" si="36"/>
        <v>123.24737037204483</v>
      </c>
      <c r="F625" s="188" t="str">
        <f t="shared" si="37"/>
        <v/>
      </c>
      <c r="G625" t="str">
        <f t="shared" si="38"/>
        <v/>
      </c>
      <c r="H625" s="188" t="str">
        <f t="shared" si="39"/>
        <v/>
      </c>
    </row>
    <row r="626" spans="1:9" s="189" customFormat="1">
      <c r="A626" s="187">
        <v>574</v>
      </c>
      <c r="B626" s="222">
        <v>45774</v>
      </c>
      <c r="C626" s="221">
        <v>134.77316206808359</v>
      </c>
      <c r="D626" s="221">
        <v>123.24737037204483</v>
      </c>
      <c r="E626" s="221">
        <f t="shared" si="36"/>
        <v>123.24737037204483</v>
      </c>
      <c r="F626" s="188" t="str">
        <f t="shared" si="37"/>
        <v/>
      </c>
      <c r="G626" t="str">
        <f t="shared" si="38"/>
        <v/>
      </c>
      <c r="H626" s="188" t="str">
        <f t="shared" si="39"/>
        <v/>
      </c>
    </row>
    <row r="627" spans="1:9" s="189" customFormat="1">
      <c r="A627" s="187">
        <v>575</v>
      </c>
      <c r="B627" s="222">
        <v>45775</v>
      </c>
      <c r="C627" s="221">
        <v>135.23444620407614</v>
      </c>
      <c r="D627" s="221">
        <v>123.24737037204483</v>
      </c>
      <c r="E627" s="221">
        <f t="shared" si="36"/>
        <v>123.24737037204483</v>
      </c>
      <c r="F627" s="188" t="str">
        <f t="shared" si="37"/>
        <v/>
      </c>
      <c r="G627" t="str">
        <f t="shared" si="38"/>
        <v/>
      </c>
      <c r="H627" s="188" t="str">
        <f t="shared" si="39"/>
        <v/>
      </c>
    </row>
    <row r="628" spans="1:9" s="189" customFormat="1">
      <c r="A628" s="187">
        <v>576</v>
      </c>
      <c r="B628" s="222">
        <v>45776</v>
      </c>
      <c r="C628" s="221">
        <v>199.08417822908359</v>
      </c>
      <c r="D628" s="221">
        <v>123.24737037204483</v>
      </c>
      <c r="E628" s="221">
        <f t="shared" ref="E628:E691" si="40">IF(C628&lt;D628,C628,D628)</f>
        <v>123.24737037204483</v>
      </c>
      <c r="F628" s="188" t="str">
        <f t="shared" ref="F628:F691" si="41">IF(DAY(B628)=1,600,"")</f>
        <v/>
      </c>
      <c r="G628" t="str">
        <f t="shared" si="38"/>
        <v/>
      </c>
      <c r="H628" s="188" t="str">
        <f t="shared" si="39"/>
        <v/>
      </c>
    </row>
    <row r="629" spans="1:9" s="189" customFormat="1">
      <c r="A629" s="187">
        <v>577</v>
      </c>
      <c r="B629" s="222">
        <v>45777</v>
      </c>
      <c r="C629" s="221">
        <v>157.86412479189696</v>
      </c>
      <c r="D629" s="221">
        <v>123.24737037204483</v>
      </c>
      <c r="E629" s="221">
        <f t="shared" si="40"/>
        <v>123.24737037204483</v>
      </c>
      <c r="F629" s="188" t="str">
        <f t="shared" si="41"/>
        <v/>
      </c>
      <c r="G629" t="str">
        <f t="shared" si="38"/>
        <v/>
      </c>
      <c r="H629" s="188" t="str">
        <f t="shared" si="39"/>
        <v/>
      </c>
    </row>
    <row r="630" spans="1:9" s="189" customFormat="1">
      <c r="A630" s="187">
        <v>578</v>
      </c>
      <c r="B630" s="222">
        <v>45778</v>
      </c>
      <c r="C630" s="221">
        <v>140.12949234489508</v>
      </c>
      <c r="D630" s="221">
        <v>94.081084096418962</v>
      </c>
      <c r="E630" s="221">
        <f t="shared" si="40"/>
        <v>94.081084096418962</v>
      </c>
      <c r="F630" s="188">
        <f t="shared" si="41"/>
        <v>600</v>
      </c>
      <c r="G630" t="str">
        <f t="shared" ref="G630:G693" si="42">IF(MONTH(B630)=1,IF(DAY(B630)=1,YEAR(B630),""),"")</f>
        <v/>
      </c>
      <c r="H630" s="188" t="str">
        <f t="shared" si="39"/>
        <v/>
      </c>
    </row>
    <row r="631" spans="1:9" s="189" customFormat="1">
      <c r="A631" s="187">
        <v>579</v>
      </c>
      <c r="B631" s="222">
        <v>45779</v>
      </c>
      <c r="C631" s="221">
        <v>142.79682454489509</v>
      </c>
      <c r="D631" s="221">
        <v>94.081084096418962</v>
      </c>
      <c r="E631" s="221">
        <f t="shared" si="40"/>
        <v>94.081084096418962</v>
      </c>
      <c r="F631" s="188" t="str">
        <f t="shared" si="41"/>
        <v/>
      </c>
      <c r="G631" t="str">
        <f t="shared" si="42"/>
        <v/>
      </c>
      <c r="H631" s="188" t="str">
        <f t="shared" si="39"/>
        <v/>
      </c>
    </row>
    <row r="632" spans="1:9" s="189" customFormat="1">
      <c r="A632" s="187">
        <v>580</v>
      </c>
      <c r="B632" s="222">
        <v>45780</v>
      </c>
      <c r="C632" s="221">
        <v>143.09792462089322</v>
      </c>
      <c r="D632" s="221">
        <v>94.081084096418962</v>
      </c>
      <c r="E632" s="221">
        <f t="shared" si="40"/>
        <v>94.081084096418962</v>
      </c>
      <c r="F632" s="188" t="str">
        <f t="shared" si="41"/>
        <v/>
      </c>
      <c r="G632" t="str">
        <f t="shared" si="42"/>
        <v/>
      </c>
      <c r="H632" s="188" t="str">
        <f t="shared" si="39"/>
        <v/>
      </c>
    </row>
    <row r="633" spans="1:9" s="189" customFormat="1">
      <c r="A633" s="187">
        <v>581</v>
      </c>
      <c r="B633" s="222">
        <v>45781</v>
      </c>
      <c r="C633" s="221">
        <v>135.55519349689322</v>
      </c>
      <c r="D633" s="221">
        <v>94.081084096418962</v>
      </c>
      <c r="E633" s="221">
        <f t="shared" si="40"/>
        <v>94.081084096418962</v>
      </c>
      <c r="F633" s="188" t="str">
        <f t="shared" si="41"/>
        <v/>
      </c>
      <c r="G633" t="str">
        <f t="shared" si="42"/>
        <v/>
      </c>
      <c r="H633" s="188" t="str">
        <f t="shared" si="39"/>
        <v/>
      </c>
    </row>
    <row r="634" spans="1:9" s="189" customFormat="1">
      <c r="A634" s="187">
        <v>582</v>
      </c>
      <c r="B634" s="222">
        <v>45782</v>
      </c>
      <c r="C634" s="221">
        <v>149.29507635689694</v>
      </c>
      <c r="D634" s="221">
        <v>94.081084096418962</v>
      </c>
      <c r="E634" s="221">
        <f t="shared" si="40"/>
        <v>94.081084096418962</v>
      </c>
      <c r="F634" s="188" t="str">
        <f t="shared" si="41"/>
        <v/>
      </c>
      <c r="G634" t="str">
        <f t="shared" si="42"/>
        <v/>
      </c>
      <c r="H634" s="188" t="str">
        <f t="shared" si="39"/>
        <v/>
      </c>
    </row>
    <row r="635" spans="1:9" s="189" customFormat="1">
      <c r="A635" s="187">
        <v>583</v>
      </c>
      <c r="B635" s="222">
        <v>45783</v>
      </c>
      <c r="C635" s="221">
        <v>157.60283116089511</v>
      </c>
      <c r="D635" s="221">
        <v>94.081084096418962</v>
      </c>
      <c r="E635" s="221">
        <f t="shared" si="40"/>
        <v>94.081084096418962</v>
      </c>
      <c r="F635" s="188" t="str">
        <f t="shared" si="41"/>
        <v/>
      </c>
      <c r="G635" t="str">
        <f t="shared" si="42"/>
        <v/>
      </c>
      <c r="H635" s="188" t="str">
        <f t="shared" si="39"/>
        <v/>
      </c>
    </row>
    <row r="636" spans="1:9" s="189" customFormat="1">
      <c r="A636" s="187">
        <v>584</v>
      </c>
      <c r="B636" s="222">
        <v>45784</v>
      </c>
      <c r="C636" s="221">
        <v>154.75608242813192</v>
      </c>
      <c r="D636" s="221">
        <v>94.081084096418962</v>
      </c>
      <c r="E636" s="221">
        <f t="shared" si="40"/>
        <v>94.081084096418962</v>
      </c>
      <c r="F636" s="188" t="str">
        <f t="shared" si="41"/>
        <v/>
      </c>
      <c r="G636" t="str">
        <f t="shared" si="42"/>
        <v/>
      </c>
      <c r="H636" s="188" t="str">
        <f t="shared" si="39"/>
        <v/>
      </c>
    </row>
    <row r="637" spans="1:9" s="189" customFormat="1">
      <c r="A637" s="187">
        <v>585</v>
      </c>
      <c r="B637" s="222">
        <v>45785</v>
      </c>
      <c r="C637" s="221">
        <v>172.86082193213193</v>
      </c>
      <c r="D637" s="221">
        <v>94.081084096418962</v>
      </c>
      <c r="E637" s="221">
        <f t="shared" si="40"/>
        <v>94.081084096418962</v>
      </c>
      <c r="F637" s="188" t="str">
        <f t="shared" si="41"/>
        <v/>
      </c>
      <c r="G637" t="str">
        <f t="shared" si="42"/>
        <v/>
      </c>
      <c r="H637" s="188" t="str">
        <f t="shared" si="39"/>
        <v/>
      </c>
    </row>
    <row r="638" spans="1:9" s="189" customFormat="1">
      <c r="A638" s="187">
        <v>586</v>
      </c>
      <c r="B638" s="222">
        <v>45786</v>
      </c>
      <c r="C638" s="221">
        <v>172.2103047571338</v>
      </c>
      <c r="D638" s="221">
        <v>94.081084096418962</v>
      </c>
      <c r="E638" s="221">
        <f t="shared" si="40"/>
        <v>94.081084096418962</v>
      </c>
      <c r="F638" s="188" t="str">
        <f t="shared" si="41"/>
        <v/>
      </c>
      <c r="G638" t="str">
        <f t="shared" si="42"/>
        <v/>
      </c>
      <c r="H638" s="188" t="str">
        <f t="shared" si="39"/>
        <v/>
      </c>
    </row>
    <row r="639" spans="1:9">
      <c r="A639" s="187">
        <v>587</v>
      </c>
      <c r="B639" s="222">
        <v>45787</v>
      </c>
      <c r="C639" s="221">
        <v>137.90163502413006</v>
      </c>
      <c r="D639" s="221">
        <v>94.081084096418962</v>
      </c>
      <c r="E639" s="221">
        <f t="shared" si="40"/>
        <v>94.081084096418962</v>
      </c>
      <c r="F639" s="188" t="str">
        <f t="shared" si="41"/>
        <v/>
      </c>
      <c r="G639" t="str">
        <f t="shared" si="42"/>
        <v/>
      </c>
      <c r="H639" s="188" t="str">
        <f t="shared" si="39"/>
        <v/>
      </c>
      <c r="I639" s="189"/>
    </row>
    <row r="640" spans="1:9">
      <c r="A640" s="187">
        <v>588</v>
      </c>
      <c r="B640" s="222">
        <v>45788</v>
      </c>
      <c r="C640" s="221">
        <v>125.87049791913192</v>
      </c>
      <c r="D640" s="221">
        <v>94.081084096418962</v>
      </c>
      <c r="E640" s="221">
        <f t="shared" si="40"/>
        <v>94.081084096418962</v>
      </c>
      <c r="F640" s="188" t="str">
        <f t="shared" si="41"/>
        <v/>
      </c>
      <c r="G640" t="str">
        <f t="shared" si="42"/>
        <v/>
      </c>
      <c r="H640" s="188" t="str">
        <f t="shared" si="39"/>
        <v/>
      </c>
      <c r="I640" s="189"/>
    </row>
    <row r="641" spans="1:9">
      <c r="A641" s="187">
        <v>589</v>
      </c>
      <c r="B641" s="222">
        <v>45789</v>
      </c>
      <c r="C641" s="221">
        <v>153.65334054513377</v>
      </c>
      <c r="D641" s="221">
        <v>94.081084096418962</v>
      </c>
      <c r="E641" s="221">
        <f t="shared" si="40"/>
        <v>94.081084096418962</v>
      </c>
      <c r="F641" s="188" t="str">
        <f t="shared" si="41"/>
        <v/>
      </c>
      <c r="G641" t="str">
        <f t="shared" si="42"/>
        <v/>
      </c>
      <c r="H641" s="188" t="str">
        <f t="shared" si="39"/>
        <v/>
      </c>
      <c r="I641" s="189"/>
    </row>
    <row r="642" spans="1:9">
      <c r="A642" s="187">
        <v>590</v>
      </c>
      <c r="B642" s="222">
        <v>45790</v>
      </c>
      <c r="C642" s="221">
        <v>153.22896172713376</v>
      </c>
      <c r="D642" s="221">
        <v>94.081084096418962</v>
      </c>
      <c r="E642" s="221">
        <f t="shared" si="40"/>
        <v>94.081084096418962</v>
      </c>
      <c r="F642" s="188" t="str">
        <f t="shared" si="41"/>
        <v/>
      </c>
      <c r="G642" t="str">
        <f t="shared" si="42"/>
        <v/>
      </c>
      <c r="H642" s="188" t="str">
        <f t="shared" si="39"/>
        <v/>
      </c>
      <c r="I642" s="189"/>
    </row>
    <row r="643" spans="1:9">
      <c r="A643" s="187">
        <v>591</v>
      </c>
      <c r="B643" s="222">
        <v>45791</v>
      </c>
      <c r="C643" s="221">
        <v>161.94604865030593</v>
      </c>
      <c r="D643" s="221">
        <v>94.081084096418962</v>
      </c>
      <c r="E643" s="221">
        <f t="shared" si="40"/>
        <v>94.081084096418962</v>
      </c>
      <c r="F643" s="188" t="str">
        <f t="shared" si="41"/>
        <v/>
      </c>
      <c r="G643" t="str">
        <f t="shared" si="42"/>
        <v/>
      </c>
      <c r="H643" s="188" t="str">
        <f t="shared" ref="H643:H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I643" s="189"/>
    </row>
    <row r="644" spans="1:9">
      <c r="A644" s="187">
        <v>592</v>
      </c>
      <c r="B644" s="222">
        <v>45792</v>
      </c>
      <c r="C644" s="221">
        <v>154.06951616230779</v>
      </c>
      <c r="D644" s="221">
        <v>94.081084096418962</v>
      </c>
      <c r="E644" s="221">
        <f t="shared" si="40"/>
        <v>94.081084096418962</v>
      </c>
      <c r="F644" s="188" t="str">
        <f t="shared" si="41"/>
        <v/>
      </c>
      <c r="G644" t="str">
        <f t="shared" si="42"/>
        <v/>
      </c>
      <c r="H644" s="188" t="str">
        <f t="shared" si="43"/>
        <v>M</v>
      </c>
      <c r="I644" s="189">
        <f>IF(DAY(B644)=15,D644,"")</f>
        <v>94.081084096418962</v>
      </c>
    </row>
    <row r="645" spans="1:9">
      <c r="A645" s="187">
        <v>593</v>
      </c>
      <c r="B645" s="222">
        <v>45793</v>
      </c>
      <c r="C645" s="221">
        <v>146.44976514230964</v>
      </c>
      <c r="D645" s="221">
        <v>94.081084096418962</v>
      </c>
      <c r="E645" s="221">
        <f t="shared" si="40"/>
        <v>94.081084096418962</v>
      </c>
      <c r="F645" s="188" t="str">
        <f t="shared" si="41"/>
        <v/>
      </c>
      <c r="G645" t="str">
        <f t="shared" si="42"/>
        <v/>
      </c>
      <c r="H645" s="188" t="str">
        <f t="shared" si="43"/>
        <v/>
      </c>
      <c r="I645" s="189"/>
    </row>
    <row r="646" spans="1:9">
      <c r="A646" s="187">
        <v>594</v>
      </c>
      <c r="B646" s="222">
        <v>45794</v>
      </c>
      <c r="C646" s="221">
        <v>148.80771684230777</v>
      </c>
      <c r="D646" s="221">
        <v>94.081084096418962</v>
      </c>
      <c r="E646" s="221">
        <f t="shared" si="40"/>
        <v>94.081084096418962</v>
      </c>
      <c r="F646" s="188" t="str">
        <f t="shared" si="41"/>
        <v/>
      </c>
      <c r="G646" t="str">
        <f t="shared" si="42"/>
        <v/>
      </c>
      <c r="H646" s="188" t="str">
        <f>IF(DAY(B646)=15,IF(MONTH(B646)=1,"E",IF(MONTH(B646)=2,"F",IF(MONTH(B646)=3,"M",IF(MONTH(B646)=4,"A",IF(MONTH(B646)=5,"M",IF(MONTH(B646)=6,"J",IF(MONTH(B646)=7,"J",IF(MONTH(B646)=8,"A",IF(MONTH(B646)=9,"S",IF(MONTH(B646)=10,"O",IF(MONTH(B646)=11,"N",IF(MONTH(B646)=12,"D","")))))))))))),"")</f>
        <v/>
      </c>
      <c r="I646" s="189"/>
    </row>
    <row r="647" spans="1:9">
      <c r="A647" s="187">
        <v>595</v>
      </c>
      <c r="B647" s="222">
        <v>45795</v>
      </c>
      <c r="C647" s="221">
        <v>134.18698635830592</v>
      </c>
      <c r="D647" s="221">
        <v>94.081084096418962</v>
      </c>
      <c r="E647" s="221">
        <f t="shared" si="40"/>
        <v>94.081084096418962</v>
      </c>
      <c r="F647" s="188" t="str">
        <f t="shared" si="41"/>
        <v/>
      </c>
      <c r="G647" t="str">
        <f t="shared" si="42"/>
        <v/>
      </c>
      <c r="H647" s="188" t="str">
        <f t="shared" si="43"/>
        <v/>
      </c>
      <c r="I647" s="189"/>
    </row>
    <row r="648" spans="1:9">
      <c r="A648" s="187">
        <v>596</v>
      </c>
      <c r="B648" s="222">
        <v>45796</v>
      </c>
      <c r="C648" s="221">
        <v>140.97652798630779</v>
      </c>
      <c r="D648" s="221">
        <v>94.081084096418962</v>
      </c>
      <c r="E648" s="221">
        <f t="shared" si="40"/>
        <v>94.081084096418962</v>
      </c>
      <c r="F648" s="188" t="str">
        <f t="shared" si="41"/>
        <v/>
      </c>
      <c r="G648" t="str">
        <f t="shared" si="42"/>
        <v/>
      </c>
      <c r="H648" s="188" t="str">
        <f t="shared" si="43"/>
        <v/>
      </c>
      <c r="I648" s="189"/>
    </row>
    <row r="649" spans="1:9">
      <c r="A649" s="187">
        <v>597</v>
      </c>
      <c r="B649" s="222">
        <v>45797</v>
      </c>
      <c r="C649" s="221">
        <v>136.81608433430964</v>
      </c>
      <c r="D649" s="221">
        <v>94.081084096418962</v>
      </c>
      <c r="E649" s="221">
        <f t="shared" si="40"/>
        <v>94.081084096418962</v>
      </c>
      <c r="F649" s="188" t="str">
        <f t="shared" si="41"/>
        <v/>
      </c>
      <c r="G649" t="str">
        <f t="shared" si="42"/>
        <v/>
      </c>
      <c r="H649" s="188" t="str">
        <f t="shared" si="43"/>
        <v/>
      </c>
      <c r="I649" s="189"/>
    </row>
    <row r="650" spans="1:9">
      <c r="A650" s="187">
        <v>598</v>
      </c>
      <c r="B650" s="222">
        <v>45798</v>
      </c>
      <c r="C650" s="221">
        <v>138.75881396202365</v>
      </c>
      <c r="D650" s="221">
        <v>94.081084096418962</v>
      </c>
      <c r="E650" s="221">
        <f t="shared" si="40"/>
        <v>94.081084096418962</v>
      </c>
      <c r="F650" s="188" t="str">
        <f t="shared" si="41"/>
        <v/>
      </c>
      <c r="G650" t="str">
        <f t="shared" si="42"/>
        <v/>
      </c>
      <c r="H650" s="188" t="str">
        <f t="shared" si="43"/>
        <v/>
      </c>
      <c r="I650" s="189"/>
    </row>
    <row r="651" spans="1:9">
      <c r="A651" s="187">
        <v>599</v>
      </c>
      <c r="B651" s="222">
        <v>45799</v>
      </c>
      <c r="C651" s="221">
        <v>125.05323810602178</v>
      </c>
      <c r="D651" s="221">
        <v>94.081084096418962</v>
      </c>
      <c r="E651" s="221">
        <f t="shared" si="40"/>
        <v>94.081084096418962</v>
      </c>
      <c r="F651" s="188" t="str">
        <f t="shared" si="41"/>
        <v/>
      </c>
      <c r="G651" t="str">
        <f t="shared" si="42"/>
        <v/>
      </c>
      <c r="H651" s="188" t="str">
        <f t="shared" si="43"/>
        <v/>
      </c>
      <c r="I651" s="189"/>
    </row>
    <row r="652" spans="1:9">
      <c r="A652" s="187">
        <v>600</v>
      </c>
      <c r="B652" s="222">
        <v>45800</v>
      </c>
      <c r="C652" s="221">
        <v>115.11808362602363</v>
      </c>
      <c r="D652" s="221">
        <v>94.081084096418962</v>
      </c>
      <c r="E652" s="221">
        <f t="shared" si="40"/>
        <v>94.081084096418962</v>
      </c>
      <c r="F652" s="188" t="str">
        <f t="shared" si="41"/>
        <v/>
      </c>
      <c r="G652" t="str">
        <f t="shared" si="42"/>
        <v/>
      </c>
      <c r="H652" s="188" t="str">
        <f t="shared" si="43"/>
        <v/>
      </c>
      <c r="I652" s="189"/>
    </row>
    <row r="653" spans="1:9">
      <c r="A653" s="187">
        <v>601</v>
      </c>
      <c r="B653" s="222">
        <v>45801</v>
      </c>
      <c r="C653" s="221">
        <v>102.25645997402549</v>
      </c>
      <c r="D653" s="221">
        <v>94.081084096418962</v>
      </c>
      <c r="E653" s="221">
        <f t="shared" si="40"/>
        <v>94.081084096418962</v>
      </c>
      <c r="F653" s="188" t="str">
        <f t="shared" si="41"/>
        <v/>
      </c>
      <c r="G653" t="str">
        <f t="shared" si="42"/>
        <v/>
      </c>
      <c r="H653" s="188" t="str">
        <f t="shared" si="43"/>
        <v/>
      </c>
      <c r="I653" s="189"/>
    </row>
    <row r="654" spans="1:9">
      <c r="A654" s="187">
        <v>602</v>
      </c>
      <c r="B654" s="222">
        <v>45802</v>
      </c>
      <c r="C654" s="221">
        <v>89.735088242023636</v>
      </c>
      <c r="D654" s="221">
        <v>94.081084096418962</v>
      </c>
      <c r="E654" s="221">
        <f t="shared" si="40"/>
        <v>89.735088242023636</v>
      </c>
      <c r="F654" s="188" t="str">
        <f t="shared" si="41"/>
        <v/>
      </c>
      <c r="G654" t="str">
        <f t="shared" si="42"/>
        <v/>
      </c>
      <c r="H654" s="188" t="str">
        <f t="shared" si="43"/>
        <v/>
      </c>
      <c r="I654" s="189"/>
    </row>
    <row r="655" spans="1:9" s="189" customFormat="1">
      <c r="A655" s="187">
        <v>603</v>
      </c>
      <c r="B655" s="222">
        <v>45803</v>
      </c>
      <c r="C655" s="221">
        <v>113.46330176602363</v>
      </c>
      <c r="D655" s="221">
        <v>94.081084096418962</v>
      </c>
      <c r="E655" s="221">
        <f t="shared" si="40"/>
        <v>94.081084096418962</v>
      </c>
      <c r="F655" s="188" t="str">
        <f t="shared" si="41"/>
        <v/>
      </c>
      <c r="G655" t="str">
        <f t="shared" si="42"/>
        <v/>
      </c>
      <c r="H655" s="188" t="str">
        <f t="shared" si="43"/>
        <v/>
      </c>
    </row>
    <row r="656" spans="1:9" s="189" customFormat="1">
      <c r="A656" s="187">
        <v>604</v>
      </c>
      <c r="B656" s="222">
        <v>45804</v>
      </c>
      <c r="C656" s="221">
        <v>108.28544203402365</v>
      </c>
      <c r="D656" s="221">
        <v>94.081084096418962</v>
      </c>
      <c r="E656" s="221">
        <f t="shared" si="40"/>
        <v>94.081084096418962</v>
      </c>
      <c r="F656" s="188" t="str">
        <f t="shared" si="41"/>
        <v/>
      </c>
      <c r="G656" t="str">
        <f t="shared" si="42"/>
        <v/>
      </c>
      <c r="H656" s="188" t="str">
        <f t="shared" si="43"/>
        <v/>
      </c>
    </row>
    <row r="657" spans="1:9" s="189" customFormat="1">
      <c r="A657" s="187">
        <v>605</v>
      </c>
      <c r="B657" s="222">
        <v>45805</v>
      </c>
      <c r="C657" s="221">
        <v>85.334210380966525</v>
      </c>
      <c r="D657" s="221">
        <v>94.081084096418962</v>
      </c>
      <c r="E657" s="221">
        <f t="shared" si="40"/>
        <v>85.334210380966525</v>
      </c>
      <c r="F657" s="188" t="str">
        <f t="shared" si="41"/>
        <v/>
      </c>
      <c r="G657" t="str">
        <f t="shared" si="42"/>
        <v/>
      </c>
      <c r="H657" s="188" t="str">
        <f t="shared" si="43"/>
        <v/>
      </c>
    </row>
    <row r="658" spans="1:9" s="189" customFormat="1">
      <c r="A658" s="187">
        <v>606</v>
      </c>
      <c r="B658" s="222">
        <v>45806</v>
      </c>
      <c r="C658" s="221">
        <v>82.878699856966534</v>
      </c>
      <c r="D658" s="221">
        <v>94.081084096418962</v>
      </c>
      <c r="E658" s="221">
        <f t="shared" si="40"/>
        <v>82.878699856966534</v>
      </c>
      <c r="F658" s="188" t="str">
        <f t="shared" si="41"/>
        <v/>
      </c>
      <c r="G658" t="str">
        <f t="shared" si="42"/>
        <v/>
      </c>
      <c r="H658" s="188" t="str">
        <f t="shared" si="43"/>
        <v/>
      </c>
    </row>
    <row r="659" spans="1:9" s="189" customFormat="1">
      <c r="A659" s="187">
        <v>607</v>
      </c>
      <c r="B659" s="222">
        <v>45807</v>
      </c>
      <c r="C659" s="221">
        <v>81.314931692968401</v>
      </c>
      <c r="D659" s="221">
        <v>94.081084096418962</v>
      </c>
      <c r="E659" s="221">
        <f t="shared" si="40"/>
        <v>81.314931692968401</v>
      </c>
      <c r="F659" s="188" t="str">
        <f t="shared" si="41"/>
        <v/>
      </c>
      <c r="G659" t="str">
        <f t="shared" si="42"/>
        <v/>
      </c>
      <c r="H659" s="188" t="str">
        <f t="shared" si="43"/>
        <v/>
      </c>
    </row>
    <row r="660" spans="1:9" s="189" customFormat="1">
      <c r="A660" s="187">
        <v>608</v>
      </c>
      <c r="B660" s="222">
        <v>45808</v>
      </c>
      <c r="C660" s="221">
        <v>67.374158356966518</v>
      </c>
      <c r="D660" s="221">
        <v>94.081084096418962</v>
      </c>
      <c r="E660" s="221">
        <f t="shared" si="40"/>
        <v>67.374158356966518</v>
      </c>
      <c r="F660" s="188" t="str">
        <f t="shared" si="41"/>
        <v/>
      </c>
      <c r="G660" t="str">
        <f t="shared" si="42"/>
        <v/>
      </c>
      <c r="H660" s="188" t="str">
        <f t="shared" si="43"/>
        <v/>
      </c>
    </row>
    <row r="661" spans="1:9" s="189" customFormat="1">
      <c r="A661" s="187">
        <v>609</v>
      </c>
      <c r="B661" s="222">
        <v>45809</v>
      </c>
      <c r="C661" s="221">
        <v>58.598271992964669</v>
      </c>
      <c r="D661" s="221">
        <v>61.406867513274626</v>
      </c>
      <c r="E661" s="221">
        <f t="shared" si="40"/>
        <v>58.598271992964669</v>
      </c>
      <c r="F661" s="188">
        <f t="shared" si="41"/>
        <v>600</v>
      </c>
      <c r="G661" t="str">
        <f t="shared" si="42"/>
        <v/>
      </c>
      <c r="H661" s="188" t="str">
        <f t="shared" si="43"/>
        <v/>
      </c>
    </row>
    <row r="662" spans="1:9" s="189" customFormat="1">
      <c r="A662" s="187">
        <v>610</v>
      </c>
      <c r="B662" s="222">
        <v>45810</v>
      </c>
      <c r="C662" s="221">
        <v>68.619776628966534</v>
      </c>
      <c r="D662" s="221">
        <v>61.406867513274626</v>
      </c>
      <c r="E662" s="221">
        <f t="shared" si="40"/>
        <v>61.406867513274626</v>
      </c>
      <c r="F662" s="188" t="str">
        <f t="shared" si="41"/>
        <v/>
      </c>
      <c r="G662" t="str">
        <f t="shared" si="42"/>
        <v/>
      </c>
      <c r="H662" s="188" t="str">
        <f t="shared" si="43"/>
        <v/>
      </c>
    </row>
    <row r="663" spans="1:9" s="189" customFormat="1">
      <c r="A663" s="187">
        <v>611</v>
      </c>
      <c r="B663" s="222">
        <v>45811</v>
      </c>
      <c r="C663" s="221">
        <v>77.949065616968397</v>
      </c>
      <c r="D663" s="221">
        <v>61.406867513274626</v>
      </c>
      <c r="E663" s="221">
        <f t="shared" si="40"/>
        <v>61.406867513274626</v>
      </c>
      <c r="F663" s="188" t="str">
        <f t="shared" si="41"/>
        <v/>
      </c>
      <c r="G663" t="str">
        <f t="shared" si="42"/>
        <v/>
      </c>
      <c r="H663" s="188" t="str">
        <f t="shared" si="43"/>
        <v/>
      </c>
    </row>
    <row r="664" spans="1:9" s="189" customFormat="1">
      <c r="A664" s="187">
        <v>612</v>
      </c>
      <c r="B664" s="222">
        <v>45812</v>
      </c>
      <c r="C664" s="221">
        <v>81.672736388919745</v>
      </c>
      <c r="D664" s="221">
        <v>61.406867513274626</v>
      </c>
      <c r="E664" s="221">
        <f t="shared" si="40"/>
        <v>61.406867513274626</v>
      </c>
      <c r="F664" s="188" t="str">
        <f t="shared" si="41"/>
        <v/>
      </c>
      <c r="G664" t="str">
        <f t="shared" si="42"/>
        <v/>
      </c>
      <c r="H664" s="188" t="str">
        <f t="shared" si="43"/>
        <v/>
      </c>
    </row>
    <row r="665" spans="1:9" s="189" customFormat="1">
      <c r="A665" s="187">
        <v>613</v>
      </c>
      <c r="B665" s="222">
        <v>45813</v>
      </c>
      <c r="C665" s="221">
        <v>71.523855384919756</v>
      </c>
      <c r="D665" s="221">
        <v>61.406867513274626</v>
      </c>
      <c r="E665" s="221">
        <f t="shared" si="40"/>
        <v>61.406867513274626</v>
      </c>
      <c r="F665" s="188" t="str">
        <f t="shared" si="41"/>
        <v/>
      </c>
      <c r="G665" t="str">
        <f t="shared" si="42"/>
        <v/>
      </c>
      <c r="H665" s="188" t="str">
        <f t="shared" si="43"/>
        <v/>
      </c>
    </row>
    <row r="666" spans="1:9" s="189" customFormat="1">
      <c r="A666" s="187">
        <v>614</v>
      </c>
      <c r="B666" s="222">
        <v>45814</v>
      </c>
      <c r="C666" s="221">
        <v>77.406571172919755</v>
      </c>
      <c r="D666" s="221">
        <v>61.406867513274626</v>
      </c>
      <c r="E666" s="221">
        <f t="shared" si="40"/>
        <v>61.406867513274626</v>
      </c>
      <c r="F666" s="188" t="str">
        <f t="shared" si="41"/>
        <v/>
      </c>
      <c r="G666" t="str">
        <f t="shared" si="42"/>
        <v/>
      </c>
      <c r="H666" s="188" t="str">
        <f t="shared" si="43"/>
        <v/>
      </c>
    </row>
    <row r="667" spans="1:9" s="189" customFormat="1">
      <c r="A667" s="187">
        <v>615</v>
      </c>
      <c r="B667" s="222">
        <v>45815</v>
      </c>
      <c r="C667" s="221">
        <v>59.633907156917878</v>
      </c>
      <c r="D667" s="221">
        <v>61.406867513274626</v>
      </c>
      <c r="E667" s="221">
        <f t="shared" si="40"/>
        <v>59.633907156917878</v>
      </c>
      <c r="F667" s="188" t="str">
        <f t="shared" si="41"/>
        <v/>
      </c>
      <c r="G667" t="str">
        <f t="shared" si="42"/>
        <v/>
      </c>
      <c r="H667" s="188" t="str">
        <f t="shared" si="43"/>
        <v/>
      </c>
    </row>
    <row r="668" spans="1:9" s="189" customFormat="1">
      <c r="A668" s="187">
        <v>616</v>
      </c>
      <c r="B668" s="222">
        <v>45816</v>
      </c>
      <c r="C668" s="221">
        <v>45.355526304921611</v>
      </c>
      <c r="D668" s="221">
        <v>61.406867513274626</v>
      </c>
      <c r="E668" s="221">
        <f t="shared" si="40"/>
        <v>45.355526304921611</v>
      </c>
      <c r="F668" s="188" t="str">
        <f t="shared" si="41"/>
        <v/>
      </c>
      <c r="G668" t="str">
        <f t="shared" si="42"/>
        <v/>
      </c>
      <c r="H668" s="188" t="str">
        <f t="shared" si="43"/>
        <v/>
      </c>
    </row>
    <row r="669" spans="1:9" s="189" customFormat="1">
      <c r="A669" s="187">
        <v>617</v>
      </c>
      <c r="B669" s="222">
        <v>45817</v>
      </c>
      <c r="C669" s="221">
        <v>71.81890005291973</v>
      </c>
      <c r="D669" s="221">
        <v>61.406867513274626</v>
      </c>
      <c r="E669" s="221">
        <f t="shared" si="40"/>
        <v>61.406867513274626</v>
      </c>
      <c r="F669" s="188" t="str">
        <f t="shared" si="41"/>
        <v/>
      </c>
      <c r="G669" t="str">
        <f t="shared" si="42"/>
        <v/>
      </c>
      <c r="H669" s="188" t="str">
        <f t="shared" si="43"/>
        <v/>
      </c>
    </row>
    <row r="670" spans="1:9" s="189" customFormat="1">
      <c r="A670" s="187">
        <v>618</v>
      </c>
      <c r="B670" s="222">
        <v>45818</v>
      </c>
      <c r="C670" s="221">
        <v>94.682567192919748</v>
      </c>
      <c r="D670" s="221">
        <v>61.406867513274626</v>
      </c>
      <c r="E670" s="221">
        <f t="shared" si="40"/>
        <v>61.406867513274626</v>
      </c>
      <c r="F670" s="188" t="str">
        <f t="shared" si="41"/>
        <v/>
      </c>
      <c r="G670" t="str">
        <f t="shared" si="42"/>
        <v/>
      </c>
      <c r="H670" s="188" t="str">
        <f t="shared" si="43"/>
        <v/>
      </c>
    </row>
    <row r="671" spans="1:9">
      <c r="A671" s="187">
        <v>619</v>
      </c>
      <c r="B671" s="222">
        <v>45819</v>
      </c>
      <c r="C671" s="221">
        <v>57.259591085395691</v>
      </c>
      <c r="D671" s="221">
        <v>61.406867513274626</v>
      </c>
      <c r="E671" s="221">
        <f t="shared" si="40"/>
        <v>57.259591085395691</v>
      </c>
      <c r="F671" s="188" t="str">
        <f t="shared" si="41"/>
        <v/>
      </c>
      <c r="G671" t="str">
        <f t="shared" si="42"/>
        <v/>
      </c>
      <c r="H671" s="188" t="str">
        <f t="shared" si="43"/>
        <v/>
      </c>
      <c r="I671" s="189"/>
    </row>
    <row r="672" spans="1:9">
      <c r="A672" s="187">
        <v>620</v>
      </c>
      <c r="B672" s="222">
        <v>45820</v>
      </c>
      <c r="C672" s="221">
        <v>55.325938405397551</v>
      </c>
      <c r="D672" s="221">
        <v>61.406867513274626</v>
      </c>
      <c r="E672" s="221">
        <f t="shared" si="40"/>
        <v>55.325938405397551</v>
      </c>
      <c r="F672" s="188" t="str">
        <f t="shared" si="41"/>
        <v/>
      </c>
      <c r="G672" t="str">
        <f t="shared" si="42"/>
        <v/>
      </c>
      <c r="H672" s="188" t="str">
        <f t="shared" si="43"/>
        <v/>
      </c>
      <c r="I672" s="189"/>
    </row>
    <row r="673" spans="1:9">
      <c r="A673" s="187">
        <v>621</v>
      </c>
      <c r="B673" s="222">
        <v>45821</v>
      </c>
      <c r="C673" s="221">
        <v>57.616556809397558</v>
      </c>
      <c r="D673" s="221">
        <v>61.406867513274626</v>
      </c>
      <c r="E673" s="221">
        <f t="shared" si="40"/>
        <v>57.616556809397558</v>
      </c>
      <c r="F673" s="188" t="str">
        <f t="shared" si="41"/>
        <v/>
      </c>
      <c r="G673" t="str">
        <f t="shared" si="42"/>
        <v/>
      </c>
      <c r="H673" s="188" t="str">
        <f t="shared" si="43"/>
        <v/>
      </c>
      <c r="I673" s="189"/>
    </row>
    <row r="674" spans="1:9">
      <c r="A674" s="187">
        <v>622</v>
      </c>
      <c r="B674" s="222">
        <v>45822</v>
      </c>
      <c r="C674" s="221">
        <v>35.94605839339755</v>
      </c>
      <c r="D674" s="221">
        <v>61.406867513274626</v>
      </c>
      <c r="E674" s="221">
        <f t="shared" si="40"/>
        <v>35.94605839339755</v>
      </c>
      <c r="F674" s="188" t="str">
        <f t="shared" si="41"/>
        <v/>
      </c>
      <c r="G674" t="str">
        <f t="shared" si="42"/>
        <v/>
      </c>
      <c r="H674" s="188" t="str">
        <f>IF(DAY(B674)=15,IF(MONTH(B674)=1,"E",IF(MONTH(B674)=2,"F",IF(MONTH(B674)=3,"M",IF(MONTH(B674)=4,"A",IF(MONTH(B674)=5,"M",IF(MONTH(B674)=6,"J",IF(MONTH(B674)=7,"J",IF(MONTH(B674)=8,"A",IF(MONTH(B674)=9,"S",IF(MONTH(B674)=10,"O",IF(MONTH(B674)=11,"N",IF(MONTH(B674)=12,"D","")))))))))))),"")</f>
        <v/>
      </c>
      <c r="I674" s="189"/>
    </row>
    <row r="675" spans="1:9">
      <c r="A675" s="187">
        <v>623</v>
      </c>
      <c r="B675" s="222">
        <v>45823</v>
      </c>
      <c r="C675" s="221">
        <v>27.055958057395692</v>
      </c>
      <c r="D675" s="221">
        <v>61.406867513274626</v>
      </c>
      <c r="E675" s="221">
        <f t="shared" si="40"/>
        <v>27.055958057395692</v>
      </c>
      <c r="F675" s="188" t="str">
        <f t="shared" si="41"/>
        <v/>
      </c>
      <c r="G675" t="str">
        <f t="shared" si="42"/>
        <v/>
      </c>
      <c r="H675" s="188" t="str">
        <f t="shared" si="43"/>
        <v>J</v>
      </c>
      <c r="I675" s="189">
        <f>IF(DAY(B675)=15,D675,"")</f>
        <v>61.406867513274626</v>
      </c>
    </row>
    <row r="676" spans="1:9">
      <c r="A676" s="187">
        <v>624</v>
      </c>
      <c r="B676" s="222">
        <v>45824</v>
      </c>
      <c r="C676" s="221">
        <v>41.623953953399415</v>
      </c>
      <c r="D676" s="221">
        <v>61.406867513274626</v>
      </c>
      <c r="E676" s="221">
        <f t="shared" si="40"/>
        <v>41.623953953399415</v>
      </c>
      <c r="F676" s="188" t="str">
        <f t="shared" si="41"/>
        <v/>
      </c>
      <c r="G676" t="str">
        <f t="shared" si="42"/>
        <v/>
      </c>
      <c r="H676" s="188" t="str">
        <f>IF(DAY(B676)=15,IF(MONTH(B676)=1,"E",IF(MONTH(B676)=2,"F",IF(MONTH(B676)=3,"M",IF(MONTH(B676)=4,"A",IF(MONTH(B676)=5,"M",IF(MONTH(B676)=6,"J",IF(MONTH(B676)=7,"J",IF(MONTH(B676)=8,"A",IF(MONTH(B676)=9,"S",IF(MONTH(B676)=10,"O",IF(MONTH(B676)=11,"N",IF(MONTH(B676)=12,"D","")))))))))))),"")</f>
        <v/>
      </c>
      <c r="I676" s="189"/>
    </row>
    <row r="677" spans="1:9">
      <c r="A677" s="187">
        <v>625</v>
      </c>
      <c r="B677" s="222">
        <v>45825</v>
      </c>
      <c r="C677" s="221">
        <v>66.71431773339755</v>
      </c>
      <c r="D677" s="221">
        <v>61.406867513274626</v>
      </c>
      <c r="E677" s="221">
        <f t="shared" si="40"/>
        <v>61.406867513274626</v>
      </c>
      <c r="F677" s="188" t="str">
        <f t="shared" si="41"/>
        <v/>
      </c>
      <c r="G677" t="str">
        <f t="shared" si="42"/>
        <v/>
      </c>
      <c r="H677" s="188" t="str">
        <f>IF(DAY(B677)=15,IF(MONTH(B677)=1,"E",IF(MONTH(B677)=2,"F",IF(MONTH(B677)=3,"M",IF(MONTH(B677)=4,"A",IF(MONTH(B677)=5,"M",IF(MONTH(B677)=6,"J",IF(MONTH(B677)=7,"J",IF(MONTH(B677)=8,"A",IF(MONTH(B677)=9,"S",IF(MONTH(B677)=10,"O",IF(MONTH(B677)=11,"N",IF(MONTH(B677)=12,"D","")))))))))))),"")</f>
        <v/>
      </c>
      <c r="I677" s="189"/>
    </row>
    <row r="678" spans="1:9">
      <c r="A678" s="187">
        <v>626</v>
      </c>
      <c r="B678" s="222">
        <v>45826</v>
      </c>
      <c r="C678" s="221">
        <v>54.761214226402402</v>
      </c>
      <c r="D678" s="221">
        <v>61.406867513274626</v>
      </c>
      <c r="E678" s="221">
        <f t="shared" si="40"/>
        <v>54.761214226402402</v>
      </c>
      <c r="F678" s="188" t="str">
        <f t="shared" si="41"/>
        <v/>
      </c>
      <c r="G678" t="str">
        <f t="shared" si="42"/>
        <v/>
      </c>
      <c r="H678" s="188" t="str">
        <f t="shared" si="43"/>
        <v/>
      </c>
      <c r="I678" s="189"/>
    </row>
    <row r="679" spans="1:9">
      <c r="A679" s="187">
        <v>627</v>
      </c>
      <c r="B679" s="222">
        <v>45827</v>
      </c>
      <c r="C679" s="221">
        <v>56.422797154402403</v>
      </c>
      <c r="D679" s="221">
        <v>61.406867513274626</v>
      </c>
      <c r="E679" s="221">
        <f t="shared" si="40"/>
        <v>56.422797154402403</v>
      </c>
      <c r="F679" s="188" t="str">
        <f t="shared" si="41"/>
        <v/>
      </c>
      <c r="G679" t="str">
        <f t="shared" si="42"/>
        <v/>
      </c>
      <c r="H679" s="188" t="str">
        <f t="shared" si="43"/>
        <v/>
      </c>
      <c r="I679" s="189"/>
    </row>
    <row r="680" spans="1:9">
      <c r="A680" s="187">
        <v>628</v>
      </c>
      <c r="B680" s="222">
        <v>45828</v>
      </c>
      <c r="C680" s="221">
        <v>50.235002274402405</v>
      </c>
      <c r="D680" s="221">
        <v>61.406867513274626</v>
      </c>
      <c r="E680" s="221">
        <f t="shared" si="40"/>
        <v>50.235002274402405</v>
      </c>
      <c r="F680" s="188" t="str">
        <f t="shared" si="41"/>
        <v/>
      </c>
      <c r="G680" t="str">
        <f t="shared" si="42"/>
        <v/>
      </c>
      <c r="H680" s="188" t="str">
        <f t="shared" si="43"/>
        <v/>
      </c>
      <c r="I680" s="189"/>
    </row>
    <row r="681" spans="1:9">
      <c r="A681" s="187">
        <v>629</v>
      </c>
      <c r="B681" s="222">
        <v>45829</v>
      </c>
      <c r="C681" s="221">
        <v>26.709860526407983</v>
      </c>
      <c r="D681" s="221">
        <v>61.406867513274626</v>
      </c>
      <c r="E681" s="221">
        <f t="shared" si="40"/>
        <v>26.709860526407983</v>
      </c>
      <c r="F681" s="188" t="str">
        <f t="shared" si="41"/>
        <v/>
      </c>
      <c r="G681" t="str">
        <f t="shared" si="42"/>
        <v/>
      </c>
      <c r="H681" s="188" t="str">
        <f t="shared" si="43"/>
        <v/>
      </c>
      <c r="I681" s="189"/>
    </row>
    <row r="682" spans="1:9">
      <c r="A682" s="187">
        <v>630</v>
      </c>
      <c r="B682" s="222">
        <v>45830</v>
      </c>
      <c r="C682" s="221">
        <v>14.960270526402397</v>
      </c>
      <c r="D682" s="221">
        <v>61.406867513274626</v>
      </c>
      <c r="E682" s="221">
        <f t="shared" si="40"/>
        <v>14.960270526402397</v>
      </c>
      <c r="F682" s="188" t="str">
        <f t="shared" si="41"/>
        <v/>
      </c>
      <c r="G682" t="str">
        <f t="shared" si="42"/>
        <v/>
      </c>
      <c r="H682" s="188" t="str">
        <f t="shared" si="43"/>
        <v/>
      </c>
      <c r="I682" s="189"/>
    </row>
    <row r="683" spans="1:9">
      <c r="A683" s="187">
        <v>631</v>
      </c>
      <c r="B683" s="222">
        <v>45831</v>
      </c>
      <c r="C683" s="221">
        <v>32.597704998404254</v>
      </c>
      <c r="D683" s="221">
        <v>61.406867513274626</v>
      </c>
      <c r="E683" s="221">
        <f t="shared" si="40"/>
        <v>32.597704998404254</v>
      </c>
      <c r="F683" s="188" t="str">
        <f t="shared" si="41"/>
        <v/>
      </c>
      <c r="G683" t="str">
        <f t="shared" si="42"/>
        <v/>
      </c>
      <c r="H683" s="188" t="str">
        <f t="shared" si="43"/>
        <v/>
      </c>
      <c r="I683" s="189"/>
    </row>
    <row r="684" spans="1:9">
      <c r="A684" s="187">
        <v>632</v>
      </c>
      <c r="B684" s="222">
        <v>45832</v>
      </c>
      <c r="C684" s="221">
        <v>31.534556734404266</v>
      </c>
      <c r="D684" s="221">
        <v>61.406867513274626</v>
      </c>
      <c r="E684" s="221">
        <f t="shared" si="40"/>
        <v>31.534556734404266</v>
      </c>
      <c r="F684" s="188" t="str">
        <f t="shared" si="41"/>
        <v/>
      </c>
      <c r="G684" t="str">
        <f t="shared" si="42"/>
        <v/>
      </c>
      <c r="H684" s="188" t="str">
        <f t="shared" si="43"/>
        <v/>
      </c>
      <c r="I684" s="189"/>
    </row>
    <row r="685" spans="1:9">
      <c r="A685" s="187">
        <v>633</v>
      </c>
      <c r="B685" s="222">
        <v>45833</v>
      </c>
      <c r="C685" s="221">
        <v>35.72570145258446</v>
      </c>
      <c r="D685" s="221">
        <v>61.406867513274626</v>
      </c>
      <c r="E685" s="221">
        <f t="shared" si="40"/>
        <v>35.72570145258446</v>
      </c>
      <c r="F685" s="188" t="str">
        <f t="shared" si="41"/>
        <v/>
      </c>
      <c r="G685" t="str">
        <f t="shared" si="42"/>
        <v/>
      </c>
      <c r="H685" s="188" t="str">
        <f t="shared" si="43"/>
        <v/>
      </c>
      <c r="I685" s="189"/>
    </row>
    <row r="686" spans="1:9">
      <c r="A686" s="187">
        <v>634</v>
      </c>
      <c r="B686" s="222">
        <v>45834</v>
      </c>
      <c r="C686" s="221">
        <v>33.965078324582585</v>
      </c>
      <c r="D686" s="221">
        <v>61.406867513274626</v>
      </c>
      <c r="E686" s="221">
        <f t="shared" si="40"/>
        <v>33.965078324582585</v>
      </c>
      <c r="F686" s="188" t="str">
        <f t="shared" si="41"/>
        <v/>
      </c>
      <c r="G686" t="str">
        <f t="shared" si="42"/>
        <v/>
      </c>
      <c r="H686" s="188" t="str">
        <f t="shared" si="43"/>
        <v/>
      </c>
      <c r="I686" s="189"/>
    </row>
    <row r="687" spans="1:9" s="189" customFormat="1">
      <c r="A687" s="187">
        <v>635</v>
      </c>
      <c r="B687" s="222">
        <v>45835</v>
      </c>
      <c r="C687" s="221">
        <v>46.323746096584451</v>
      </c>
      <c r="D687" s="221">
        <v>61.406867513274626</v>
      </c>
      <c r="E687" s="221">
        <f t="shared" si="40"/>
        <v>46.323746096584451</v>
      </c>
      <c r="F687" s="188" t="str">
        <f t="shared" si="41"/>
        <v/>
      </c>
      <c r="G687" t="str">
        <f t="shared" si="42"/>
        <v/>
      </c>
      <c r="H687" s="188" t="str">
        <f t="shared" si="43"/>
        <v/>
      </c>
    </row>
    <row r="688" spans="1:9" s="189" customFormat="1">
      <c r="A688" s="187">
        <v>636</v>
      </c>
      <c r="B688" s="222">
        <v>45836</v>
      </c>
      <c r="C688" s="221">
        <v>25.447826728584463</v>
      </c>
      <c r="D688" s="221">
        <v>61.406867513274626</v>
      </c>
      <c r="E688" s="221">
        <f t="shared" si="40"/>
        <v>25.447826728584463</v>
      </c>
      <c r="F688" s="188" t="str">
        <f t="shared" si="41"/>
        <v/>
      </c>
      <c r="G688" t="str">
        <f t="shared" si="42"/>
        <v/>
      </c>
      <c r="H688" s="188" t="str">
        <f t="shared" si="43"/>
        <v/>
      </c>
    </row>
    <row r="689" spans="1:9" s="189" customFormat="1">
      <c r="A689" s="187">
        <v>637</v>
      </c>
      <c r="B689" s="222">
        <v>45837</v>
      </c>
      <c r="C689" s="221">
        <v>20.981961452582588</v>
      </c>
      <c r="D689" s="221">
        <v>61.406867513274626</v>
      </c>
      <c r="E689" s="221">
        <f t="shared" si="40"/>
        <v>20.981961452582588</v>
      </c>
      <c r="F689" s="188" t="str">
        <f t="shared" si="41"/>
        <v/>
      </c>
      <c r="G689" t="str">
        <f t="shared" si="42"/>
        <v/>
      </c>
      <c r="H689" s="188" t="str">
        <f t="shared" si="43"/>
        <v/>
      </c>
    </row>
    <row r="690" spans="1:9" s="189" customFormat="1">
      <c r="A690" s="187">
        <v>638</v>
      </c>
      <c r="B690" s="222">
        <v>45838</v>
      </c>
      <c r="C690" s="221">
        <v>52.456011008584447</v>
      </c>
      <c r="D690" s="221">
        <v>61.406867513274626</v>
      </c>
      <c r="E690" s="221">
        <f t="shared" si="40"/>
        <v>52.456011008584447</v>
      </c>
      <c r="F690" s="188" t="str">
        <f t="shared" si="41"/>
        <v/>
      </c>
      <c r="G690" t="str">
        <f t="shared" si="42"/>
        <v/>
      </c>
      <c r="H690" s="188" t="str">
        <f t="shared" si="43"/>
        <v/>
      </c>
    </row>
    <row r="691" spans="1:9" s="189" customFormat="1">
      <c r="A691" s="187">
        <v>639</v>
      </c>
      <c r="B691" s="222">
        <v>45839</v>
      </c>
      <c r="C691" s="221">
        <v>32.060659492584456</v>
      </c>
      <c r="D691" s="221">
        <v>25.377234765527756</v>
      </c>
      <c r="E691" s="221">
        <f t="shared" si="40"/>
        <v>25.377234765527756</v>
      </c>
      <c r="F691" s="188">
        <f t="shared" si="41"/>
        <v>600</v>
      </c>
      <c r="G691" t="str">
        <f t="shared" si="42"/>
        <v/>
      </c>
      <c r="H691" s="188" t="str">
        <f t="shared" si="43"/>
        <v/>
      </c>
    </row>
    <row r="692" spans="1:9" s="189" customFormat="1">
      <c r="A692" s="187">
        <v>640</v>
      </c>
      <c r="B692" s="222">
        <v>45840</v>
      </c>
      <c r="C692" s="221">
        <v>33.614730920549135</v>
      </c>
      <c r="D692" s="221">
        <v>25.377234765527756</v>
      </c>
      <c r="E692" s="221">
        <f t="shared" ref="E692:E755" si="44">IF(C692&lt;D692,C692,D692)</f>
        <v>25.377234765527756</v>
      </c>
      <c r="F692" s="188" t="str">
        <f t="shared" ref="F692:F755" si="45">IF(DAY(B692)=1,600,"")</f>
        <v/>
      </c>
      <c r="G692" t="str">
        <f t="shared" si="42"/>
        <v/>
      </c>
      <c r="H692" s="188" t="str">
        <f t="shared" si="43"/>
        <v/>
      </c>
    </row>
    <row r="693" spans="1:9" s="189" customFormat="1">
      <c r="A693" s="187">
        <v>641</v>
      </c>
      <c r="B693" s="222">
        <v>45841</v>
      </c>
      <c r="C693" s="221">
        <v>30.485046448547276</v>
      </c>
      <c r="D693" s="221">
        <v>25.377234765527756</v>
      </c>
      <c r="E693" s="221">
        <f t="shared" si="44"/>
        <v>25.377234765527756</v>
      </c>
      <c r="F693" s="188" t="str">
        <f t="shared" si="45"/>
        <v/>
      </c>
      <c r="G693" t="str">
        <f t="shared" si="42"/>
        <v/>
      </c>
      <c r="H693" s="188" t="str">
        <f t="shared" si="43"/>
        <v/>
      </c>
    </row>
    <row r="694" spans="1:9" s="189" customFormat="1">
      <c r="A694" s="187">
        <v>642</v>
      </c>
      <c r="B694" s="222">
        <v>45842</v>
      </c>
      <c r="C694" s="221">
        <v>27.580826840551001</v>
      </c>
      <c r="D694" s="221">
        <v>25.377234765527756</v>
      </c>
      <c r="E694" s="221">
        <f t="shared" si="44"/>
        <v>25.377234765527756</v>
      </c>
      <c r="F694" s="188" t="str">
        <f t="shared" si="45"/>
        <v/>
      </c>
      <c r="G694" t="str">
        <f t="shared" ref="G694:G757" si="46">IF(MONTH(B694)=1,IF(DAY(B694)=1,YEAR(B694),""),"")</f>
        <v/>
      </c>
      <c r="H694" s="188" t="str">
        <f t="shared" si="43"/>
        <v/>
      </c>
    </row>
    <row r="695" spans="1:9" s="189" customFormat="1">
      <c r="A695" s="187">
        <v>643</v>
      </c>
      <c r="B695" s="222">
        <v>45843</v>
      </c>
      <c r="C695" s="221">
        <v>11.098656220543555</v>
      </c>
      <c r="D695" s="221">
        <v>25.377234765527756</v>
      </c>
      <c r="E695" s="221">
        <f t="shared" si="44"/>
        <v>11.098656220543555</v>
      </c>
      <c r="F695" s="188" t="str">
        <f t="shared" si="45"/>
        <v/>
      </c>
      <c r="G695" t="str">
        <f t="shared" si="46"/>
        <v/>
      </c>
      <c r="H695" s="188" t="str">
        <f t="shared" si="43"/>
        <v/>
      </c>
    </row>
    <row r="696" spans="1:9" s="189" customFormat="1">
      <c r="A696" s="187">
        <v>644</v>
      </c>
      <c r="B696" s="222">
        <v>45844</v>
      </c>
      <c r="C696" s="221">
        <v>1.3804881365510009</v>
      </c>
      <c r="D696" s="221">
        <v>25.377234765527756</v>
      </c>
      <c r="E696" s="221">
        <f t="shared" si="44"/>
        <v>1.3804881365510009</v>
      </c>
      <c r="F696" s="188" t="str">
        <f t="shared" si="45"/>
        <v/>
      </c>
      <c r="G696" t="str">
        <f t="shared" si="46"/>
        <v/>
      </c>
      <c r="H696" s="188" t="str">
        <f t="shared" si="43"/>
        <v/>
      </c>
    </row>
    <row r="697" spans="1:9" s="189" customFormat="1">
      <c r="A697" s="187">
        <v>645</v>
      </c>
      <c r="B697" s="222">
        <v>45845</v>
      </c>
      <c r="C697" s="221">
        <v>1.5454278285491383</v>
      </c>
      <c r="D697" s="221">
        <v>25.377234765527756</v>
      </c>
      <c r="E697" s="221">
        <f t="shared" si="44"/>
        <v>1.5454278285491383</v>
      </c>
      <c r="F697" s="188" t="str">
        <f t="shared" si="45"/>
        <v/>
      </c>
      <c r="G697" t="str">
        <f t="shared" si="46"/>
        <v/>
      </c>
      <c r="H697" s="188" t="str">
        <f t="shared" si="43"/>
        <v/>
      </c>
    </row>
    <row r="698" spans="1:9" s="189" customFormat="1">
      <c r="A698" s="187">
        <v>646</v>
      </c>
      <c r="B698" s="222">
        <v>45846</v>
      </c>
      <c r="C698" s="221">
        <v>1.0118280485472788</v>
      </c>
      <c r="D698" s="221">
        <v>25.377234765527756</v>
      </c>
      <c r="E698" s="221">
        <f t="shared" si="44"/>
        <v>1.0118280485472788</v>
      </c>
      <c r="F698" s="188" t="str">
        <f t="shared" si="45"/>
        <v/>
      </c>
      <c r="G698" t="str">
        <f t="shared" si="46"/>
        <v/>
      </c>
      <c r="H698" s="188" t="str">
        <f t="shared" si="43"/>
        <v/>
      </c>
    </row>
    <row r="699" spans="1:9" s="189" customFormat="1">
      <c r="A699" s="187">
        <v>647</v>
      </c>
      <c r="B699" s="222">
        <v>45847</v>
      </c>
      <c r="C699" s="221">
        <v>14.250646552055375</v>
      </c>
      <c r="D699" s="221">
        <v>25.377234765527756</v>
      </c>
      <c r="E699" s="221">
        <f t="shared" si="44"/>
        <v>14.250646552055375</v>
      </c>
      <c r="F699" s="188" t="str">
        <f t="shared" si="45"/>
        <v/>
      </c>
      <c r="G699" t="str">
        <f t="shared" si="46"/>
        <v/>
      </c>
      <c r="H699" s="188" t="str">
        <f t="shared" si="43"/>
        <v/>
      </c>
    </row>
    <row r="700" spans="1:9" s="189" customFormat="1">
      <c r="A700" s="187">
        <v>648</v>
      </c>
      <c r="B700" s="222">
        <v>45848</v>
      </c>
      <c r="C700" s="221">
        <v>32.821704648055366</v>
      </c>
      <c r="D700" s="221">
        <v>25.377234765527756</v>
      </c>
      <c r="E700" s="221">
        <f t="shared" si="44"/>
        <v>25.377234765527756</v>
      </c>
      <c r="F700" s="188" t="str">
        <f t="shared" si="45"/>
        <v/>
      </c>
      <c r="G700" t="str">
        <f t="shared" si="46"/>
        <v/>
      </c>
      <c r="H700" s="188" t="str">
        <f t="shared" si="43"/>
        <v/>
      </c>
    </row>
    <row r="701" spans="1:9" s="189" customFormat="1">
      <c r="A701" s="187">
        <v>649</v>
      </c>
      <c r="B701" s="222">
        <v>45849</v>
      </c>
      <c r="C701" s="221">
        <v>27.025926548053512</v>
      </c>
      <c r="D701" s="221">
        <v>25.377234765527756</v>
      </c>
      <c r="E701" s="221">
        <f t="shared" si="44"/>
        <v>25.377234765527756</v>
      </c>
      <c r="F701" s="188" t="str">
        <f t="shared" si="45"/>
        <v/>
      </c>
      <c r="G701" t="str">
        <f t="shared" si="46"/>
        <v/>
      </c>
      <c r="H701" s="188" t="str">
        <f t="shared" si="43"/>
        <v/>
      </c>
    </row>
    <row r="702" spans="1:9" s="189" customFormat="1">
      <c r="A702" s="187">
        <v>650</v>
      </c>
      <c r="B702" s="222">
        <v>45850</v>
      </c>
      <c r="C702" s="221">
        <v>18.573618852053507</v>
      </c>
      <c r="D702" s="221">
        <v>25.377234765527756</v>
      </c>
      <c r="E702" s="221">
        <f t="shared" si="44"/>
        <v>18.573618852053507</v>
      </c>
      <c r="F702" s="188" t="str">
        <f t="shared" si="45"/>
        <v/>
      </c>
      <c r="G702" t="str">
        <f t="shared" si="46"/>
        <v/>
      </c>
      <c r="H702" s="188" t="str">
        <f t="shared" si="43"/>
        <v/>
      </c>
    </row>
    <row r="703" spans="1:9">
      <c r="A703" s="187">
        <v>651</v>
      </c>
      <c r="B703" s="222">
        <v>45851</v>
      </c>
      <c r="C703" s="221">
        <v>4.7647492440572314</v>
      </c>
      <c r="D703" s="221">
        <v>25.377234765527756</v>
      </c>
      <c r="E703" s="221">
        <f t="shared" si="44"/>
        <v>4.7647492440572314</v>
      </c>
      <c r="F703" s="188" t="str">
        <f t="shared" si="45"/>
        <v/>
      </c>
      <c r="G703" t="str">
        <f t="shared" si="46"/>
        <v/>
      </c>
      <c r="H703" s="188" t="str">
        <f t="shared" si="43"/>
        <v/>
      </c>
      <c r="I703" s="189"/>
    </row>
    <row r="704" spans="1:9">
      <c r="A704" s="187">
        <v>652</v>
      </c>
      <c r="B704" s="222">
        <v>45852</v>
      </c>
      <c r="C704" s="221">
        <v>14.383819348053505</v>
      </c>
      <c r="D704" s="221">
        <v>25.377234765527756</v>
      </c>
      <c r="E704" s="221">
        <f t="shared" si="44"/>
        <v>14.383819348053505</v>
      </c>
      <c r="F704" s="188" t="str">
        <f t="shared" si="45"/>
        <v/>
      </c>
      <c r="G704" t="str">
        <f t="shared" si="46"/>
        <v/>
      </c>
      <c r="H704" s="188" t="str">
        <f t="shared" si="43"/>
        <v/>
      </c>
      <c r="I704" s="189"/>
    </row>
    <row r="705" spans="1:9">
      <c r="A705" s="187">
        <v>653</v>
      </c>
      <c r="B705" s="222">
        <v>45853</v>
      </c>
      <c r="C705" s="221">
        <v>14.840918868053508</v>
      </c>
      <c r="D705" s="221">
        <v>25.377234765527756</v>
      </c>
      <c r="E705" s="221">
        <f t="shared" si="44"/>
        <v>14.840918868053508</v>
      </c>
      <c r="F705" s="188" t="str">
        <f t="shared" si="45"/>
        <v/>
      </c>
      <c r="G705" t="str">
        <f t="shared" si="46"/>
        <v/>
      </c>
      <c r="H705" s="188" t="str">
        <f t="shared" si="43"/>
        <v>J</v>
      </c>
      <c r="I705" s="189">
        <f>IF(DAY(B705)=15,D705,"")</f>
        <v>25.377234765527756</v>
      </c>
    </row>
    <row r="706" spans="1:9">
      <c r="A706" s="187">
        <v>654</v>
      </c>
      <c r="B706" s="222">
        <v>45854</v>
      </c>
      <c r="C706" s="221">
        <v>20.66964009515906</v>
      </c>
      <c r="D706" s="221">
        <v>25.377234765527756</v>
      </c>
      <c r="E706" s="221">
        <f t="shared" si="44"/>
        <v>20.66964009515906</v>
      </c>
      <c r="F706" s="188" t="str">
        <f t="shared" si="45"/>
        <v/>
      </c>
      <c r="G706" t="str">
        <f t="shared" si="46"/>
        <v/>
      </c>
      <c r="H706" s="188" t="str">
        <f t="shared" si="43"/>
        <v/>
      </c>
      <c r="I706" s="189"/>
    </row>
    <row r="707" spans="1:9">
      <c r="A707" s="187">
        <v>655</v>
      </c>
      <c r="B707" s="222">
        <v>45855</v>
      </c>
      <c r="C707" s="221">
        <v>17.906403759159062</v>
      </c>
      <c r="D707" s="221">
        <v>25.377234765527756</v>
      </c>
      <c r="E707" s="221">
        <f t="shared" si="44"/>
        <v>17.906403759159062</v>
      </c>
      <c r="F707" s="188" t="str">
        <f t="shared" si="45"/>
        <v/>
      </c>
      <c r="G707" t="str">
        <f t="shared" si="46"/>
        <v/>
      </c>
      <c r="H707" s="188" t="str">
        <f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I707" s="189"/>
    </row>
    <row r="708" spans="1:9">
      <c r="A708" s="187">
        <v>656</v>
      </c>
      <c r="B708" s="222">
        <v>45856</v>
      </c>
      <c r="C708" s="221">
        <v>17.513657111160924</v>
      </c>
      <c r="D708" s="221">
        <v>25.377234765527756</v>
      </c>
      <c r="E708" s="221">
        <f t="shared" si="44"/>
        <v>17.513657111160924</v>
      </c>
      <c r="F708" s="188" t="str">
        <f t="shared" si="45"/>
        <v/>
      </c>
      <c r="G708" t="str">
        <f t="shared" si="46"/>
        <v/>
      </c>
      <c r="H708" s="188" t="str">
        <f t="shared" ref="H708:H770" si="47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I708" s="189"/>
    </row>
    <row r="709" spans="1:9">
      <c r="A709" s="187">
        <v>657</v>
      </c>
      <c r="B709" s="222">
        <v>45857</v>
      </c>
      <c r="C709" s="221">
        <v>8.71834746716093</v>
      </c>
      <c r="D709" s="221">
        <v>25.377234765527756</v>
      </c>
      <c r="E709" s="221">
        <f t="shared" si="44"/>
        <v>8.71834746716093</v>
      </c>
      <c r="F709" s="188" t="str">
        <f t="shared" si="45"/>
        <v/>
      </c>
      <c r="G709" t="str">
        <f t="shared" si="46"/>
        <v/>
      </c>
      <c r="H709" s="188" t="str">
        <f t="shared" si="47"/>
        <v/>
      </c>
      <c r="I709" s="189"/>
    </row>
    <row r="710" spans="1:9">
      <c r="A710" s="187">
        <v>658</v>
      </c>
      <c r="B710" s="222">
        <v>45858</v>
      </c>
      <c r="C710" s="221">
        <v>1.1173188071572004</v>
      </c>
      <c r="D710" s="221">
        <v>25.377234765527756</v>
      </c>
      <c r="E710" s="221">
        <f t="shared" si="44"/>
        <v>1.1173188071572004</v>
      </c>
      <c r="F710" s="188" t="str">
        <f t="shared" si="45"/>
        <v/>
      </c>
      <c r="G710" t="str">
        <f t="shared" si="46"/>
        <v/>
      </c>
      <c r="H710" s="188" t="str">
        <f t="shared" si="47"/>
        <v/>
      </c>
      <c r="I710" s="189"/>
    </row>
    <row r="711" spans="1:9">
      <c r="A711" s="187">
        <v>659</v>
      </c>
      <c r="B711" s="222">
        <v>45859</v>
      </c>
      <c r="C711" s="221">
        <v>8.8596250631609283</v>
      </c>
      <c r="D711" s="221">
        <v>25.377234765527756</v>
      </c>
      <c r="E711" s="221">
        <f t="shared" si="44"/>
        <v>8.8596250631609283</v>
      </c>
      <c r="F711" s="188" t="str">
        <f t="shared" si="45"/>
        <v/>
      </c>
      <c r="G711" t="str">
        <f t="shared" si="46"/>
        <v/>
      </c>
      <c r="H711" s="188" t="str">
        <f t="shared" si="47"/>
        <v/>
      </c>
      <c r="I711" s="189"/>
    </row>
    <row r="712" spans="1:9">
      <c r="A712" s="187">
        <v>660</v>
      </c>
      <c r="B712" s="222">
        <v>45860</v>
      </c>
      <c r="C712" s="221">
        <v>20.741516907159063</v>
      </c>
      <c r="D712" s="221">
        <v>25.377234765527756</v>
      </c>
      <c r="E712" s="221">
        <f t="shared" si="44"/>
        <v>20.741516907159063</v>
      </c>
      <c r="F712" s="188" t="str">
        <f t="shared" si="45"/>
        <v/>
      </c>
      <c r="G712" t="str">
        <f t="shared" si="46"/>
        <v/>
      </c>
      <c r="H712" s="188" t="str">
        <f t="shared" si="47"/>
        <v/>
      </c>
      <c r="I712" s="189"/>
    </row>
    <row r="713" spans="1:9">
      <c r="A713" s="187">
        <v>661</v>
      </c>
      <c r="B713" s="222">
        <v>45861</v>
      </c>
      <c r="C713" s="221">
        <v>19.196713277743299</v>
      </c>
      <c r="D713" s="221">
        <v>25.377234765527756</v>
      </c>
      <c r="E713" s="221">
        <f t="shared" si="44"/>
        <v>19.196713277743299</v>
      </c>
      <c r="F713" s="188" t="str">
        <f t="shared" si="45"/>
        <v/>
      </c>
      <c r="G713" t="str">
        <f t="shared" si="46"/>
        <v/>
      </c>
      <c r="H713" s="188" t="str">
        <f t="shared" si="47"/>
        <v/>
      </c>
      <c r="I713" s="189"/>
    </row>
    <row r="714" spans="1:9">
      <c r="A714" s="187">
        <v>662</v>
      </c>
      <c r="B714" s="222">
        <v>45862</v>
      </c>
      <c r="C714" s="221">
        <v>13.86639805774144</v>
      </c>
      <c r="D714" s="221">
        <v>25.377234765527756</v>
      </c>
      <c r="E714" s="221">
        <f t="shared" si="44"/>
        <v>13.86639805774144</v>
      </c>
      <c r="F714" s="188" t="str">
        <f t="shared" si="45"/>
        <v/>
      </c>
      <c r="G714" t="str">
        <f t="shared" si="46"/>
        <v/>
      </c>
      <c r="H714" s="188" t="str">
        <f t="shared" si="47"/>
        <v/>
      </c>
      <c r="I714" s="189"/>
    </row>
    <row r="715" spans="1:9">
      <c r="A715" s="187">
        <v>663</v>
      </c>
      <c r="B715" s="222">
        <v>45863</v>
      </c>
      <c r="C715" s="221">
        <v>1.5784588417451668</v>
      </c>
      <c r="D715" s="221">
        <v>25.377234765527756</v>
      </c>
      <c r="E715" s="221">
        <f t="shared" si="44"/>
        <v>1.5784588417451668</v>
      </c>
      <c r="F715" s="188" t="str">
        <f t="shared" si="45"/>
        <v/>
      </c>
      <c r="G715" t="str">
        <f t="shared" si="46"/>
        <v/>
      </c>
      <c r="H715" s="188" t="str">
        <f t="shared" si="47"/>
        <v/>
      </c>
      <c r="I715" s="189"/>
    </row>
    <row r="716" spans="1:9">
      <c r="A716" s="187">
        <v>664</v>
      </c>
      <c r="B716" s="222">
        <v>45864</v>
      </c>
      <c r="C716" s="221">
        <v>2.4869694217433063</v>
      </c>
      <c r="D716" s="221">
        <v>25.377234765527756</v>
      </c>
      <c r="E716" s="221">
        <f t="shared" si="44"/>
        <v>2.4869694217433063</v>
      </c>
      <c r="F716" s="188" t="str">
        <f t="shared" si="45"/>
        <v/>
      </c>
      <c r="G716" t="str">
        <f t="shared" si="46"/>
        <v/>
      </c>
      <c r="H716" s="188" t="str">
        <f t="shared" si="47"/>
        <v/>
      </c>
      <c r="I716" s="189"/>
    </row>
    <row r="717" spans="1:9">
      <c r="A717" s="187">
        <v>665</v>
      </c>
      <c r="B717" s="222">
        <v>45865</v>
      </c>
      <c r="C717" s="221">
        <v>1.0667147097433045</v>
      </c>
      <c r="D717" s="221">
        <v>25.377234765527756</v>
      </c>
      <c r="E717" s="221">
        <f t="shared" si="44"/>
        <v>1.0667147097433045</v>
      </c>
      <c r="F717" s="188" t="str">
        <f t="shared" si="45"/>
        <v/>
      </c>
      <c r="G717" t="str">
        <f t="shared" si="46"/>
        <v/>
      </c>
      <c r="H717" s="188" t="str">
        <f t="shared" si="47"/>
        <v/>
      </c>
      <c r="I717" s="189"/>
    </row>
    <row r="718" spans="1:9">
      <c r="A718" s="187">
        <v>666</v>
      </c>
      <c r="B718" s="222">
        <v>45866</v>
      </c>
      <c r="C718" s="221">
        <v>1.4001761737470297</v>
      </c>
      <c r="D718" s="221">
        <v>25.377234765527756</v>
      </c>
      <c r="E718" s="221">
        <f t="shared" si="44"/>
        <v>1.4001761737470297</v>
      </c>
      <c r="F718" s="188" t="str">
        <f t="shared" si="45"/>
        <v/>
      </c>
      <c r="G718" t="str">
        <f t="shared" si="46"/>
        <v/>
      </c>
      <c r="H718" s="188" t="str">
        <f t="shared" si="47"/>
        <v/>
      </c>
      <c r="I718" s="189"/>
    </row>
    <row r="719" spans="1:9">
      <c r="A719" s="187">
        <v>667</v>
      </c>
      <c r="B719" s="222">
        <v>45867</v>
      </c>
      <c r="C719" s="221">
        <v>1.4504057937414401</v>
      </c>
      <c r="D719" s="221">
        <v>25.377234765527756</v>
      </c>
      <c r="E719" s="221">
        <f t="shared" si="44"/>
        <v>1.4504057937414401</v>
      </c>
      <c r="F719" s="188" t="str">
        <f t="shared" si="45"/>
        <v/>
      </c>
      <c r="G719" t="str">
        <f t="shared" si="46"/>
        <v/>
      </c>
      <c r="H719" s="188" t="str">
        <f t="shared" si="47"/>
        <v/>
      </c>
      <c r="I719" s="189"/>
    </row>
    <row r="720" spans="1:9">
      <c r="A720" s="187">
        <v>668</v>
      </c>
      <c r="B720" s="222">
        <v>45868</v>
      </c>
      <c r="C720" s="221">
        <v>13.403058501467727</v>
      </c>
      <c r="D720" s="221">
        <v>25.377234765527756</v>
      </c>
      <c r="E720" s="221">
        <f t="shared" si="44"/>
        <v>13.403058501467727</v>
      </c>
      <c r="F720" s="188" t="str">
        <f t="shared" si="45"/>
        <v/>
      </c>
      <c r="G720" t="str">
        <f t="shared" si="46"/>
        <v/>
      </c>
      <c r="H720" s="188" t="str">
        <f t="shared" si="47"/>
        <v/>
      </c>
      <c r="I720" s="189"/>
    </row>
    <row r="721" spans="1:9">
      <c r="A721" s="187">
        <v>669</v>
      </c>
      <c r="B721" s="222">
        <v>45869</v>
      </c>
      <c r="C721" s="221">
        <v>16.69949162046214</v>
      </c>
      <c r="D721" s="221">
        <v>25.377234765527756</v>
      </c>
      <c r="E721" s="221">
        <f t="shared" si="44"/>
        <v>16.69949162046214</v>
      </c>
      <c r="F721" s="188" t="str">
        <f t="shared" si="45"/>
        <v/>
      </c>
      <c r="G721" t="str">
        <f t="shared" si="46"/>
        <v/>
      </c>
      <c r="H721" s="188" t="str">
        <f t="shared" si="47"/>
        <v/>
      </c>
      <c r="I721" s="189"/>
    </row>
    <row r="722" spans="1:9">
      <c r="A722" s="187">
        <v>670</v>
      </c>
      <c r="B722" s="222">
        <v>45870</v>
      </c>
      <c r="C722" s="221">
        <v>13.888081484471455</v>
      </c>
      <c r="D722" s="221">
        <v>14.606396891514056</v>
      </c>
      <c r="E722" s="221">
        <f t="shared" si="44"/>
        <v>13.888081484471455</v>
      </c>
      <c r="F722" s="188">
        <f t="shared" si="45"/>
        <v>600</v>
      </c>
      <c r="G722" t="str">
        <f t="shared" si="46"/>
        <v/>
      </c>
      <c r="H722" s="188" t="str">
        <f t="shared" si="47"/>
        <v/>
      </c>
      <c r="I722" s="189"/>
    </row>
    <row r="723" spans="1:9">
      <c r="A723" s="187">
        <v>671</v>
      </c>
      <c r="B723" s="222">
        <v>45871</v>
      </c>
      <c r="C723" s="221">
        <v>8.5812111465864288E-2</v>
      </c>
      <c r="D723" s="221">
        <v>14.606396891514056</v>
      </c>
      <c r="E723" s="221">
        <f t="shared" si="44"/>
        <v>8.5812111465864288E-2</v>
      </c>
      <c r="F723" s="188" t="str">
        <f t="shared" si="45"/>
        <v/>
      </c>
      <c r="G723" t="str">
        <f t="shared" si="46"/>
        <v/>
      </c>
      <c r="H723" s="188" t="str">
        <f t="shared" si="47"/>
        <v/>
      </c>
      <c r="I723" s="189"/>
    </row>
    <row r="724" spans="1:9">
      <c r="A724" s="187">
        <v>672</v>
      </c>
      <c r="B724" s="222">
        <v>45872</v>
      </c>
      <c r="C724" s="221">
        <v>0.15275280546400608</v>
      </c>
      <c r="D724" s="221">
        <v>14.606396891514056</v>
      </c>
      <c r="E724" s="221">
        <f t="shared" si="44"/>
        <v>0.15275280546400608</v>
      </c>
      <c r="F724" s="188" t="str">
        <f t="shared" si="45"/>
        <v/>
      </c>
      <c r="G724" t="str">
        <f t="shared" si="46"/>
        <v/>
      </c>
      <c r="H724" s="188" t="str">
        <f t="shared" si="47"/>
        <v/>
      </c>
      <c r="I724" s="189"/>
    </row>
    <row r="725" spans="1:9">
      <c r="A725" s="187">
        <v>673</v>
      </c>
      <c r="B725" s="222">
        <v>45873</v>
      </c>
      <c r="C725" s="221">
        <v>26.230543111465863</v>
      </c>
      <c r="D725" s="221">
        <v>14.606396891514056</v>
      </c>
      <c r="E725" s="221">
        <f t="shared" si="44"/>
        <v>14.606396891514056</v>
      </c>
      <c r="F725" s="188" t="str">
        <f t="shared" si="45"/>
        <v/>
      </c>
      <c r="G725" t="str">
        <f t="shared" si="46"/>
        <v/>
      </c>
      <c r="H725" s="188" t="str">
        <f t="shared" si="47"/>
        <v/>
      </c>
      <c r="I725" s="189"/>
    </row>
    <row r="726" spans="1:9">
      <c r="A726" s="187">
        <v>674</v>
      </c>
      <c r="B726" s="222">
        <v>45874</v>
      </c>
      <c r="C726" s="221">
        <v>20.573646892469593</v>
      </c>
      <c r="D726" s="221">
        <v>14.606396891514056</v>
      </c>
      <c r="E726" s="221">
        <f t="shared" si="44"/>
        <v>14.606396891514056</v>
      </c>
      <c r="F726" s="188" t="str">
        <f t="shared" si="45"/>
        <v/>
      </c>
      <c r="G726" t="str">
        <f t="shared" si="46"/>
        <v/>
      </c>
      <c r="H726" s="188" t="str">
        <f t="shared" si="47"/>
        <v/>
      </c>
      <c r="I726" s="189"/>
    </row>
    <row r="727" spans="1:9">
      <c r="A727" s="187">
        <v>675</v>
      </c>
      <c r="B727" s="222">
        <v>45875</v>
      </c>
      <c r="C727" s="221">
        <v>12.787871789703015</v>
      </c>
      <c r="D727" s="221">
        <v>14.606396891514056</v>
      </c>
      <c r="E727" s="221">
        <f t="shared" si="44"/>
        <v>12.787871789703015</v>
      </c>
      <c r="F727" s="188" t="str">
        <f t="shared" si="45"/>
        <v/>
      </c>
      <c r="G727" t="str">
        <f t="shared" si="46"/>
        <v/>
      </c>
      <c r="H727" s="188" t="str">
        <f t="shared" si="47"/>
        <v/>
      </c>
      <c r="I727" s="189"/>
    </row>
    <row r="728" spans="1:9">
      <c r="A728" s="187">
        <v>676</v>
      </c>
      <c r="B728" s="222">
        <v>45876</v>
      </c>
      <c r="C728" s="221">
        <v>7.8448586297086003</v>
      </c>
      <c r="D728" s="221">
        <v>14.606396891514056</v>
      </c>
      <c r="E728" s="221">
        <f t="shared" si="44"/>
        <v>7.8448586297086003</v>
      </c>
      <c r="F728" s="188" t="str">
        <f t="shared" si="45"/>
        <v/>
      </c>
      <c r="G728" t="str">
        <f t="shared" si="46"/>
        <v/>
      </c>
      <c r="H728" s="188" t="str">
        <f t="shared" si="47"/>
        <v/>
      </c>
      <c r="I728" s="189"/>
    </row>
    <row r="729" spans="1:9">
      <c r="A729" s="187">
        <v>677</v>
      </c>
      <c r="B729" s="222">
        <v>45877</v>
      </c>
      <c r="C729" s="221">
        <v>11.806797509703014</v>
      </c>
      <c r="D729" s="221">
        <v>14.606396891514056</v>
      </c>
      <c r="E729" s="221">
        <f t="shared" si="44"/>
        <v>11.806797509703014</v>
      </c>
      <c r="F729" s="188" t="str">
        <f t="shared" si="45"/>
        <v/>
      </c>
      <c r="G729" t="str">
        <f t="shared" si="46"/>
        <v/>
      </c>
      <c r="H729" s="188" t="str">
        <f t="shared" si="47"/>
        <v/>
      </c>
      <c r="I729" s="189"/>
    </row>
    <row r="730" spans="1:9">
      <c r="A730" s="187">
        <v>678</v>
      </c>
      <c r="B730" s="222">
        <v>45878</v>
      </c>
      <c r="C730" s="221">
        <v>0.29030902171046907</v>
      </c>
      <c r="D730" s="221">
        <v>14.606396891514056</v>
      </c>
      <c r="E730" s="221">
        <f t="shared" si="44"/>
        <v>0.29030902171046907</v>
      </c>
      <c r="F730" s="188" t="str">
        <f t="shared" si="45"/>
        <v/>
      </c>
      <c r="G730" t="str">
        <f t="shared" si="46"/>
        <v/>
      </c>
      <c r="H730" s="188" t="str">
        <f t="shared" si="47"/>
        <v/>
      </c>
      <c r="I730" s="189"/>
    </row>
    <row r="731" spans="1:9">
      <c r="A731" s="187">
        <v>679</v>
      </c>
      <c r="B731" s="222">
        <v>45879</v>
      </c>
      <c r="C731" s="221">
        <v>0.25155645370487761</v>
      </c>
      <c r="D731" s="221">
        <v>14.606396891514056</v>
      </c>
      <c r="E731" s="221">
        <f t="shared" si="44"/>
        <v>0.25155645370487761</v>
      </c>
      <c r="F731" s="188" t="str">
        <f t="shared" si="45"/>
        <v/>
      </c>
      <c r="G731" t="str">
        <f t="shared" si="46"/>
        <v/>
      </c>
      <c r="H731" s="188" t="str">
        <f t="shared" si="47"/>
        <v/>
      </c>
      <c r="I731" s="189"/>
    </row>
    <row r="732" spans="1:9">
      <c r="A732" s="187">
        <v>680</v>
      </c>
      <c r="B732" s="222">
        <v>45880</v>
      </c>
      <c r="C732" s="221">
        <v>9.6037572017030186</v>
      </c>
      <c r="D732" s="221">
        <v>14.606396891514056</v>
      </c>
      <c r="E732" s="221">
        <f t="shared" si="44"/>
        <v>9.6037572017030186</v>
      </c>
      <c r="F732" s="188" t="str">
        <f t="shared" si="45"/>
        <v/>
      </c>
      <c r="G732" t="str">
        <f t="shared" si="46"/>
        <v/>
      </c>
      <c r="H732" s="188" t="str">
        <f t="shared" si="47"/>
        <v/>
      </c>
      <c r="I732" s="189"/>
    </row>
    <row r="733" spans="1:9">
      <c r="A733" s="187">
        <v>681</v>
      </c>
      <c r="B733" s="222">
        <v>45881</v>
      </c>
      <c r="C733" s="221">
        <v>9.000305205708603</v>
      </c>
      <c r="D733" s="221">
        <v>14.606396891514056</v>
      </c>
      <c r="E733" s="221">
        <f t="shared" si="44"/>
        <v>9.000305205708603</v>
      </c>
      <c r="F733" s="188" t="str">
        <f t="shared" si="45"/>
        <v/>
      </c>
      <c r="G733" t="str">
        <f t="shared" si="46"/>
        <v/>
      </c>
      <c r="H733" s="188" t="str">
        <f t="shared" si="47"/>
        <v/>
      </c>
      <c r="I733" s="189"/>
    </row>
    <row r="734" spans="1:9">
      <c r="A734" s="187">
        <v>682</v>
      </c>
      <c r="B734" s="222">
        <v>45882</v>
      </c>
      <c r="C734" s="221">
        <v>11.558907459160705</v>
      </c>
      <c r="D734" s="221">
        <v>14.606396891514056</v>
      </c>
      <c r="E734" s="221">
        <f t="shared" si="44"/>
        <v>11.558907459160705</v>
      </c>
      <c r="F734" s="188" t="str">
        <f t="shared" si="45"/>
        <v/>
      </c>
      <c r="G734" t="str">
        <f t="shared" si="46"/>
        <v/>
      </c>
      <c r="H734" s="188" t="str">
        <f t="shared" si="47"/>
        <v/>
      </c>
      <c r="I734" s="189"/>
    </row>
    <row r="735" spans="1:9">
      <c r="A735" s="187">
        <v>683</v>
      </c>
      <c r="B735" s="222">
        <v>45883</v>
      </c>
      <c r="C735" s="221">
        <v>2.9691311511588427</v>
      </c>
      <c r="D735" s="221">
        <v>14.606396891514056</v>
      </c>
      <c r="E735" s="221">
        <f t="shared" si="44"/>
        <v>2.9691311511588427</v>
      </c>
      <c r="F735" s="188" t="str">
        <f t="shared" si="45"/>
        <v/>
      </c>
      <c r="G735" t="str">
        <f t="shared" si="46"/>
        <v/>
      </c>
      <c r="H735" s="188" t="str">
        <f>IF(DAY(B735)=15,IF(MONTH(B735)=1,"E",IF(MONTH(B735)=2,"F",IF(MONTH(B735)=3,"M",IF(MONTH(B735)=4,"A",IF(MONTH(B735)=5,"M",IF(MONTH(B735)=6,"J",IF(MONTH(B735)=7,"J",IF(MONTH(B735)=8,"A",IF(MONTH(B735)=9,"S",IF(MONTH(B735)=10,"O",IF(MONTH(B735)=11,"N",IF(MONTH(B735)=12,"D","")))))))))))),"")</f>
        <v/>
      </c>
      <c r="I735" s="189"/>
    </row>
    <row r="736" spans="1:9">
      <c r="A736" s="187">
        <v>684</v>
      </c>
      <c r="B736" s="222">
        <v>45884</v>
      </c>
      <c r="C736" s="221">
        <v>0.95445991916070494</v>
      </c>
      <c r="D736" s="221">
        <v>14.606396891514056</v>
      </c>
      <c r="E736" s="221">
        <f t="shared" si="44"/>
        <v>0.95445991916070494</v>
      </c>
      <c r="F736" s="188" t="str">
        <f t="shared" si="45"/>
        <v/>
      </c>
      <c r="G736" t="str">
        <f t="shared" si="46"/>
        <v/>
      </c>
      <c r="H736" s="188" t="str">
        <f t="shared" si="47"/>
        <v>A</v>
      </c>
      <c r="I736" s="189">
        <f>IF(DAY(B736)=15,D736,"")</f>
        <v>14.606396891514056</v>
      </c>
    </row>
    <row r="737" spans="1:9">
      <c r="A737" s="187">
        <v>685</v>
      </c>
      <c r="B737" s="222">
        <v>45885</v>
      </c>
      <c r="C737" s="221">
        <v>1.2213465361607085</v>
      </c>
      <c r="D737" s="221">
        <v>14.606396891514056</v>
      </c>
      <c r="E737" s="221">
        <f t="shared" si="44"/>
        <v>1.2213465361607085</v>
      </c>
      <c r="F737" s="188" t="str">
        <f t="shared" si="45"/>
        <v/>
      </c>
      <c r="G737" t="str">
        <f t="shared" si="46"/>
        <v/>
      </c>
      <c r="H737" s="188" t="str">
        <f t="shared" si="47"/>
        <v/>
      </c>
      <c r="I737" s="189"/>
    </row>
    <row r="738" spans="1:9">
      <c r="A738" s="187">
        <v>686</v>
      </c>
      <c r="B738" s="222">
        <v>45886</v>
      </c>
      <c r="C738" s="221">
        <v>0.7617259021625723</v>
      </c>
      <c r="D738" s="221">
        <v>14.606396891514056</v>
      </c>
      <c r="E738" s="221">
        <f t="shared" si="44"/>
        <v>0.7617259021625723</v>
      </c>
      <c r="F738" s="188" t="str">
        <f t="shared" si="45"/>
        <v/>
      </c>
      <c r="G738" t="str">
        <f t="shared" si="46"/>
        <v/>
      </c>
      <c r="H738" s="188" t="str">
        <f>IF(DAY(B738)=15,IF(MONTH(B738)=1,"E",IF(MONTH(B738)=2,"F",IF(MONTH(B738)=3,"M",IF(MONTH(B738)=4,"A",IF(MONTH(B738)=5,"M",IF(MONTH(B738)=6,"J",IF(MONTH(B738)=7,"J",IF(MONTH(B738)=8,"A",IF(MONTH(B738)=9,"S",IF(MONTH(B738)=10,"O",IF(MONTH(B738)=11,"N",IF(MONTH(B738)=12,"D","")))))))))))),"")</f>
        <v/>
      </c>
      <c r="I738" s="189"/>
    </row>
    <row r="739" spans="1:9">
      <c r="A739" s="187">
        <v>687</v>
      </c>
      <c r="B739" s="222">
        <v>45887</v>
      </c>
      <c r="C739" s="221">
        <v>0.99938219916071103</v>
      </c>
      <c r="D739" s="221">
        <v>14.606396891514056</v>
      </c>
      <c r="E739" s="221">
        <f t="shared" si="44"/>
        <v>0.99938219916071103</v>
      </c>
      <c r="F739" s="188" t="str">
        <f t="shared" si="45"/>
        <v/>
      </c>
      <c r="G739" t="str">
        <f t="shared" si="46"/>
        <v/>
      </c>
      <c r="H739" s="188" t="str">
        <f t="shared" si="47"/>
        <v/>
      </c>
      <c r="I739" s="189"/>
    </row>
    <row r="740" spans="1:9">
      <c r="A740" s="187">
        <v>688</v>
      </c>
      <c r="B740" s="222">
        <v>45888</v>
      </c>
      <c r="C740" s="221">
        <v>1.1949965271569818</v>
      </c>
      <c r="D740" s="221">
        <v>14.606396891514056</v>
      </c>
      <c r="E740" s="221">
        <f t="shared" si="44"/>
        <v>1.1949965271569818</v>
      </c>
      <c r="F740" s="188" t="str">
        <f t="shared" si="45"/>
        <v/>
      </c>
      <c r="G740" t="str">
        <f t="shared" si="46"/>
        <v/>
      </c>
      <c r="H740" s="188" t="str">
        <f t="shared" si="47"/>
        <v/>
      </c>
      <c r="I740" s="189"/>
    </row>
    <row r="741" spans="1:9">
      <c r="A741" s="187">
        <v>689</v>
      </c>
      <c r="B741" s="222">
        <v>45889</v>
      </c>
      <c r="C741" s="221">
        <v>7.6044234437322231</v>
      </c>
      <c r="D741" s="221">
        <v>14.606396891514056</v>
      </c>
      <c r="E741" s="221">
        <f t="shared" si="44"/>
        <v>7.6044234437322231</v>
      </c>
      <c r="F741" s="188" t="str">
        <f t="shared" si="45"/>
        <v/>
      </c>
      <c r="G741" t="str">
        <f t="shared" si="46"/>
        <v/>
      </c>
      <c r="H741" s="188" t="str">
        <f t="shared" si="47"/>
        <v/>
      </c>
      <c r="I741" s="189"/>
    </row>
    <row r="742" spans="1:9">
      <c r="A742" s="187">
        <v>690</v>
      </c>
      <c r="B742" s="222">
        <v>45890</v>
      </c>
      <c r="C742" s="221">
        <v>8.306834943735943</v>
      </c>
      <c r="D742" s="221">
        <v>14.606396891514056</v>
      </c>
      <c r="E742" s="221">
        <f t="shared" si="44"/>
        <v>8.306834943735943</v>
      </c>
      <c r="F742" s="188" t="str">
        <f t="shared" si="45"/>
        <v/>
      </c>
      <c r="G742" t="str">
        <f t="shared" si="46"/>
        <v/>
      </c>
      <c r="H742" s="188" t="str">
        <f t="shared" si="47"/>
        <v/>
      </c>
      <c r="I742" s="189"/>
    </row>
    <row r="743" spans="1:9">
      <c r="A743" s="187">
        <v>691</v>
      </c>
      <c r="B743" s="222">
        <v>45891</v>
      </c>
      <c r="C743" s="221">
        <v>10.12004469673222</v>
      </c>
      <c r="D743" s="221">
        <v>14.606396891514056</v>
      </c>
      <c r="E743" s="221">
        <f t="shared" si="44"/>
        <v>10.12004469673222</v>
      </c>
      <c r="F743" s="188" t="str">
        <f t="shared" si="45"/>
        <v/>
      </c>
      <c r="G743" t="str">
        <f t="shared" si="46"/>
        <v/>
      </c>
      <c r="H743" s="188" t="str">
        <f t="shared" si="47"/>
        <v/>
      </c>
      <c r="I743" s="189"/>
    </row>
    <row r="744" spans="1:9">
      <c r="A744" s="187">
        <v>692</v>
      </c>
      <c r="B744" s="222">
        <v>45892</v>
      </c>
      <c r="C744" s="221">
        <v>18.177359034732216</v>
      </c>
      <c r="D744" s="221">
        <v>14.606396891514056</v>
      </c>
      <c r="E744" s="221">
        <f t="shared" si="44"/>
        <v>14.606396891514056</v>
      </c>
      <c r="F744" s="188" t="str">
        <f t="shared" si="45"/>
        <v/>
      </c>
      <c r="G744" t="str">
        <f t="shared" si="46"/>
        <v/>
      </c>
      <c r="H744" s="188" t="str">
        <f t="shared" si="47"/>
        <v/>
      </c>
      <c r="I744" s="189"/>
    </row>
    <row r="745" spans="1:9">
      <c r="A745" s="187">
        <v>693</v>
      </c>
      <c r="B745" s="222">
        <v>45893</v>
      </c>
      <c r="C745" s="221">
        <v>13.580027154734081</v>
      </c>
      <c r="D745" s="221">
        <v>14.606396891514056</v>
      </c>
      <c r="E745" s="221">
        <f t="shared" si="44"/>
        <v>13.580027154734081</v>
      </c>
      <c r="F745" s="188" t="str">
        <f t="shared" si="45"/>
        <v/>
      </c>
      <c r="G745" t="str">
        <f t="shared" si="46"/>
        <v/>
      </c>
      <c r="H745" s="188" t="str">
        <f t="shared" si="47"/>
        <v/>
      </c>
      <c r="I745" s="189"/>
    </row>
    <row r="746" spans="1:9">
      <c r="A746" s="187">
        <v>694</v>
      </c>
      <c r="B746" s="222">
        <v>45894</v>
      </c>
      <c r="C746" s="221">
        <v>8.3417917397322157</v>
      </c>
      <c r="D746" s="221">
        <v>14.606396891514056</v>
      </c>
      <c r="E746" s="221">
        <f t="shared" si="44"/>
        <v>8.3417917397322157</v>
      </c>
      <c r="F746" s="188" t="str">
        <f t="shared" si="45"/>
        <v/>
      </c>
      <c r="G746" t="str">
        <f t="shared" si="46"/>
        <v/>
      </c>
      <c r="H746" s="188" t="str">
        <f t="shared" si="47"/>
        <v/>
      </c>
      <c r="I746" s="189"/>
    </row>
    <row r="747" spans="1:9">
      <c r="A747" s="187">
        <v>695</v>
      </c>
      <c r="B747" s="222">
        <v>45895</v>
      </c>
      <c r="C747" s="221">
        <v>8.6844866127322167</v>
      </c>
      <c r="D747" s="221">
        <v>14.606396891514056</v>
      </c>
      <c r="E747" s="221">
        <f t="shared" si="44"/>
        <v>8.6844866127322167</v>
      </c>
      <c r="F747" s="188" t="str">
        <f t="shared" si="45"/>
        <v/>
      </c>
      <c r="G747" t="str">
        <f t="shared" si="46"/>
        <v/>
      </c>
      <c r="H747" s="188" t="str">
        <f t="shared" si="47"/>
        <v/>
      </c>
      <c r="I747" s="189"/>
    </row>
    <row r="748" spans="1:9">
      <c r="A748" s="187">
        <v>696</v>
      </c>
      <c r="B748" s="222">
        <v>45896</v>
      </c>
      <c r="C748" s="221">
        <v>12.330491062076938</v>
      </c>
      <c r="D748" s="221">
        <v>14.606396891514056</v>
      </c>
      <c r="E748" s="221">
        <f t="shared" si="44"/>
        <v>12.330491062076938</v>
      </c>
      <c r="F748" s="188" t="str">
        <f t="shared" si="45"/>
        <v/>
      </c>
      <c r="G748" t="str">
        <f t="shared" si="46"/>
        <v/>
      </c>
      <c r="H748" s="188" t="str">
        <f t="shared" si="47"/>
        <v/>
      </c>
      <c r="I748" s="189"/>
    </row>
    <row r="749" spans="1:9">
      <c r="A749" s="187">
        <v>697</v>
      </c>
      <c r="B749" s="222">
        <v>45897</v>
      </c>
      <c r="C749" s="221">
        <v>1.4327027120769418</v>
      </c>
      <c r="D749" s="221">
        <v>14.606396891514056</v>
      </c>
      <c r="E749" s="221">
        <f t="shared" si="44"/>
        <v>1.4327027120769418</v>
      </c>
      <c r="F749" s="188" t="str">
        <f t="shared" si="45"/>
        <v/>
      </c>
      <c r="G749" t="str">
        <f t="shared" si="46"/>
        <v/>
      </c>
      <c r="H749" s="188" t="str">
        <f t="shared" si="47"/>
        <v/>
      </c>
      <c r="I749" s="189"/>
    </row>
    <row r="750" spans="1:9">
      <c r="A750" s="187">
        <v>698</v>
      </c>
      <c r="B750" s="222">
        <v>45898</v>
      </c>
      <c r="C750" s="221">
        <v>8.5578855480750793</v>
      </c>
      <c r="D750" s="221">
        <v>14.606396891514056</v>
      </c>
      <c r="E750" s="221">
        <f t="shared" si="44"/>
        <v>8.5578855480750793</v>
      </c>
      <c r="F750" s="188" t="str">
        <f t="shared" si="45"/>
        <v/>
      </c>
      <c r="G750" t="str">
        <f t="shared" si="46"/>
        <v/>
      </c>
      <c r="H750" s="188" t="str">
        <f t="shared" si="47"/>
        <v/>
      </c>
      <c r="I750" s="189"/>
    </row>
    <row r="751" spans="1:9">
      <c r="A751" s="187">
        <v>699</v>
      </c>
      <c r="B751" s="222">
        <v>45899</v>
      </c>
      <c r="C751" s="221">
        <v>11.674487226073216</v>
      </c>
      <c r="D751" s="221">
        <v>14.606396891514056</v>
      </c>
      <c r="E751" s="221">
        <f t="shared" si="44"/>
        <v>11.674487226073216</v>
      </c>
      <c r="F751" s="188" t="str">
        <f t="shared" si="45"/>
        <v/>
      </c>
      <c r="G751" t="str">
        <f t="shared" si="46"/>
        <v/>
      </c>
      <c r="H751" s="188" t="str">
        <f t="shared" si="47"/>
        <v/>
      </c>
      <c r="I751" s="189"/>
    </row>
    <row r="752" spans="1:9">
      <c r="A752" s="187">
        <v>700</v>
      </c>
      <c r="B752" s="222">
        <v>45900</v>
      </c>
      <c r="C752" s="221">
        <v>5.8377010440769448</v>
      </c>
      <c r="D752" s="221">
        <v>14.606396891514056</v>
      </c>
      <c r="E752" s="221">
        <f t="shared" si="44"/>
        <v>5.8377010440769448</v>
      </c>
      <c r="F752" s="188" t="str">
        <f t="shared" si="45"/>
        <v/>
      </c>
      <c r="G752" t="str">
        <f t="shared" si="46"/>
        <v/>
      </c>
      <c r="H752" s="188" t="str">
        <f t="shared" si="47"/>
        <v/>
      </c>
      <c r="I752" s="189"/>
    </row>
    <row r="753" spans="1:9">
      <c r="A753" s="187">
        <v>701</v>
      </c>
      <c r="B753" s="222">
        <v>45901</v>
      </c>
      <c r="C753" s="221">
        <v>5.3697709075080639E-2</v>
      </c>
      <c r="D753" s="221">
        <v>20.096931654918169</v>
      </c>
      <c r="E753" s="221">
        <f t="shared" si="44"/>
        <v>5.3697709075080639E-2</v>
      </c>
      <c r="F753" s="188">
        <f t="shared" si="45"/>
        <v>600</v>
      </c>
      <c r="G753" t="str">
        <f t="shared" si="46"/>
        <v/>
      </c>
      <c r="H753" s="188" t="str">
        <f t="shared" si="47"/>
        <v/>
      </c>
      <c r="I753" s="189"/>
    </row>
    <row r="754" spans="1:9">
      <c r="A754" s="187">
        <v>702</v>
      </c>
      <c r="B754" s="222">
        <v>45902</v>
      </c>
      <c r="C754" s="221">
        <v>0.36050568907507841</v>
      </c>
      <c r="D754" s="221">
        <v>20.096931654918169</v>
      </c>
      <c r="E754" s="221">
        <f t="shared" si="44"/>
        <v>0.36050568907507841</v>
      </c>
      <c r="F754" s="188" t="str">
        <f t="shared" si="45"/>
        <v/>
      </c>
      <c r="G754" t="str">
        <f t="shared" si="46"/>
        <v/>
      </c>
      <c r="H754" s="188" t="str">
        <f t="shared" si="47"/>
        <v/>
      </c>
      <c r="I754" s="189"/>
    </row>
    <row r="755" spans="1:9">
      <c r="A755" s="187">
        <v>703</v>
      </c>
      <c r="B755" s="222">
        <v>45903</v>
      </c>
      <c r="C755" s="221">
        <v>3.8739321071034718</v>
      </c>
      <c r="D755" s="221">
        <v>20.096931654918169</v>
      </c>
      <c r="E755" s="221">
        <f t="shared" si="44"/>
        <v>3.8739321071034718</v>
      </c>
      <c r="F755" s="188" t="str">
        <f t="shared" si="45"/>
        <v/>
      </c>
      <c r="G755" t="str">
        <f t="shared" si="46"/>
        <v/>
      </c>
      <c r="H755" s="188" t="str">
        <f t="shared" si="47"/>
        <v/>
      </c>
      <c r="I755" s="189"/>
    </row>
    <row r="756" spans="1:9">
      <c r="A756" s="187">
        <v>704</v>
      </c>
      <c r="B756" s="222">
        <v>45904</v>
      </c>
      <c r="C756" s="221">
        <v>19.066637347101612</v>
      </c>
      <c r="D756" s="221">
        <v>20.096931654918169</v>
      </c>
      <c r="E756" s="221">
        <f t="shared" ref="E756:E809" si="48">IF(C756&lt;D756,C756,D756)</f>
        <v>19.066637347101612</v>
      </c>
      <c r="F756" s="188" t="str">
        <f t="shared" ref="F756:F810" si="49">IF(DAY(B756)=1,600,"")</f>
        <v/>
      </c>
      <c r="G756" t="str">
        <f t="shared" si="46"/>
        <v/>
      </c>
      <c r="H756" s="188" t="str">
        <f t="shared" si="47"/>
        <v/>
      </c>
      <c r="I756" s="189"/>
    </row>
    <row r="757" spans="1:9">
      <c r="A757" s="187">
        <v>705</v>
      </c>
      <c r="B757" s="222">
        <v>45905</v>
      </c>
      <c r="C757" s="221">
        <v>24.277832320103474</v>
      </c>
      <c r="D757" s="221">
        <v>20.096931654918169</v>
      </c>
      <c r="E757" s="221">
        <f t="shared" si="48"/>
        <v>20.096931654918169</v>
      </c>
      <c r="F757" s="188" t="str">
        <f t="shared" si="49"/>
        <v/>
      </c>
      <c r="G757" t="str">
        <f t="shared" si="46"/>
        <v/>
      </c>
      <c r="H757" s="188" t="str">
        <f t="shared" si="47"/>
        <v/>
      </c>
      <c r="I757" s="189"/>
    </row>
    <row r="758" spans="1:9">
      <c r="A758" s="187">
        <v>706</v>
      </c>
      <c r="B758" s="222">
        <v>45906</v>
      </c>
      <c r="C758" s="221">
        <v>7.1113163381034754</v>
      </c>
      <c r="D758" s="221">
        <v>20.096931654918169</v>
      </c>
      <c r="E758" s="221">
        <f t="shared" si="48"/>
        <v>7.1113163381034754</v>
      </c>
      <c r="F758" s="188" t="str">
        <f t="shared" si="49"/>
        <v/>
      </c>
      <c r="G758" t="str">
        <f t="shared" ref="G758:G810" si="50">IF(MONTH(B758)=1,IF(DAY(B758)=1,YEAR(B758),""),"")</f>
        <v/>
      </c>
      <c r="H758" s="188" t="str">
        <f t="shared" si="47"/>
        <v/>
      </c>
      <c r="I758" s="189"/>
    </row>
    <row r="759" spans="1:9">
      <c r="A759" s="187">
        <v>707</v>
      </c>
      <c r="B759" s="222">
        <v>45907</v>
      </c>
      <c r="C759" s="221">
        <v>14.431599771103473</v>
      </c>
      <c r="D759" s="221">
        <v>20.096931654918169</v>
      </c>
      <c r="E759" s="221">
        <f t="shared" si="48"/>
        <v>14.431599771103473</v>
      </c>
      <c r="F759" s="188" t="str">
        <f t="shared" si="49"/>
        <v/>
      </c>
      <c r="G759" t="str">
        <f t="shared" si="50"/>
        <v/>
      </c>
      <c r="H759" s="188" t="str">
        <f t="shared" si="47"/>
        <v/>
      </c>
      <c r="I759" s="189"/>
    </row>
    <row r="760" spans="1:9">
      <c r="A760" s="187">
        <v>708</v>
      </c>
      <c r="B760" s="222">
        <v>45908</v>
      </c>
      <c r="C760" s="221">
        <v>35.067888651101612</v>
      </c>
      <c r="D760" s="221">
        <v>20.096931654918169</v>
      </c>
      <c r="E760" s="221">
        <f t="shared" si="48"/>
        <v>20.096931654918169</v>
      </c>
      <c r="F760" s="188" t="str">
        <f t="shared" si="49"/>
        <v/>
      </c>
      <c r="G760" t="str">
        <f t="shared" si="50"/>
        <v/>
      </c>
      <c r="H760" s="188" t="str">
        <f t="shared" si="47"/>
        <v/>
      </c>
      <c r="I760" s="189"/>
    </row>
    <row r="761" spans="1:9">
      <c r="A761" s="187">
        <v>709</v>
      </c>
      <c r="B761" s="222">
        <v>45909</v>
      </c>
      <c r="C761" s="221">
        <v>31.536839963101606</v>
      </c>
      <c r="D761" s="221">
        <v>20.096931654918169</v>
      </c>
      <c r="E761" s="221">
        <f t="shared" si="48"/>
        <v>20.096931654918169</v>
      </c>
      <c r="F761" s="188" t="str">
        <f t="shared" si="49"/>
        <v/>
      </c>
      <c r="G761" t="str">
        <f t="shared" si="50"/>
        <v/>
      </c>
      <c r="H761" s="188" t="str">
        <f t="shared" si="47"/>
        <v/>
      </c>
      <c r="I761" s="189"/>
    </row>
    <row r="762" spans="1:9">
      <c r="A762" s="187">
        <v>710</v>
      </c>
      <c r="B762" s="222">
        <v>45910</v>
      </c>
      <c r="C762" s="221">
        <v>12.969246855678655</v>
      </c>
      <c r="D762" s="221">
        <v>20.096931654918169</v>
      </c>
      <c r="E762" s="221">
        <f t="shared" si="48"/>
        <v>12.969246855678655</v>
      </c>
      <c r="F762" s="188" t="str">
        <f t="shared" si="49"/>
        <v/>
      </c>
      <c r="G762" t="str">
        <f t="shared" si="50"/>
        <v/>
      </c>
      <c r="H762" s="188" t="str">
        <f t="shared" si="47"/>
        <v/>
      </c>
      <c r="I762" s="189"/>
    </row>
    <row r="763" spans="1:9">
      <c r="A763" s="187">
        <v>711</v>
      </c>
      <c r="B763" s="222">
        <v>45911</v>
      </c>
      <c r="C763" s="221">
        <v>15.327467231673065</v>
      </c>
      <c r="D763" s="221">
        <v>20.096931654918169</v>
      </c>
      <c r="E763" s="221">
        <f t="shared" si="48"/>
        <v>15.327467231673065</v>
      </c>
      <c r="F763" s="188" t="str">
        <f t="shared" si="49"/>
        <v/>
      </c>
      <c r="G763" t="str">
        <f t="shared" si="50"/>
        <v/>
      </c>
      <c r="H763" s="188" t="str">
        <f t="shared" si="47"/>
        <v/>
      </c>
      <c r="I763" s="189"/>
    </row>
    <row r="764" spans="1:9">
      <c r="A764" s="187">
        <v>712</v>
      </c>
      <c r="B764" s="222">
        <v>45912</v>
      </c>
      <c r="C764" s="221">
        <v>34.588256312676791</v>
      </c>
      <c r="D764" s="221">
        <v>20.096931654918169</v>
      </c>
      <c r="E764" s="221">
        <f t="shared" si="48"/>
        <v>20.096931654918169</v>
      </c>
      <c r="F764" s="188" t="str">
        <f t="shared" si="49"/>
        <v/>
      </c>
      <c r="G764" t="str">
        <f t="shared" si="50"/>
        <v/>
      </c>
      <c r="H764" s="188" t="str">
        <f t="shared" si="47"/>
        <v/>
      </c>
      <c r="I764" s="189"/>
    </row>
    <row r="765" spans="1:9">
      <c r="A765" s="187">
        <v>713</v>
      </c>
      <c r="B765" s="222">
        <v>45913</v>
      </c>
      <c r="C765" s="221">
        <v>21.264824958676794</v>
      </c>
      <c r="D765" s="221">
        <v>20.096931654918169</v>
      </c>
      <c r="E765" s="221">
        <f t="shared" si="48"/>
        <v>20.096931654918169</v>
      </c>
      <c r="F765" s="188" t="str">
        <f t="shared" si="49"/>
        <v/>
      </c>
      <c r="G765" t="str">
        <f t="shared" si="50"/>
        <v/>
      </c>
      <c r="H765" s="188" t="str">
        <f t="shared" si="47"/>
        <v/>
      </c>
      <c r="I765" s="189"/>
    </row>
    <row r="766" spans="1:9">
      <c r="A766" s="187">
        <v>714</v>
      </c>
      <c r="B766" s="222">
        <v>45914</v>
      </c>
      <c r="C766" s="221">
        <v>13.399805775674926</v>
      </c>
      <c r="D766" s="221">
        <v>20.096931654918169</v>
      </c>
      <c r="E766" s="221">
        <f t="shared" si="48"/>
        <v>13.399805775674926</v>
      </c>
      <c r="F766" s="188" t="str">
        <f t="shared" si="49"/>
        <v/>
      </c>
      <c r="G766" t="str">
        <f t="shared" si="50"/>
        <v/>
      </c>
      <c r="H766" s="188" t="str">
        <f>IF(DAY(B766)=15,IF(MONTH(B766)=1,"E",IF(MONTH(B766)=2,"F",IF(MONTH(B766)=3,"M",IF(MONTH(B766)=4,"A",IF(MONTH(B766)=5,"M",IF(MONTH(B766)=6,"J",IF(MONTH(B766)=7,"J",IF(MONTH(B766)=8,"A",IF(MONTH(B766)=9,"S",IF(MONTH(B766)=10,"O",IF(MONTH(B766)=11,"N",IF(MONTH(B766)=12,"D","")))))))))))),"")</f>
        <v/>
      </c>
      <c r="I766" s="189"/>
    </row>
    <row r="767" spans="1:9">
      <c r="A767" s="187">
        <v>715</v>
      </c>
      <c r="B767" s="222">
        <v>45915</v>
      </c>
      <c r="C767" s="221">
        <v>18.213449891676792</v>
      </c>
      <c r="D767" s="221">
        <v>20.096931654918169</v>
      </c>
      <c r="E767" s="221">
        <f t="shared" si="48"/>
        <v>18.213449891676792</v>
      </c>
      <c r="F767" s="188" t="str">
        <f t="shared" si="49"/>
        <v/>
      </c>
      <c r="G767" t="str">
        <f t="shared" si="50"/>
        <v/>
      </c>
      <c r="H767" s="188" t="str">
        <f t="shared" si="47"/>
        <v>S</v>
      </c>
      <c r="I767" s="189">
        <f>IF(DAY(B767)=15,D767,"")</f>
        <v>20.096931654918169</v>
      </c>
    </row>
    <row r="768" spans="1:9">
      <c r="A768" s="187">
        <v>716</v>
      </c>
      <c r="B768" s="222">
        <v>45916</v>
      </c>
      <c r="C768" s="221">
        <v>19.13413580867493</v>
      </c>
      <c r="D768" s="221">
        <v>20.096931654918169</v>
      </c>
      <c r="E768" s="221">
        <f t="shared" si="48"/>
        <v>19.13413580867493</v>
      </c>
      <c r="F768" s="188" t="str">
        <f t="shared" si="49"/>
        <v/>
      </c>
      <c r="G768" t="str">
        <f t="shared" si="50"/>
        <v/>
      </c>
      <c r="H768" s="188" t="str">
        <f t="shared" si="47"/>
        <v/>
      </c>
      <c r="I768" s="189"/>
    </row>
    <row r="769" spans="1:9">
      <c r="A769" s="187">
        <v>717</v>
      </c>
      <c r="B769" s="222">
        <v>45917</v>
      </c>
      <c r="C769" s="221">
        <v>13.690997182199659</v>
      </c>
      <c r="D769" s="221">
        <v>20.096931654918169</v>
      </c>
      <c r="E769" s="221">
        <f t="shared" si="48"/>
        <v>13.690997182199659</v>
      </c>
      <c r="F769" s="188" t="str">
        <f t="shared" si="49"/>
        <v/>
      </c>
      <c r="G769" t="str">
        <f t="shared" si="50"/>
        <v/>
      </c>
      <c r="H769" s="188" t="str">
        <f>IF(DAY(B769)=15,IF(MONTH(B769)=1,"E",IF(MONTH(B769)=2,"F",IF(MONTH(B769)=3,"M",IF(MONTH(B769)=4,"A",IF(MONTH(B769)=5,"M",IF(MONTH(B769)=6,"J",IF(MONTH(B769)=7,"J",IF(MONTH(B769)=8,"A",IF(MONTH(B769)=9,"S",IF(MONTH(B769)=10,"O",IF(MONTH(B769)=11,"N",IF(MONTH(B769)=12,"D","")))))))))))),"")</f>
        <v/>
      </c>
      <c r="I769" s="189"/>
    </row>
    <row r="770" spans="1:9">
      <c r="A770" s="187">
        <v>718</v>
      </c>
      <c r="B770" s="222">
        <v>45918</v>
      </c>
      <c r="C770" s="221">
        <v>9.2431778151996546</v>
      </c>
      <c r="D770" s="221">
        <v>20.096931654918169</v>
      </c>
      <c r="E770" s="221">
        <f t="shared" si="48"/>
        <v>9.2431778151996546</v>
      </c>
      <c r="F770" s="188" t="str">
        <f t="shared" si="49"/>
        <v/>
      </c>
      <c r="G770" t="str">
        <f t="shared" si="50"/>
        <v/>
      </c>
      <c r="H770" s="188" t="str">
        <f t="shared" si="47"/>
        <v/>
      </c>
      <c r="I770" s="189"/>
    </row>
    <row r="771" spans="1:9">
      <c r="A771" s="187">
        <v>719</v>
      </c>
      <c r="B771" s="222">
        <v>45919</v>
      </c>
      <c r="C771" s="221">
        <v>6.2823044591977961</v>
      </c>
      <c r="D771" s="221">
        <v>20.096931654918169</v>
      </c>
      <c r="E771" s="221">
        <f t="shared" si="48"/>
        <v>6.2823044591977961</v>
      </c>
      <c r="F771" s="188" t="str">
        <f t="shared" si="49"/>
        <v/>
      </c>
      <c r="G771" t="str">
        <f t="shared" si="50"/>
        <v/>
      </c>
      <c r="H771" s="188" t="str">
        <f t="shared" ref="H771:H813" si="51">IF(DAY(B771)=15,IF(MONTH(B771)=1,"E",IF(MONTH(B771)=2,"F",IF(MONTH(B771)=3,"M",IF(MONTH(B771)=4,"A",IF(MONTH(B771)=5,"M",IF(MONTH(B771)=6,"J",IF(MONTH(B771)=7,"J",IF(MONTH(B771)=8,"A",IF(MONTH(B771)=9,"S",IF(MONTH(B771)=10,"O",IF(MONTH(B771)=11,"N",IF(MONTH(B771)=12,"D","")))))))))))),"")</f>
        <v/>
      </c>
      <c r="I771" s="189"/>
    </row>
    <row r="772" spans="1:9">
      <c r="A772" s="187">
        <v>720</v>
      </c>
      <c r="B772" s="222">
        <v>45920</v>
      </c>
      <c r="C772" s="221">
        <v>3.1145610751977948</v>
      </c>
      <c r="D772" s="221">
        <v>20.096931654918169</v>
      </c>
      <c r="E772" s="221">
        <f t="shared" si="48"/>
        <v>3.1145610751977948</v>
      </c>
      <c r="F772" s="188" t="str">
        <f t="shared" si="49"/>
        <v/>
      </c>
      <c r="G772" t="str">
        <f t="shared" si="50"/>
        <v/>
      </c>
      <c r="H772" s="188" t="str">
        <f t="shared" si="51"/>
        <v/>
      </c>
      <c r="I772" s="189"/>
    </row>
    <row r="773" spans="1:9">
      <c r="A773" s="187">
        <v>721</v>
      </c>
      <c r="B773" s="222">
        <v>45921</v>
      </c>
      <c r="C773" s="221">
        <v>2.5861794472015207</v>
      </c>
      <c r="D773" s="221">
        <v>20.096931654918169</v>
      </c>
      <c r="E773" s="221">
        <f t="shared" si="48"/>
        <v>2.5861794472015207</v>
      </c>
      <c r="F773" s="188" t="str">
        <f t="shared" si="49"/>
        <v/>
      </c>
      <c r="G773" t="str">
        <f t="shared" si="50"/>
        <v/>
      </c>
      <c r="H773" s="188" t="str">
        <f t="shared" si="51"/>
        <v/>
      </c>
      <c r="I773" s="189"/>
    </row>
    <row r="774" spans="1:9">
      <c r="A774" s="187">
        <v>722</v>
      </c>
      <c r="B774" s="222">
        <v>45922</v>
      </c>
      <c r="C774" s="221">
        <v>1.4251420391977954</v>
      </c>
      <c r="D774" s="221">
        <v>20.096931654918169</v>
      </c>
      <c r="E774" s="221">
        <f t="shared" si="48"/>
        <v>1.4251420391977954</v>
      </c>
      <c r="F774" s="188" t="str">
        <f t="shared" si="49"/>
        <v/>
      </c>
      <c r="G774" t="str">
        <f t="shared" si="50"/>
        <v/>
      </c>
      <c r="H774" s="188" t="str">
        <f t="shared" si="51"/>
        <v/>
      </c>
      <c r="I774" s="189"/>
    </row>
    <row r="775" spans="1:9">
      <c r="A775" s="187">
        <v>723</v>
      </c>
      <c r="B775" s="222">
        <v>45923</v>
      </c>
      <c r="C775" s="221">
        <v>1.7883082552015257</v>
      </c>
      <c r="D775" s="221">
        <v>20.096931654918169</v>
      </c>
      <c r="E775" s="221">
        <f t="shared" si="48"/>
        <v>1.7883082552015257</v>
      </c>
      <c r="F775" s="188" t="str">
        <f t="shared" si="49"/>
        <v/>
      </c>
      <c r="G775" t="str">
        <f t="shared" si="50"/>
        <v/>
      </c>
      <c r="H775" s="188" t="str">
        <f t="shared" si="51"/>
        <v/>
      </c>
      <c r="I775" s="189"/>
    </row>
    <row r="776" spans="1:9">
      <c r="A776" s="187">
        <v>724</v>
      </c>
      <c r="B776" s="222">
        <v>45924</v>
      </c>
      <c r="C776" s="221">
        <v>11.920882709065394</v>
      </c>
      <c r="D776" s="221">
        <v>20.096931654918169</v>
      </c>
      <c r="E776" s="221">
        <f t="shared" si="48"/>
        <v>11.920882709065394</v>
      </c>
      <c r="F776" s="188" t="str">
        <f t="shared" si="49"/>
        <v/>
      </c>
      <c r="G776" t="str">
        <f t="shared" si="50"/>
        <v/>
      </c>
      <c r="H776" s="188" t="str">
        <f t="shared" si="51"/>
        <v/>
      </c>
      <c r="I776" s="189"/>
    </row>
    <row r="777" spans="1:9">
      <c r="A777" s="187">
        <v>725</v>
      </c>
      <c r="B777" s="222">
        <v>45925</v>
      </c>
      <c r="C777" s="221">
        <v>29.771581229065394</v>
      </c>
      <c r="D777" s="221">
        <v>20.096931654918169</v>
      </c>
      <c r="E777" s="221">
        <f t="shared" si="48"/>
        <v>20.096931654918169</v>
      </c>
      <c r="F777" s="188" t="str">
        <f t="shared" si="49"/>
        <v/>
      </c>
      <c r="G777" t="str">
        <f t="shared" si="50"/>
        <v/>
      </c>
      <c r="H777" s="188" t="str">
        <f t="shared" si="51"/>
        <v/>
      </c>
      <c r="I777" s="189"/>
    </row>
    <row r="778" spans="1:9">
      <c r="A778" s="187">
        <v>726</v>
      </c>
      <c r="B778" s="222">
        <v>45926</v>
      </c>
      <c r="C778" s="221">
        <v>37.543243065067259</v>
      </c>
      <c r="D778" s="221">
        <v>20.096931654918169</v>
      </c>
      <c r="E778" s="221">
        <f t="shared" si="48"/>
        <v>20.096931654918169</v>
      </c>
      <c r="F778" s="188" t="str">
        <f t="shared" si="49"/>
        <v/>
      </c>
      <c r="G778" t="str">
        <f t="shared" si="50"/>
        <v/>
      </c>
      <c r="H778" s="188" t="str">
        <f t="shared" si="51"/>
        <v/>
      </c>
      <c r="I778" s="189"/>
    </row>
    <row r="779" spans="1:9">
      <c r="A779" s="187">
        <v>727</v>
      </c>
      <c r="B779" s="222">
        <v>45927</v>
      </c>
      <c r="C779" s="221">
        <v>26.490858717067262</v>
      </c>
      <c r="D779" s="221">
        <v>20.096931654918169</v>
      </c>
      <c r="E779" s="221">
        <f t="shared" si="48"/>
        <v>20.096931654918169</v>
      </c>
      <c r="F779" s="188" t="str">
        <f t="shared" si="49"/>
        <v/>
      </c>
      <c r="G779" t="str">
        <f t="shared" si="50"/>
        <v/>
      </c>
      <c r="H779" s="188" t="str">
        <f t="shared" si="51"/>
        <v/>
      </c>
      <c r="I779" s="189"/>
    </row>
    <row r="780" spans="1:9">
      <c r="A780" s="187">
        <v>728</v>
      </c>
      <c r="B780" s="222">
        <v>45928</v>
      </c>
      <c r="C780" s="221">
        <v>5.630432829065394</v>
      </c>
      <c r="D780" s="221">
        <v>20.096931654918169</v>
      </c>
      <c r="E780" s="221">
        <f t="shared" si="48"/>
        <v>5.630432829065394</v>
      </c>
      <c r="F780" s="188" t="str">
        <f t="shared" si="49"/>
        <v/>
      </c>
      <c r="G780" t="str">
        <f t="shared" si="50"/>
        <v/>
      </c>
      <c r="H780" s="188" t="str">
        <f t="shared" si="51"/>
        <v/>
      </c>
      <c r="I780" s="189"/>
    </row>
    <row r="781" spans="1:9">
      <c r="A781" s="187">
        <v>729</v>
      </c>
      <c r="B781" s="222">
        <v>45929</v>
      </c>
      <c r="C781" s="221">
        <v>17.630909821067259</v>
      </c>
      <c r="D781" s="221">
        <v>20.096931654918169</v>
      </c>
      <c r="E781" s="221">
        <f t="shared" si="48"/>
        <v>17.630909821067259</v>
      </c>
      <c r="F781" s="188" t="str">
        <f t="shared" si="49"/>
        <v/>
      </c>
      <c r="G781" t="str">
        <f t="shared" si="50"/>
        <v/>
      </c>
      <c r="H781" s="188" t="str">
        <f t="shared" si="51"/>
        <v/>
      </c>
      <c r="I781" s="189"/>
    </row>
    <row r="782" spans="1:9">
      <c r="A782" s="187">
        <v>730</v>
      </c>
      <c r="B782" s="222">
        <v>45930</v>
      </c>
      <c r="C782" s="221">
        <v>30.835724041067259</v>
      </c>
      <c r="D782" s="221">
        <v>20.096931654918169</v>
      </c>
      <c r="E782" s="221">
        <f t="shared" si="48"/>
        <v>20.096931654918169</v>
      </c>
      <c r="F782" s="188" t="str">
        <f t="shared" si="49"/>
        <v/>
      </c>
      <c r="G782" t="str">
        <f t="shared" si="50"/>
        <v/>
      </c>
      <c r="H782" s="188" t="str">
        <f t="shared" si="51"/>
        <v/>
      </c>
      <c r="I782" s="189"/>
    </row>
    <row r="783" spans="1:9">
      <c r="A783" s="187">
        <v>731</v>
      </c>
      <c r="B783" s="222">
        <v>45931</v>
      </c>
      <c r="C783" s="221">
        <v>27.612288014657359</v>
      </c>
      <c r="D783" s="221">
        <v>43.333737750551208</v>
      </c>
      <c r="E783" s="221">
        <f t="shared" si="48"/>
        <v>27.612288014657359</v>
      </c>
      <c r="F783" s="188">
        <f t="shared" si="49"/>
        <v>600</v>
      </c>
      <c r="G783" t="str">
        <f>IF(MONTH(B783)=1,IF(DAY(B783)=1,YEAR(B783),""),"")</f>
        <v/>
      </c>
      <c r="H783" s="188" t="str">
        <f t="shared" si="51"/>
        <v/>
      </c>
      <c r="I783" s="189"/>
    </row>
    <row r="784" spans="1:9">
      <c r="A784" s="187">
        <v>732</v>
      </c>
      <c r="B784" s="222">
        <v>45932</v>
      </c>
      <c r="C784" s="221">
        <v>29.546072014657359</v>
      </c>
      <c r="D784" s="221">
        <v>43.333737750551208</v>
      </c>
      <c r="E784" s="221">
        <f t="shared" si="48"/>
        <v>29.546072014657359</v>
      </c>
      <c r="F784" s="188" t="str">
        <f t="shared" si="49"/>
        <v/>
      </c>
      <c r="G784" t="str">
        <f t="shared" si="50"/>
        <v/>
      </c>
      <c r="H784" s="188" t="str">
        <f t="shared" si="51"/>
        <v/>
      </c>
      <c r="I784" s="189"/>
    </row>
    <row r="785" spans="1:9">
      <c r="A785" s="187">
        <v>733</v>
      </c>
      <c r="B785" s="222">
        <v>45933</v>
      </c>
      <c r="C785" s="221">
        <v>31.593936014657395</v>
      </c>
      <c r="D785" s="221">
        <v>43.333737750551208</v>
      </c>
      <c r="E785" s="221">
        <f t="shared" si="48"/>
        <v>31.593936014657395</v>
      </c>
      <c r="F785" s="188" t="str">
        <f t="shared" si="49"/>
        <v/>
      </c>
      <c r="G785" t="str">
        <f t="shared" si="50"/>
        <v/>
      </c>
      <c r="H785" s="188" t="str">
        <f t="shared" si="51"/>
        <v/>
      </c>
      <c r="I785" s="189"/>
    </row>
    <row r="786" spans="1:9">
      <c r="A786" s="187">
        <v>734</v>
      </c>
      <c r="B786" s="222">
        <v>45934</v>
      </c>
      <c r="C786" s="221">
        <v>0.85775501465736304</v>
      </c>
      <c r="D786" s="221">
        <v>43.333737750551208</v>
      </c>
      <c r="E786" s="221">
        <f t="shared" si="48"/>
        <v>0.85775501465736304</v>
      </c>
      <c r="F786" s="188" t="str">
        <f t="shared" si="49"/>
        <v/>
      </c>
      <c r="G786" t="str">
        <f t="shared" si="50"/>
        <v/>
      </c>
      <c r="H786" s="188" t="str">
        <f t="shared" si="51"/>
        <v/>
      </c>
      <c r="I786" s="189"/>
    </row>
    <row r="787" spans="1:9">
      <c r="A787" s="187">
        <v>735</v>
      </c>
      <c r="B787" s="222">
        <v>45935</v>
      </c>
      <c r="C787" s="221">
        <v>3.6786500146573964</v>
      </c>
      <c r="D787" s="221">
        <v>43.333737750551208</v>
      </c>
      <c r="E787" s="221">
        <f t="shared" si="48"/>
        <v>3.6786500146573964</v>
      </c>
      <c r="F787" s="188" t="str">
        <f t="shared" si="49"/>
        <v/>
      </c>
      <c r="G787" t="str">
        <f t="shared" si="50"/>
        <v/>
      </c>
      <c r="H787" s="188" t="str">
        <f t="shared" si="51"/>
        <v/>
      </c>
      <c r="I787" s="189"/>
    </row>
    <row r="788" spans="1:9">
      <c r="A788" s="187">
        <v>736</v>
      </c>
      <c r="B788" s="222">
        <v>45936</v>
      </c>
      <c r="C788" s="221">
        <v>17.845458014657392</v>
      </c>
      <c r="D788" s="221">
        <v>43.333737750551208</v>
      </c>
      <c r="E788" s="221">
        <f t="shared" si="48"/>
        <v>17.845458014657392</v>
      </c>
      <c r="F788" s="188" t="str">
        <f t="shared" si="49"/>
        <v/>
      </c>
      <c r="G788" t="str">
        <f t="shared" si="50"/>
        <v/>
      </c>
      <c r="H788" s="188" t="str">
        <f t="shared" si="51"/>
        <v/>
      </c>
      <c r="I788" s="189"/>
    </row>
    <row r="789" spans="1:9">
      <c r="A789" s="187">
        <v>737</v>
      </c>
      <c r="B789" s="222">
        <v>45937</v>
      </c>
      <c r="C789" s="221">
        <v>42.799380014657366</v>
      </c>
      <c r="D789" s="221">
        <v>43.333737750551208</v>
      </c>
      <c r="E789" s="221">
        <f t="shared" si="48"/>
        <v>42.799380014657366</v>
      </c>
      <c r="F789" s="188" t="str">
        <f t="shared" si="49"/>
        <v/>
      </c>
      <c r="G789" t="str">
        <f t="shared" si="50"/>
        <v/>
      </c>
      <c r="H789" s="188" t="str">
        <f t="shared" si="51"/>
        <v/>
      </c>
      <c r="I789" s="189"/>
    </row>
    <row r="790" spans="1:9">
      <c r="A790" s="187">
        <v>738</v>
      </c>
      <c r="B790" s="222">
        <v>45938</v>
      </c>
      <c r="C790" s="221">
        <v>37.039900689980414</v>
      </c>
      <c r="D790" s="221">
        <v>43.333737750551208</v>
      </c>
      <c r="E790" s="221">
        <f t="shared" si="48"/>
        <v>37.039900689980414</v>
      </c>
      <c r="F790" s="188" t="str">
        <f t="shared" si="49"/>
        <v/>
      </c>
      <c r="G790" t="str">
        <f t="shared" si="50"/>
        <v/>
      </c>
      <c r="H790" s="188" t="str">
        <f t="shared" si="51"/>
        <v/>
      </c>
      <c r="I790" s="189"/>
    </row>
    <row r="791" spans="1:9">
      <c r="A791" s="187">
        <v>739</v>
      </c>
      <c r="B791" s="222">
        <v>45939</v>
      </c>
      <c r="C791" s="221">
        <v>8.5368846899804041</v>
      </c>
      <c r="D791" s="221">
        <v>43.333737750551208</v>
      </c>
      <c r="E791" s="221">
        <f t="shared" si="48"/>
        <v>8.5368846899804041</v>
      </c>
      <c r="F791" s="188" t="str">
        <f t="shared" si="49"/>
        <v/>
      </c>
      <c r="G791" t="str">
        <f t="shared" si="50"/>
        <v/>
      </c>
      <c r="H791" s="188" t="str">
        <f t="shared" si="51"/>
        <v/>
      </c>
      <c r="I791" s="189"/>
    </row>
    <row r="792" spans="1:9">
      <c r="A792" s="187">
        <v>740</v>
      </c>
      <c r="B792" s="222">
        <v>45940</v>
      </c>
      <c r="C792" s="221">
        <v>5.6381446899804066</v>
      </c>
      <c r="D792" s="221">
        <v>43.333737750551208</v>
      </c>
      <c r="E792" s="221">
        <f t="shared" si="48"/>
        <v>5.6381446899804066</v>
      </c>
      <c r="F792" s="188" t="str">
        <f t="shared" si="49"/>
        <v/>
      </c>
      <c r="G792" t="str">
        <f t="shared" si="50"/>
        <v/>
      </c>
      <c r="H792" s="188" t="str">
        <f t="shared" si="51"/>
        <v/>
      </c>
      <c r="I792" s="189"/>
    </row>
    <row r="793" spans="1:9">
      <c r="A793" s="187">
        <v>741</v>
      </c>
      <c r="B793" s="222">
        <v>45941</v>
      </c>
      <c r="C793" s="221">
        <v>4.5240996899804014</v>
      </c>
      <c r="D793" s="221">
        <v>43.333737750551208</v>
      </c>
      <c r="E793" s="221">
        <f t="shared" si="48"/>
        <v>4.5240996899804014</v>
      </c>
      <c r="F793" s="188" t="str">
        <f t="shared" si="49"/>
        <v/>
      </c>
      <c r="G793" t="str">
        <f t="shared" si="50"/>
        <v/>
      </c>
      <c r="H793" s="188" t="str">
        <f t="shared" si="51"/>
        <v/>
      </c>
      <c r="I793" s="189"/>
    </row>
    <row r="794" spans="1:9">
      <c r="A794" s="187">
        <v>742</v>
      </c>
      <c r="B794" s="222">
        <v>45942</v>
      </c>
      <c r="C794" s="221">
        <v>1.9573636899804041</v>
      </c>
      <c r="D794" s="221">
        <v>43.333737750551208</v>
      </c>
      <c r="E794" s="221">
        <f t="shared" si="48"/>
        <v>1.9573636899804041</v>
      </c>
      <c r="F794" s="188" t="str">
        <f t="shared" si="49"/>
        <v/>
      </c>
      <c r="G794" t="str">
        <f t="shared" si="50"/>
        <v/>
      </c>
      <c r="H794" s="188" t="str">
        <f t="shared" si="51"/>
        <v/>
      </c>
      <c r="I794" s="189"/>
    </row>
    <row r="795" spans="1:9">
      <c r="A795" s="187">
        <v>743</v>
      </c>
      <c r="B795" s="222">
        <v>45943</v>
      </c>
      <c r="C795" s="221">
        <v>12.225653689980405</v>
      </c>
      <c r="D795" s="221">
        <v>43.333737750551208</v>
      </c>
      <c r="E795" s="221">
        <f t="shared" si="48"/>
        <v>12.225653689980405</v>
      </c>
      <c r="F795" s="188" t="str">
        <f t="shared" si="49"/>
        <v/>
      </c>
      <c r="G795" t="str">
        <f t="shared" si="50"/>
        <v/>
      </c>
      <c r="H795" s="188" t="str">
        <f t="shared" si="51"/>
        <v/>
      </c>
      <c r="I795" s="189"/>
    </row>
    <row r="796" spans="1:9">
      <c r="A796" s="187">
        <v>744</v>
      </c>
      <c r="B796" s="222">
        <v>45944</v>
      </c>
      <c r="C796" s="221">
        <v>16.737806689980395</v>
      </c>
      <c r="D796" s="221">
        <v>43.333737750551208</v>
      </c>
      <c r="E796" s="221">
        <f t="shared" si="48"/>
        <v>16.737806689980395</v>
      </c>
      <c r="F796" s="188" t="str">
        <f t="shared" si="49"/>
        <v/>
      </c>
      <c r="G796" t="str">
        <f t="shared" si="50"/>
        <v/>
      </c>
      <c r="H796" s="188" t="str">
        <f t="shared" si="51"/>
        <v/>
      </c>
      <c r="I796" s="189"/>
    </row>
    <row r="797" spans="1:9">
      <c r="A797" s="187">
        <v>745</v>
      </c>
      <c r="B797" s="222">
        <v>45945</v>
      </c>
      <c r="C797" s="221">
        <v>21.284614570018459</v>
      </c>
      <c r="D797" s="221">
        <v>43.333737750551208</v>
      </c>
      <c r="E797" s="221">
        <f t="shared" si="48"/>
        <v>21.284614570018459</v>
      </c>
      <c r="F797" s="188" t="str">
        <f t="shared" si="49"/>
        <v/>
      </c>
      <c r="G797" t="str">
        <f t="shared" si="50"/>
        <v/>
      </c>
      <c r="H797" s="188" t="str">
        <f t="shared" si="51"/>
        <v>O</v>
      </c>
      <c r="I797" s="189">
        <f>IF(DAY(B797)=15,D797,"")</f>
        <v>43.333737750551208</v>
      </c>
    </row>
    <row r="798" spans="1:9">
      <c r="A798" s="187">
        <v>746</v>
      </c>
      <c r="B798" s="222">
        <v>45946</v>
      </c>
      <c r="C798" s="221">
        <v>13.450961570018503</v>
      </c>
      <c r="D798" s="221">
        <v>43.333737750551208</v>
      </c>
      <c r="E798" s="221">
        <f t="shared" si="48"/>
        <v>13.450961570018503</v>
      </c>
      <c r="F798" s="188" t="str">
        <f t="shared" si="49"/>
        <v/>
      </c>
      <c r="G798" t="str">
        <f t="shared" si="50"/>
        <v/>
      </c>
      <c r="H798" s="188" t="str">
        <f t="shared" si="51"/>
        <v/>
      </c>
      <c r="I798" s="189"/>
    </row>
    <row r="799" spans="1:9" s="189" customFormat="1">
      <c r="A799" s="187">
        <v>747</v>
      </c>
      <c r="B799" s="222">
        <v>45947</v>
      </c>
      <c r="C799" s="221">
        <v>14.515561570018493</v>
      </c>
      <c r="D799" s="221">
        <v>43.333737750551208</v>
      </c>
      <c r="E799" s="221">
        <f t="shared" si="48"/>
        <v>14.515561570018493</v>
      </c>
      <c r="F799" s="188" t="str">
        <f t="shared" si="49"/>
        <v/>
      </c>
      <c r="G799" t="str">
        <f t="shared" si="50"/>
        <v/>
      </c>
      <c r="H799" s="188" t="str">
        <f t="shared" si="51"/>
        <v/>
      </c>
    </row>
    <row r="800" spans="1:9" s="189" customFormat="1">
      <c r="A800" s="187">
        <v>748</v>
      </c>
      <c r="B800" s="222">
        <v>45948</v>
      </c>
      <c r="C800" s="221">
        <v>12.328661570018498</v>
      </c>
      <c r="D800" s="221">
        <v>43.333737750551208</v>
      </c>
      <c r="E800" s="221">
        <f t="shared" si="48"/>
        <v>12.328661570018498</v>
      </c>
      <c r="F800" s="188" t="str">
        <f t="shared" si="49"/>
        <v/>
      </c>
      <c r="G800" t="str">
        <f t="shared" si="50"/>
        <v/>
      </c>
      <c r="H800" s="188" t="str">
        <f t="shared" si="51"/>
        <v/>
      </c>
    </row>
    <row r="801" spans="1:8" s="189" customFormat="1">
      <c r="A801" s="187">
        <v>749</v>
      </c>
      <c r="B801" s="222">
        <v>45949</v>
      </c>
      <c r="C801" s="221">
        <v>1.3023615700185001</v>
      </c>
      <c r="D801" s="221">
        <v>43.333737750551208</v>
      </c>
      <c r="E801" s="221">
        <f t="shared" si="48"/>
        <v>1.3023615700185001</v>
      </c>
      <c r="F801" s="188" t="str">
        <f t="shared" si="49"/>
        <v/>
      </c>
      <c r="G801" t="str">
        <f t="shared" si="50"/>
        <v/>
      </c>
      <c r="H801" s="188" t="str">
        <f t="shared" si="51"/>
        <v/>
      </c>
    </row>
    <row r="802" spans="1:8" s="189" customFormat="1">
      <c r="A802" s="187">
        <v>750</v>
      </c>
      <c r="B802" s="222">
        <v>45950</v>
      </c>
      <c r="C802" s="221">
        <v>2.1778615700184965</v>
      </c>
      <c r="D802" s="221">
        <v>43.333737750551208</v>
      </c>
      <c r="E802" s="221">
        <f t="shared" si="48"/>
        <v>2.1778615700184965</v>
      </c>
      <c r="F802" s="188" t="str">
        <f t="shared" si="49"/>
        <v/>
      </c>
      <c r="G802" t="str">
        <f t="shared" si="50"/>
        <v/>
      </c>
      <c r="H802" s="188" t="str">
        <f t="shared" si="51"/>
        <v/>
      </c>
    </row>
    <row r="803" spans="1:8" s="189" customFormat="1">
      <c r="A803" s="187">
        <v>751</v>
      </c>
      <c r="B803" s="222">
        <v>45951</v>
      </c>
      <c r="C803" s="221">
        <v>6.0851615700184993</v>
      </c>
      <c r="D803" s="221">
        <v>43.333737750551208</v>
      </c>
      <c r="E803" s="221">
        <f t="shared" si="48"/>
        <v>6.0851615700184993</v>
      </c>
      <c r="F803" s="188" t="str">
        <f t="shared" si="49"/>
        <v/>
      </c>
      <c r="G803" t="str">
        <f t="shared" si="50"/>
        <v/>
      </c>
      <c r="H803" s="188" t="str">
        <f t="shared" si="51"/>
        <v/>
      </c>
    </row>
    <row r="804" spans="1:8" s="189" customFormat="1">
      <c r="A804" s="187">
        <v>752</v>
      </c>
      <c r="B804" s="222">
        <v>45952</v>
      </c>
      <c r="C804" s="221">
        <v>10.749830802430898</v>
      </c>
      <c r="D804" s="221">
        <v>43.333737750551208</v>
      </c>
      <c r="E804" s="221">
        <f t="shared" si="48"/>
        <v>10.749830802430898</v>
      </c>
      <c r="F804" s="188" t="str">
        <f t="shared" si="49"/>
        <v/>
      </c>
      <c r="G804" t="str">
        <f t="shared" si="50"/>
        <v/>
      </c>
      <c r="H804" s="188" t="str">
        <f t="shared" si="51"/>
        <v/>
      </c>
    </row>
    <row r="805" spans="1:8" s="189" customFormat="1">
      <c r="A805" s="187">
        <v>753</v>
      </c>
      <c r="B805" s="222">
        <v>45953</v>
      </c>
      <c r="C805" s="221">
        <v>8.1420308024309023</v>
      </c>
      <c r="D805" s="221">
        <v>43.333737750551208</v>
      </c>
      <c r="E805" s="221">
        <f t="shared" si="48"/>
        <v>8.1420308024309023</v>
      </c>
      <c r="F805" s="188" t="str">
        <f t="shared" si="49"/>
        <v/>
      </c>
      <c r="G805" t="str">
        <f t="shared" si="50"/>
        <v/>
      </c>
      <c r="H805" s="188" t="str">
        <f t="shared" si="51"/>
        <v/>
      </c>
    </row>
    <row r="806" spans="1:8" s="189" customFormat="1">
      <c r="A806" s="187">
        <v>754</v>
      </c>
      <c r="B806" s="222">
        <v>45954</v>
      </c>
      <c r="C806" s="221">
        <v>38.5486308024309</v>
      </c>
      <c r="D806" s="221">
        <v>43.333737750551208</v>
      </c>
      <c r="E806" s="221">
        <f t="shared" si="48"/>
        <v>38.5486308024309</v>
      </c>
      <c r="F806" s="188" t="str">
        <f t="shared" si="49"/>
        <v/>
      </c>
      <c r="G806" t="str">
        <f t="shared" si="50"/>
        <v/>
      </c>
      <c r="H806" s="188" t="str">
        <f t="shared" si="51"/>
        <v/>
      </c>
    </row>
    <row r="807" spans="1:8" s="189" customFormat="1">
      <c r="A807" s="187">
        <v>755</v>
      </c>
      <c r="B807" s="222">
        <v>45955</v>
      </c>
      <c r="C807" s="221">
        <v>34.435730802430903</v>
      </c>
      <c r="D807" s="221">
        <v>43.333737750551208</v>
      </c>
      <c r="E807" s="221">
        <f t="shared" si="48"/>
        <v>34.435730802430903</v>
      </c>
      <c r="F807" s="188" t="str">
        <f t="shared" si="49"/>
        <v/>
      </c>
      <c r="G807" t="str">
        <f t="shared" si="50"/>
        <v/>
      </c>
      <c r="H807" s="188" t="str">
        <f t="shared" si="51"/>
        <v/>
      </c>
    </row>
    <row r="808" spans="1:8" s="189" customFormat="1">
      <c r="A808" s="187">
        <v>756</v>
      </c>
      <c r="B808" s="222">
        <v>45956</v>
      </c>
      <c r="C808" s="221">
        <v>13.617730802430899</v>
      </c>
      <c r="D808" s="221">
        <v>43.333737750551208</v>
      </c>
      <c r="E808" s="221">
        <f t="shared" si="48"/>
        <v>13.617730802430899</v>
      </c>
      <c r="F808" s="188" t="str">
        <f t="shared" si="49"/>
        <v/>
      </c>
      <c r="G808" t="str">
        <f t="shared" si="50"/>
        <v/>
      </c>
      <c r="H808" s="188" t="str">
        <f t="shared" si="51"/>
        <v/>
      </c>
    </row>
    <row r="809" spans="1:8" s="189" customFormat="1">
      <c r="A809" s="187">
        <v>757</v>
      </c>
      <c r="B809" s="222">
        <v>45957</v>
      </c>
      <c r="C809" s="221">
        <v>33.994730802430901</v>
      </c>
      <c r="D809" s="221">
        <v>43.333737750551208</v>
      </c>
      <c r="E809" s="221">
        <f t="shared" si="48"/>
        <v>33.994730802430901</v>
      </c>
      <c r="F809" s="188" t="str">
        <f t="shared" si="49"/>
        <v/>
      </c>
      <c r="G809" t="str">
        <f t="shared" si="50"/>
        <v/>
      </c>
      <c r="H809" s="188" t="str">
        <f t="shared" si="51"/>
        <v/>
      </c>
    </row>
    <row r="810" spans="1:8" s="189" customFormat="1">
      <c r="A810" s="187">
        <v>758</v>
      </c>
      <c r="B810" s="222">
        <v>45958</v>
      </c>
      <c r="C810" s="221">
        <v>34.509230802430899</v>
      </c>
      <c r="D810" s="221">
        <v>43.333737750551208</v>
      </c>
      <c r="E810" s="221">
        <f t="shared" ref="E810" si="52">IF(C810&lt;D810,C810,D810)</f>
        <v>34.509230802430899</v>
      </c>
      <c r="F810" s="188" t="str">
        <f t="shared" si="49"/>
        <v/>
      </c>
      <c r="G810" t="str">
        <f t="shared" si="50"/>
        <v/>
      </c>
      <c r="H810" s="188" t="str">
        <f t="shared" si="51"/>
        <v/>
      </c>
    </row>
    <row r="811" spans="1:8" s="189" customFormat="1">
      <c r="A811" s="187">
        <v>759</v>
      </c>
      <c r="B811" s="222">
        <v>45959</v>
      </c>
      <c r="C811" s="221">
        <v>43.297759148791698</v>
      </c>
      <c r="D811" s="221">
        <v>43.333737750551208</v>
      </c>
      <c r="E811" s="221">
        <f t="shared" ref="E811:E812" si="53">IF(C811&lt;D811,C811,D811)</f>
        <v>43.297759148791698</v>
      </c>
      <c r="F811" s="188"/>
      <c r="H811" s="188" t="str">
        <f t="shared" si="51"/>
        <v/>
      </c>
    </row>
    <row r="812" spans="1:8" s="189" customFormat="1">
      <c r="A812" s="187">
        <v>760</v>
      </c>
      <c r="B812" s="222">
        <v>45960</v>
      </c>
      <c r="C812" s="221">
        <v>34.372259148791699</v>
      </c>
      <c r="D812" s="221">
        <v>43.333737750551208</v>
      </c>
      <c r="E812" s="221">
        <f t="shared" si="53"/>
        <v>34.372259148791699</v>
      </c>
      <c r="F812" s="188"/>
      <c r="G812" t="str">
        <f>IF(MONTH(B811)=1,IF(DAY(B811)=1,YEAR(B811),""),"")</f>
        <v/>
      </c>
      <c r="H812" s="188" t="str">
        <f t="shared" si="51"/>
        <v/>
      </c>
    </row>
    <row r="813" spans="1:8" s="189" customFormat="1">
      <c r="A813" s="187">
        <v>761</v>
      </c>
      <c r="B813" s="222">
        <v>45961</v>
      </c>
      <c r="C813" s="221">
        <v>20.435559148791697</v>
      </c>
      <c r="D813" s="221">
        <v>43.333737750551208</v>
      </c>
      <c r="E813" s="221">
        <f t="shared" ref="E813" si="54">IF(C813&lt;D813,C813,D813)</f>
        <v>20.435559148791697</v>
      </c>
      <c r="F813" s="188"/>
      <c r="G813" t="str">
        <f>IF(MONTH(B812)=1,IF(DAY(B812)=1,YEAR(B812),""),"")</f>
        <v/>
      </c>
      <c r="H813" s="188" t="str">
        <f t="shared" si="51"/>
        <v/>
      </c>
    </row>
    <row r="814" spans="1:8">
      <c r="B814" s="104"/>
      <c r="C814" s="104"/>
      <c r="D814" s="104"/>
      <c r="E814" s="104"/>
      <c r="F814" s="104"/>
      <c r="G814" s="104"/>
      <c r="H814" s="104"/>
    </row>
    <row r="815" spans="1:8">
      <c r="A815" s="142" t="s">
        <v>39</v>
      </c>
      <c r="B815" s="145"/>
      <c r="C815" s="146"/>
      <c r="D815" s="146" t="s">
        <v>33</v>
      </c>
      <c r="E815" s="338" t="s">
        <v>34</v>
      </c>
      <c r="F815" s="338"/>
      <c r="G815" s="338"/>
      <c r="H815" s="147"/>
    </row>
    <row r="816" spans="1:8">
      <c r="A816" s="148"/>
      <c r="B816" s="148"/>
      <c r="C816" s="149" t="s">
        <v>35</v>
      </c>
      <c r="D816" s="149" t="s">
        <v>36</v>
      </c>
      <c r="E816" s="149" t="s">
        <v>21</v>
      </c>
      <c r="F816" s="149" t="s">
        <v>37</v>
      </c>
      <c r="G816" s="149" t="s">
        <v>65</v>
      </c>
      <c r="H816" s="149" t="s">
        <v>38</v>
      </c>
    </row>
    <row r="817" spans="1:8">
      <c r="A817" s="153">
        <v>2021</v>
      </c>
      <c r="B817" s="154" t="s">
        <v>90</v>
      </c>
      <c r="C817" s="150">
        <v>9758.5157368181899</v>
      </c>
      <c r="D817" s="151">
        <v>18538.071</v>
      </c>
      <c r="E817" s="151">
        <v>13030.265303050002</v>
      </c>
      <c r="F817" s="151">
        <v>5467.9549016999981</v>
      </c>
      <c r="G817" s="151">
        <v>9460.7335985820428</v>
      </c>
      <c r="H817" s="152">
        <f t="shared" ref="H817:H864" si="55">C817/D817*100</f>
        <v>52.640405448971414</v>
      </c>
    </row>
    <row r="818" spans="1:8">
      <c r="A818" s="153"/>
      <c r="B818" s="154" t="s">
        <v>82</v>
      </c>
      <c r="C818" s="150">
        <v>12661.5058106672</v>
      </c>
      <c r="D818" s="151">
        <v>18538.071</v>
      </c>
      <c r="E818" s="151">
        <v>13350.687899449997</v>
      </c>
      <c r="F818" s="151">
        <v>5578.6608586499988</v>
      </c>
      <c r="G818" s="151">
        <v>10003.035437810451</v>
      </c>
      <c r="H818" s="152">
        <f t="shared" si="55"/>
        <v>68.300017896507143</v>
      </c>
    </row>
    <row r="819" spans="1:8">
      <c r="A819" s="153"/>
      <c r="B819" s="154" t="s">
        <v>83</v>
      </c>
      <c r="C819" s="150">
        <v>12144.926731958538</v>
      </c>
      <c r="D819" s="151">
        <v>18538.071</v>
      </c>
      <c r="E819" s="151">
        <v>13867.618216399997</v>
      </c>
      <c r="F819" s="151">
        <v>5886.7781087999983</v>
      </c>
      <c r="G819" s="151">
        <v>10720.346582784256</v>
      </c>
      <c r="H819" s="152">
        <f t="shared" si="55"/>
        <v>65.513433042513086</v>
      </c>
    </row>
    <row r="820" spans="1:8">
      <c r="A820" s="153"/>
      <c r="B820" s="154" t="s">
        <v>84</v>
      </c>
      <c r="C820" s="150">
        <v>11299.1892331082</v>
      </c>
      <c r="D820" s="151">
        <v>18538.071</v>
      </c>
      <c r="E820" s="151">
        <v>13950.648185050002</v>
      </c>
      <c r="F820" s="151">
        <v>7160.980094999999</v>
      </c>
      <c r="G820" s="151">
        <v>11307.143756783118</v>
      </c>
      <c r="H820" s="152">
        <f t="shared" si="55"/>
        <v>60.951267438279856</v>
      </c>
    </row>
    <row r="821" spans="1:8">
      <c r="A821" s="153"/>
      <c r="B821" s="154" t="s">
        <v>83</v>
      </c>
      <c r="C821" s="150">
        <v>11113.845787991901</v>
      </c>
      <c r="D821" s="151">
        <v>18538.071</v>
      </c>
      <c r="E821" s="151">
        <v>14154.758919950002</v>
      </c>
      <c r="F821" s="151">
        <v>7197.9099209999968</v>
      </c>
      <c r="G821" s="151">
        <v>11468.407586706651</v>
      </c>
      <c r="H821" s="152">
        <f t="shared" si="55"/>
        <v>59.951468456410062</v>
      </c>
    </row>
    <row r="822" spans="1:8">
      <c r="A822" s="153"/>
      <c r="B822" s="154" t="s">
        <v>85</v>
      </c>
      <c r="C822" s="150">
        <v>10415.710777083699</v>
      </c>
      <c r="D822" s="151">
        <v>18538.071</v>
      </c>
      <c r="E822" s="151">
        <v>13861.50749955</v>
      </c>
      <c r="F822" s="151">
        <v>6659.6807604989417</v>
      </c>
      <c r="G822" s="151">
        <v>10927.520460105234</v>
      </c>
      <c r="H822" s="152">
        <f t="shared" si="55"/>
        <v>56.185515618554369</v>
      </c>
    </row>
    <row r="823" spans="1:8">
      <c r="A823" s="153"/>
      <c r="B823" s="154" t="s">
        <v>85</v>
      </c>
      <c r="C823" s="150">
        <v>8744.6750995529528</v>
      </c>
      <c r="D823" s="151">
        <v>18538.071</v>
      </c>
      <c r="E823" s="151">
        <v>12411.383130949995</v>
      </c>
      <c r="F823" s="151">
        <v>5800.1947457021333</v>
      </c>
      <c r="G823" s="151">
        <v>9824.1360547772583</v>
      </c>
      <c r="H823" s="152">
        <f t="shared" si="55"/>
        <v>47.171440327059663</v>
      </c>
    </row>
    <row r="824" spans="1:8">
      <c r="A824" s="153"/>
      <c r="B824" s="154" t="s">
        <v>84</v>
      </c>
      <c r="C824" s="150">
        <v>7124.7383119369397</v>
      </c>
      <c r="D824" s="151">
        <v>18538.071</v>
      </c>
      <c r="E824" s="151">
        <v>11082.055950350004</v>
      </c>
      <c r="F824" s="151">
        <v>5069.3133357481856</v>
      </c>
      <c r="G824" s="151">
        <v>8745.5835792961407</v>
      </c>
      <c r="H824" s="152">
        <f t="shared" si="55"/>
        <v>38.433008007882478</v>
      </c>
    </row>
    <row r="825" spans="1:8">
      <c r="A825" s="153"/>
      <c r="B825" s="154" t="s">
        <v>86</v>
      </c>
      <c r="C825" s="150">
        <v>6314.3165171768396</v>
      </c>
      <c r="D825" s="151">
        <v>18538.071</v>
      </c>
      <c r="E825" s="151">
        <v>10288.729394799997</v>
      </c>
      <c r="F825" s="151">
        <v>4739.6054379773832</v>
      </c>
      <c r="G825" s="151">
        <v>7973.9046291740378</v>
      </c>
      <c r="H825" s="152">
        <f t="shared" si="55"/>
        <v>34.061346065493218</v>
      </c>
    </row>
    <row r="826" spans="1:8">
      <c r="A826" s="153"/>
      <c r="B826" s="154" t="s">
        <v>87</v>
      </c>
      <c r="C826" s="150">
        <v>5952.5394311548098</v>
      </c>
      <c r="D826" s="151">
        <v>18538.071</v>
      </c>
      <c r="E826" s="151">
        <v>9948.8780525499988</v>
      </c>
      <c r="F826" s="151">
        <v>4467.0470089624023</v>
      </c>
      <c r="G826" s="151">
        <v>7820.7365874517254</v>
      </c>
      <c r="H826" s="152">
        <f t="shared" si="55"/>
        <v>32.109810298788958</v>
      </c>
    </row>
    <row r="827" spans="1:8">
      <c r="A827" s="153"/>
      <c r="B827" s="154" t="s">
        <v>88</v>
      </c>
      <c r="C827" s="150">
        <v>5955.5060306251098</v>
      </c>
      <c r="D827" s="151">
        <v>18538.071</v>
      </c>
      <c r="E827" s="151">
        <v>11222.871138699997</v>
      </c>
      <c r="F827" s="151">
        <v>4812.1705738000001</v>
      </c>
      <c r="G827" s="151">
        <v>8187.5351249509931</v>
      </c>
      <c r="H827" s="152">
        <f t="shared" si="55"/>
        <v>32.125813039690641</v>
      </c>
    </row>
    <row r="828" spans="1:8">
      <c r="A828" s="153"/>
      <c r="B828" s="154" t="s">
        <v>89</v>
      </c>
      <c r="C828" s="150">
        <v>6678.5636735501203</v>
      </c>
      <c r="D828" s="151">
        <v>18538.071</v>
      </c>
      <c r="E828" s="151">
        <v>13273.133537799993</v>
      </c>
      <c r="F828" s="151">
        <v>5316.2767810999994</v>
      </c>
      <c r="G828" s="151">
        <v>8633.7092310648623</v>
      </c>
      <c r="H828" s="152">
        <f t="shared" si="55"/>
        <v>36.026206143832987</v>
      </c>
    </row>
    <row r="829" spans="1:8">
      <c r="A829" s="153">
        <v>2022</v>
      </c>
      <c r="B829" s="154" t="s">
        <v>90</v>
      </c>
      <c r="C829" s="150">
        <v>7030.3147235812303</v>
      </c>
      <c r="D829" s="151">
        <v>18538.071</v>
      </c>
      <c r="E829" s="151">
        <v>13035.252519200001</v>
      </c>
      <c r="F829" s="151">
        <v>5477.0266986999977</v>
      </c>
      <c r="G829" s="151">
        <v>9325.0652119229526</v>
      </c>
      <c r="H829" s="152">
        <f t="shared" si="55"/>
        <v>37.923658419375087</v>
      </c>
    </row>
    <row r="830" spans="1:8">
      <c r="A830" s="153"/>
      <c r="B830" s="154" t="s">
        <v>82</v>
      </c>
      <c r="C830" s="150">
        <v>6849.7365063100897</v>
      </c>
      <c r="D830" s="151">
        <v>18538.071</v>
      </c>
      <c r="E830" s="151">
        <v>13419.170344149999</v>
      </c>
      <c r="F830" s="151">
        <v>5596.8493599999993</v>
      </c>
      <c r="G830" s="151">
        <v>10034.297981343811</v>
      </c>
      <c r="H830" s="152">
        <f t="shared" si="55"/>
        <v>36.949564527561094</v>
      </c>
    </row>
    <row r="831" spans="1:8">
      <c r="A831" s="153"/>
      <c r="B831" s="154" t="s">
        <v>83</v>
      </c>
      <c r="C831" s="150">
        <v>7242.5224796164302</v>
      </c>
      <c r="D831" s="151">
        <v>18538.071</v>
      </c>
      <c r="E831" s="151">
        <v>13898.837668799999</v>
      </c>
      <c r="F831" s="151">
        <v>5950.5832111499976</v>
      </c>
      <c r="G831" s="151">
        <v>10651.382707382183</v>
      </c>
      <c r="H831" s="152">
        <f t="shared" si="55"/>
        <v>39.068371674789844</v>
      </c>
    </row>
    <row r="832" spans="1:8">
      <c r="A832" s="153"/>
      <c r="B832" s="154" t="s">
        <v>84</v>
      </c>
      <c r="C832" s="150">
        <v>7896.3920571419603</v>
      </c>
      <c r="D832" s="151">
        <v>18538.071</v>
      </c>
      <c r="E832" s="151">
        <v>13999.32071715</v>
      </c>
      <c r="F832" s="151">
        <v>7213.8650399999988</v>
      </c>
      <c r="G832" s="151">
        <v>11224.845272938524</v>
      </c>
      <c r="H832" s="152">
        <f t="shared" si="55"/>
        <v>42.595543285717049</v>
      </c>
    </row>
    <row r="833" spans="1:8">
      <c r="A833" s="153"/>
      <c r="B833" s="154" t="s">
        <v>83</v>
      </c>
      <c r="C833" s="150">
        <v>7862.6649207238397</v>
      </c>
      <c r="D833" s="151">
        <v>18538.071</v>
      </c>
      <c r="E833" s="151">
        <v>14194.180336200001</v>
      </c>
      <c r="F833" s="151">
        <v>7275.1757219999972</v>
      </c>
      <c r="G833" s="151">
        <v>11376.573024106245</v>
      </c>
      <c r="H833" s="152">
        <f t="shared" si="55"/>
        <v>42.413608841631039</v>
      </c>
    </row>
    <row r="834" spans="1:8">
      <c r="A834" s="153"/>
      <c r="B834" s="154" t="s">
        <v>85</v>
      </c>
      <c r="C834" s="150">
        <v>7336.6756913938698</v>
      </c>
      <c r="D834" s="151">
        <v>18538.071</v>
      </c>
      <c r="E834" s="151">
        <v>13918.899108600002</v>
      </c>
      <c r="F834" s="151">
        <v>6720.2938423489422</v>
      </c>
      <c r="G834" s="151">
        <v>10871.053378959414</v>
      </c>
      <c r="H834" s="152">
        <f t="shared" si="55"/>
        <v>39.576262769701714</v>
      </c>
    </row>
    <row r="835" spans="1:8">
      <c r="A835" s="153"/>
      <c r="B835" s="154" t="s">
        <v>85</v>
      </c>
      <c r="C835" s="150">
        <v>6503.7333101836002</v>
      </c>
      <c r="D835" s="151">
        <v>18538.071</v>
      </c>
      <c r="E835" s="151">
        <v>12486.880997399992</v>
      </c>
      <c r="F835" s="151">
        <v>5861.5753199858218</v>
      </c>
      <c r="G835" s="151">
        <v>9714.3243532549059</v>
      </c>
      <c r="H835" s="152">
        <f t="shared" si="55"/>
        <v>35.083117926258886</v>
      </c>
    </row>
    <row r="836" spans="1:8">
      <c r="A836" s="153"/>
      <c r="B836" s="154" t="s">
        <v>84</v>
      </c>
      <c r="C836" s="150">
        <v>5663.3995666707096</v>
      </c>
      <c r="D836" s="151">
        <v>18538.071</v>
      </c>
      <c r="E836" s="151">
        <v>11155.732386300004</v>
      </c>
      <c r="F836" s="151">
        <v>5122.4186417062165</v>
      </c>
      <c r="G836" s="151">
        <v>8618.9540563929877</v>
      </c>
      <c r="H836" s="152">
        <f t="shared" si="55"/>
        <v>30.550101823812785</v>
      </c>
    </row>
    <row r="837" spans="1:8">
      <c r="A837" s="153"/>
      <c r="B837" s="154" t="s">
        <v>86</v>
      </c>
      <c r="C837" s="150">
        <v>4854.8048105114403</v>
      </c>
      <c r="D837" s="151">
        <v>18538.071</v>
      </c>
      <c r="E837" s="151">
        <v>10360.471131599998</v>
      </c>
      <c r="F837" s="151">
        <v>4769.6031145773832</v>
      </c>
      <c r="G837" s="151">
        <v>7853.1852055328782</v>
      </c>
      <c r="H837" s="152">
        <f t="shared" si="55"/>
        <v>26.188295483987741</v>
      </c>
    </row>
    <row r="838" spans="1:8">
      <c r="A838" s="153"/>
      <c r="B838" s="154" t="s">
        <v>87</v>
      </c>
      <c r="C838" s="150">
        <v>4989.2516276194901</v>
      </c>
      <c r="D838" s="151">
        <v>18538.071</v>
      </c>
      <c r="E838" s="151">
        <v>10037.671056599998</v>
      </c>
      <c r="F838" s="151">
        <v>4490.9091346624027</v>
      </c>
      <c r="G838" s="151">
        <v>7700.931035509464</v>
      </c>
      <c r="H838" s="152">
        <f t="shared" si="55"/>
        <v>26.913542555854331</v>
      </c>
    </row>
    <row r="839" spans="1:8">
      <c r="A839" s="153"/>
      <c r="B839" s="154" t="s">
        <v>88</v>
      </c>
      <c r="C839" s="150">
        <v>5789.2389871449896</v>
      </c>
      <c r="D839" s="151">
        <v>18538.071</v>
      </c>
      <c r="E839" s="151">
        <v>11248.176501599997</v>
      </c>
      <c r="F839" s="151">
        <v>4818.1352348499995</v>
      </c>
      <c r="G839" s="151">
        <v>8119.3286799822454</v>
      </c>
      <c r="H839" s="152">
        <f t="shared" si="55"/>
        <v>31.228917977199405</v>
      </c>
    </row>
    <row r="840" spans="1:8">
      <c r="A840" s="153"/>
      <c r="B840" s="154" t="s">
        <v>89</v>
      </c>
      <c r="C840" s="150">
        <v>8226.3793556488708</v>
      </c>
      <c r="D840" s="151">
        <v>18538.071</v>
      </c>
      <c r="E840" s="151">
        <v>13212.158572249993</v>
      </c>
      <c r="F840" s="151">
        <v>5311.2606904000004</v>
      </c>
      <c r="G840" s="151">
        <v>8643.2465402423641</v>
      </c>
      <c r="H840" s="152">
        <f t="shared" si="55"/>
        <v>44.375595258259992</v>
      </c>
    </row>
    <row r="841" spans="1:8">
      <c r="A841" s="153">
        <v>2023</v>
      </c>
      <c r="B841" s="154" t="s">
        <v>90</v>
      </c>
      <c r="C841" s="150">
        <v>10223.608293560101</v>
      </c>
      <c r="D841" s="151">
        <v>18538.071</v>
      </c>
      <c r="E841" s="151">
        <v>13040.239735350002</v>
      </c>
      <c r="F841" s="151">
        <v>5486.0984956999982</v>
      </c>
      <c r="G841" s="151">
        <v>9345.1985046020109</v>
      </c>
      <c r="H841" s="152">
        <f t="shared" si="55"/>
        <v>55.149256325321552</v>
      </c>
    </row>
    <row r="842" spans="1:8">
      <c r="A842" s="153"/>
      <c r="B842" s="154" t="s">
        <v>82</v>
      </c>
      <c r="C842" s="150">
        <v>9799.5666123993706</v>
      </c>
      <c r="D842" s="151">
        <v>18538.071</v>
      </c>
      <c r="E842" s="151">
        <v>13487.652788849999</v>
      </c>
      <c r="F842" s="151">
        <v>5615.0378613499997</v>
      </c>
      <c r="G842" s="151">
        <v>10020.752600659313</v>
      </c>
      <c r="H842" s="152">
        <f t="shared" si="55"/>
        <v>52.861846372253993</v>
      </c>
    </row>
    <row r="843" spans="1:8">
      <c r="A843" s="153"/>
      <c r="B843" s="154" t="s">
        <v>83</v>
      </c>
      <c r="C843" s="150">
        <v>10212.192476558999</v>
      </c>
      <c r="D843" s="151">
        <v>18538.071</v>
      </c>
      <c r="E843" s="151">
        <v>13930.057121199998</v>
      </c>
      <c r="F843" s="151">
        <v>6014.3883134999978</v>
      </c>
      <c r="G843" s="151">
        <v>10628.434723363</v>
      </c>
      <c r="H843" s="152">
        <f t="shared" si="55"/>
        <v>55.087675932188404</v>
      </c>
    </row>
    <row r="844" spans="1:8">
      <c r="A844" s="153"/>
      <c r="B844" s="154" t="s">
        <v>84</v>
      </c>
      <c r="C844" s="150">
        <v>9885.1331418185291</v>
      </c>
      <c r="D844" s="151">
        <v>18538.071</v>
      </c>
      <c r="E844" s="151">
        <v>14047.993249249999</v>
      </c>
      <c r="F844" s="151">
        <v>7267.1733878570958</v>
      </c>
      <c r="G844" s="151">
        <v>11226.165030795621</v>
      </c>
      <c r="H844" s="152">
        <f t="shared" si="55"/>
        <v>53.323418287795576</v>
      </c>
    </row>
    <row r="845" spans="1:8">
      <c r="A845" s="153"/>
      <c r="B845" s="154" t="s">
        <v>83</v>
      </c>
      <c r="C845" s="150">
        <v>9365.4005860970192</v>
      </c>
      <c r="D845" s="151">
        <v>18538.071</v>
      </c>
      <c r="E845" s="151">
        <v>14233.601752450002</v>
      </c>
      <c r="F845" s="151">
        <v>7325.0050030361872</v>
      </c>
      <c r="G845" s="151">
        <v>11367.959959142432</v>
      </c>
      <c r="H845" s="152">
        <f t="shared" si="55"/>
        <v>50.51982261852929</v>
      </c>
    </row>
    <row r="846" spans="1:8">
      <c r="A846" s="153"/>
      <c r="B846" s="154" t="s">
        <v>85</v>
      </c>
      <c r="C846" s="150">
        <v>9135.7508606141801</v>
      </c>
      <c r="D846" s="151">
        <v>18538.071</v>
      </c>
      <c r="E846" s="151">
        <v>13976.290717650001</v>
      </c>
      <c r="F846" s="151">
        <v>6772.5070219186337</v>
      </c>
      <c r="G846" s="151">
        <v>10854.516130029104</v>
      </c>
      <c r="H846" s="152">
        <f t="shared" si="55"/>
        <v>49.281022068661727</v>
      </c>
    </row>
    <row r="847" spans="1:8">
      <c r="A847" s="153"/>
      <c r="B847" s="154" t="s">
        <v>85</v>
      </c>
      <c r="C847" s="150">
        <v>8175.9128053970835</v>
      </c>
      <c r="D847" s="151">
        <v>18538.071</v>
      </c>
      <c r="E847" s="151">
        <v>12562.378863849992</v>
      </c>
      <c r="F847" s="151">
        <v>5915.1664204949993</v>
      </c>
      <c r="G847" s="151">
        <v>9688.0502232640847</v>
      </c>
      <c r="H847" s="152">
        <f t="shared" si="55"/>
        <v>44.103363318638081</v>
      </c>
    </row>
    <row r="848" spans="1:8">
      <c r="A848" s="153"/>
      <c r="B848" s="154" t="s">
        <v>84</v>
      </c>
      <c r="C848" s="150">
        <v>7267.4230046471803</v>
      </c>
      <c r="D848" s="151">
        <v>18538.071</v>
      </c>
      <c r="E848" s="151">
        <v>11229.408822250003</v>
      </c>
      <c r="F848" s="151">
        <v>5168.0545450397494</v>
      </c>
      <c r="G848" s="151">
        <v>8576.9264407265182</v>
      </c>
      <c r="H848" s="152">
        <f t="shared" si="55"/>
        <v>39.202692689261895</v>
      </c>
    </row>
    <row r="849" spans="1:10">
      <c r="A849" s="153"/>
      <c r="B849" s="154" t="s">
        <v>86</v>
      </c>
      <c r="C849" s="150">
        <v>7008.4596426560602</v>
      </c>
      <c r="D849" s="151">
        <v>18538.071</v>
      </c>
      <c r="E849" s="151">
        <v>10432.212868399996</v>
      </c>
      <c r="F849" s="151">
        <v>4785.5655401029526</v>
      </c>
      <c r="G849" s="151">
        <v>7781.2152055584493</v>
      </c>
      <c r="H849" s="152">
        <f t="shared" si="55"/>
        <v>37.805765457776381</v>
      </c>
    </row>
    <row r="850" spans="1:10">
      <c r="A850" s="153"/>
      <c r="B850" s="154" t="s">
        <v>87</v>
      </c>
      <c r="C850" s="150">
        <v>7614.13469651794</v>
      </c>
      <c r="D850" s="151">
        <v>18538.071</v>
      </c>
      <c r="E850" s="151">
        <v>10126.464060649998</v>
      </c>
      <c r="F850" s="151">
        <v>4514.7712603624032</v>
      </c>
      <c r="G850" s="151">
        <v>7613.3641368904337</v>
      </c>
      <c r="H850" s="152">
        <f t="shared" si="55"/>
        <v>41.07296113235266</v>
      </c>
    </row>
    <row r="851" spans="1:10">
      <c r="A851" s="153"/>
      <c r="B851" s="154" t="s">
        <v>88</v>
      </c>
      <c r="C851" s="150">
        <v>9142.8206733039697</v>
      </c>
      <c r="D851" s="151">
        <v>18538.071</v>
      </c>
      <c r="E851" s="151">
        <v>11273.481864499998</v>
      </c>
      <c r="F851" s="151">
        <v>4824.0998959000008</v>
      </c>
      <c r="G851" s="151">
        <v>7991.0891993394935</v>
      </c>
      <c r="H851" s="152">
        <f t="shared" si="55"/>
        <v>49.319158791138349</v>
      </c>
    </row>
    <row r="852" spans="1:10">
      <c r="A852" s="153"/>
      <c r="B852" s="154" t="s">
        <v>89</v>
      </c>
      <c r="C852" s="150">
        <v>9446.2258304710394</v>
      </c>
      <c r="D852" s="151">
        <v>18538.071</v>
      </c>
      <c r="E852" s="151">
        <v>13151.183606699993</v>
      </c>
      <c r="F852" s="151">
        <v>5306.2445997000004</v>
      </c>
      <c r="G852" s="151">
        <v>8518.007405024804</v>
      </c>
      <c r="H852" s="152">
        <f t="shared" si="55"/>
        <v>50.955818598769199</v>
      </c>
    </row>
    <row r="853" spans="1:10">
      <c r="A853" s="153">
        <v>2024</v>
      </c>
      <c r="B853" s="154" t="s">
        <v>90</v>
      </c>
      <c r="C853" s="150">
        <v>10688.2040657137</v>
      </c>
      <c r="D853" s="151">
        <v>18538.071</v>
      </c>
      <c r="E853" s="151">
        <v>13045.226951500001</v>
      </c>
      <c r="F853" s="151">
        <v>5495.1702926999978</v>
      </c>
      <c r="G853" s="151">
        <v>9256.8070597800142</v>
      </c>
      <c r="H853" s="152">
        <f t="shared" si="55"/>
        <v>57.655427394326523</v>
      </c>
    </row>
    <row r="854" spans="1:10">
      <c r="A854" s="153"/>
      <c r="B854" s="154" t="s">
        <v>82</v>
      </c>
      <c r="C854" s="150">
        <v>11221.4886575035</v>
      </c>
      <c r="D854" s="151">
        <v>18538.071</v>
      </c>
      <c r="E854" s="151">
        <v>13556.135233550001</v>
      </c>
      <c r="F854" s="151">
        <v>5633.2263627000011</v>
      </c>
      <c r="G854" s="151">
        <v>9899.4168212792774</v>
      </c>
      <c r="H854" s="152">
        <f t="shared" si="55"/>
        <v>60.532126872874201</v>
      </c>
    </row>
    <row r="855" spans="1:10">
      <c r="A855" s="153"/>
      <c r="B855" s="154" t="s">
        <v>83</v>
      </c>
      <c r="C855" s="150">
        <v>13037.077126418901</v>
      </c>
      <c r="D855" s="151">
        <v>18538.071</v>
      </c>
      <c r="E855" s="151">
        <v>13961.2765736</v>
      </c>
      <c r="F855" s="151">
        <v>6078.193415849998</v>
      </c>
      <c r="G855" s="151">
        <v>10511.775118190948</v>
      </c>
      <c r="H855" s="152">
        <f t="shared" si="55"/>
        <v>70.325963938852652</v>
      </c>
    </row>
    <row r="856" spans="1:10">
      <c r="A856" s="153"/>
      <c r="B856" s="154" t="s">
        <v>84</v>
      </c>
      <c r="C856" s="150">
        <v>13948.444329464</v>
      </c>
      <c r="D856" s="151">
        <v>18538.071</v>
      </c>
      <c r="E856" s="151">
        <v>14096.665781349997</v>
      </c>
      <c r="F856" s="151">
        <v>7320.4817357141919</v>
      </c>
      <c r="G856" s="151">
        <v>11066.351444386546</v>
      </c>
      <c r="H856" s="152">
        <f t="shared" si="55"/>
        <v>75.242156152406579</v>
      </c>
    </row>
    <row r="857" spans="1:10">
      <c r="A857" s="153"/>
      <c r="B857" s="154" t="s">
        <v>83</v>
      </c>
      <c r="C857" s="150">
        <v>14172.663355012501</v>
      </c>
      <c r="D857" s="151">
        <v>18538.071</v>
      </c>
      <c r="E857" s="151">
        <v>14273.023168700001</v>
      </c>
      <c r="F857" s="151">
        <v>7374.8342840723762</v>
      </c>
      <c r="G857" s="151">
        <v>11196.411789447282</v>
      </c>
      <c r="H857" s="152">
        <f t="shared" si="55"/>
        <v>76.451661853126467</v>
      </c>
    </row>
    <row r="858" spans="1:10">
      <c r="A858" s="153"/>
      <c r="B858" s="154" t="s">
        <v>85</v>
      </c>
      <c r="C858" s="150">
        <v>13422.185926005801</v>
      </c>
      <c r="D858" s="151">
        <v>18538.071</v>
      </c>
      <c r="E858" s="151">
        <v>14033.682326700004</v>
      </c>
      <c r="F858" s="151">
        <v>6824.7202014883251</v>
      </c>
      <c r="G858" s="151">
        <v>10706.264048059809</v>
      </c>
      <c r="H858" s="152">
        <f t="shared" si="55"/>
        <v>72.403358073263405</v>
      </c>
    </row>
    <row r="859" spans="1:10">
      <c r="A859" s="153"/>
      <c r="B859" s="154" t="s">
        <v>85</v>
      </c>
      <c r="C859" s="150">
        <v>11989.9537651518</v>
      </c>
      <c r="D859" s="151">
        <v>18538.071</v>
      </c>
      <c r="E859" s="151">
        <v>12637.876730299991</v>
      </c>
      <c r="F859" s="151">
        <v>5968.7575210041769</v>
      </c>
      <c r="G859" s="151">
        <v>9551.05530403394</v>
      </c>
      <c r="H859" s="152">
        <f t="shared" si="55"/>
        <v>64.677461668756152</v>
      </c>
    </row>
    <row r="860" spans="1:10">
      <c r="A860" s="153"/>
      <c r="B860" s="154" t="s">
        <v>84</v>
      </c>
      <c r="C860" s="150">
        <v>10414.1239856706</v>
      </c>
      <c r="D860" s="151">
        <v>18538.071</v>
      </c>
      <c r="E860" s="151">
        <v>11303.085258200004</v>
      </c>
      <c r="F860" s="151">
        <v>5213.6904483732833</v>
      </c>
      <c r="G860" s="151">
        <v>8444.0754629588773</v>
      </c>
      <c r="H860" s="152">
        <f t="shared" si="55"/>
        <v>56.176955982478439</v>
      </c>
    </row>
    <row r="861" spans="1:10">
      <c r="A861" s="153"/>
      <c r="B861" s="154" t="s">
        <v>86</v>
      </c>
      <c r="C861" s="150">
        <v>9721.2123072402792</v>
      </c>
      <c r="D861" s="151">
        <v>18538.071</v>
      </c>
      <c r="E861" s="151">
        <v>10503.954605199997</v>
      </c>
      <c r="F861" s="151">
        <v>4801.527965628522</v>
      </c>
      <c r="G861" s="151">
        <v>7672.7940631912497</v>
      </c>
      <c r="H861" s="152">
        <f t="shared" si="55"/>
        <v>52.439179390564853</v>
      </c>
    </row>
    <row r="862" spans="1:10">
      <c r="A862" s="153"/>
      <c r="B862" s="154" t="s">
        <v>87</v>
      </c>
      <c r="C862" s="150">
        <v>10172.0387333156</v>
      </c>
      <c r="D862" s="151">
        <v>18538.071</v>
      </c>
      <c r="E862" s="151">
        <v>10198.405590699997</v>
      </c>
      <c r="F862" s="151">
        <v>4538.6333860624027</v>
      </c>
      <c r="G862" s="151">
        <v>7534.5096632163304</v>
      </c>
      <c r="H862" s="152">
        <f t="shared" si="55"/>
        <v>54.871074413921491</v>
      </c>
    </row>
    <row r="863" spans="1:10">
      <c r="A863" s="153"/>
      <c r="B863" s="154" t="s">
        <v>88</v>
      </c>
      <c r="C863" s="150">
        <v>9729.7201887363699</v>
      </c>
      <c r="D863" s="151">
        <v>18538.071</v>
      </c>
      <c r="E863" s="151">
        <v>11298.787227399998</v>
      </c>
      <c r="F863" s="151">
        <v>4803.1739069499999</v>
      </c>
      <c r="G863" s="151">
        <v>7935.87371500469</v>
      </c>
      <c r="H863" s="152">
        <f t="shared" si="55"/>
        <v>52.485073494088837</v>
      </c>
    </row>
    <row r="864" spans="1:10">
      <c r="A864" s="153"/>
      <c r="B864" s="154" t="s">
        <v>89</v>
      </c>
      <c r="C864" s="150">
        <v>9697.9008206068702</v>
      </c>
      <c r="D864" s="151">
        <v>18538.071</v>
      </c>
      <c r="E864" s="151">
        <v>13090.208641149995</v>
      </c>
      <c r="F864" s="151">
        <v>5281.5086990000018</v>
      </c>
      <c r="G864" s="151">
        <v>8466.130292548356</v>
      </c>
      <c r="H864" s="152">
        <f t="shared" si="55"/>
        <v>52.313430133085959</v>
      </c>
      <c r="I864" s="44"/>
      <c r="J864" s="44"/>
    </row>
    <row r="865" spans="1:10">
      <c r="A865" s="153">
        <v>2025</v>
      </c>
      <c r="B865" s="154" t="s">
        <v>90</v>
      </c>
      <c r="C865" s="150">
        <v>10662.1502703717</v>
      </c>
      <c r="D865" s="151">
        <v>18538.071</v>
      </c>
      <c r="E865" s="151">
        <v>13050.214167650001</v>
      </c>
      <c r="F865" s="151">
        <v>5504.2420896999975</v>
      </c>
      <c r="G865" s="151">
        <v>9240.0485735656985</v>
      </c>
      <c r="H865" s="152">
        <f t="shared" ref="H865" si="56">C865/D865*100</f>
        <v>57.514885288613357</v>
      </c>
      <c r="I865" s="44"/>
      <c r="J865" s="44"/>
    </row>
    <row r="866" spans="1:10">
      <c r="A866" s="153"/>
      <c r="B866" s="154" t="s">
        <v>82</v>
      </c>
      <c r="C866" s="150">
        <v>11118.121739063799</v>
      </c>
      <c r="D866" s="151">
        <v>18538.071</v>
      </c>
      <c r="E866" s="151">
        <v>13624.617678250001</v>
      </c>
      <c r="F866" s="151">
        <v>5651.4148640500007</v>
      </c>
      <c r="G866" s="151">
        <v>9933.6137851544518</v>
      </c>
      <c r="H866" s="152">
        <f t="shared" ref="H866" si="57">C866/D866*100</f>
        <v>59.974534238561283</v>
      </c>
      <c r="I866" s="44"/>
      <c r="J866" s="44"/>
    </row>
    <row r="867" spans="1:10">
      <c r="A867" s="153"/>
      <c r="B867" s="154" t="s">
        <v>83</v>
      </c>
      <c r="C867" s="150">
        <v>13574.769505443999</v>
      </c>
      <c r="D867" s="151">
        <v>18538.071</v>
      </c>
      <c r="E867" s="151">
        <v>13992.496025999999</v>
      </c>
      <c r="F867" s="151">
        <v>6141.9985181999982</v>
      </c>
      <c r="G867" s="151">
        <v>10635.40697301189</v>
      </c>
      <c r="H867" s="152">
        <f>C867/D867*100</f>
        <v>73.226440363962354</v>
      </c>
      <c r="I867" s="44"/>
      <c r="J867" s="44"/>
    </row>
    <row r="868" spans="1:10">
      <c r="A868" s="153"/>
      <c r="B868" s="154" t="s">
        <v>84</v>
      </c>
      <c r="C868" s="150">
        <v>14969.985800696601</v>
      </c>
      <c r="D868" s="151">
        <v>18538.071</v>
      </c>
      <c r="E868" s="151">
        <v>14145.338313449998</v>
      </c>
      <c r="F868" s="151">
        <v>7373.7900835712881</v>
      </c>
      <c r="G868" s="151">
        <v>11219.686175859746</v>
      </c>
      <c r="H868" s="152">
        <f>C868/D868*100</f>
        <v>80.752661917718413</v>
      </c>
      <c r="I868" s="44"/>
      <c r="J868" s="44"/>
    </row>
    <row r="869" spans="1:10">
      <c r="A869" s="153"/>
      <c r="B869" s="154" t="s">
        <v>83</v>
      </c>
      <c r="C869" s="150">
        <v>15463.717740821099</v>
      </c>
      <c r="D869" s="151">
        <v>18538.071</v>
      </c>
      <c r="E869" s="151">
        <v>14312.444584950004</v>
      </c>
      <c r="F869" s="151">
        <v>7424.6635651085671</v>
      </c>
      <c r="G869" s="151">
        <v>11351.635380197906</v>
      </c>
      <c r="H869" s="152">
        <f t="shared" ref="H869" si="58">C869/D869*100</f>
        <v>83.416002349009773</v>
      </c>
      <c r="I869" s="44"/>
      <c r="J869" s="44"/>
    </row>
    <row r="870" spans="1:10">
      <c r="A870" s="153"/>
      <c r="B870" s="154" t="s">
        <v>85</v>
      </c>
      <c r="C870" s="150">
        <v>14590.258003320499</v>
      </c>
      <c r="D870" s="151">
        <v>18538.071</v>
      </c>
      <c r="E870" s="151">
        <v>14091.073935750002</v>
      </c>
      <c r="F870" s="151">
        <v>6876.9333810580165</v>
      </c>
      <c r="G870" s="151">
        <v>10855.515463360101</v>
      </c>
      <c r="H870" s="152">
        <f t="shared" ref="H870" si="59">C870/D870*100</f>
        <v>78.704294547801112</v>
      </c>
      <c r="I870" s="44"/>
      <c r="J870" s="44"/>
    </row>
    <row r="871" spans="1:10">
      <c r="A871" s="153"/>
      <c r="B871" s="154" t="s">
        <v>85</v>
      </c>
      <c r="C871" s="150">
        <v>13127.2878467726</v>
      </c>
      <c r="D871" s="151">
        <v>18538.071</v>
      </c>
      <c r="E871" s="151">
        <v>12713.374596749991</v>
      </c>
      <c r="F871" s="151">
        <v>6022.3486215133544</v>
      </c>
      <c r="G871" s="151">
        <v>9681.0422432915329</v>
      </c>
      <c r="H871" s="152">
        <f t="shared" ref="H871" si="60">C871/D871*100</f>
        <v>70.812588034497224</v>
      </c>
      <c r="I871" s="44"/>
      <c r="J871" s="44"/>
    </row>
    <row r="872" spans="1:10">
      <c r="A872" s="153"/>
      <c r="B872" s="154" t="s">
        <v>84</v>
      </c>
      <c r="C872" s="150">
        <v>11592.3052743925</v>
      </c>
      <c r="D872" s="151">
        <v>18538.071</v>
      </c>
      <c r="E872" s="151">
        <v>11376.761694150005</v>
      </c>
      <c r="F872" s="151">
        <v>5259.3263517068171</v>
      </c>
      <c r="G872" s="151">
        <v>8548.0662227424091</v>
      </c>
      <c r="H872" s="152">
        <f t="shared" ref="H872" si="61">C872/D872*100</f>
        <v>62.532424621701466</v>
      </c>
      <c r="I872" s="44"/>
      <c r="J872" s="44"/>
    </row>
    <row r="873" spans="1:10">
      <c r="A873" s="153"/>
      <c r="B873" s="154" t="s">
        <v>86</v>
      </c>
      <c r="C873" s="150">
        <v>10461.9403252879</v>
      </c>
      <c r="D873" s="151">
        <v>18538.071</v>
      </c>
      <c r="E873" s="151">
        <v>10575.696341999996</v>
      </c>
      <c r="F873" s="151">
        <v>4817.4903911540914</v>
      </c>
      <c r="G873" s="151">
        <v>7777.3659905532668</v>
      </c>
      <c r="H873" s="152">
        <f t="shared" ref="H873" si="62">C873/D873*100</f>
        <v>56.434891878922564</v>
      </c>
      <c r="I873" s="44"/>
      <c r="J873" s="44"/>
    </row>
    <row r="874" spans="1:10">
      <c r="A874" s="153"/>
      <c r="B874" s="154" t="s">
        <v>87</v>
      </c>
      <c r="C874" s="150">
        <v>9269.4509272739197</v>
      </c>
      <c r="D874" s="151">
        <v>18538.071</v>
      </c>
      <c r="E874" s="151">
        <v>10270.347120749997</v>
      </c>
      <c r="F874" s="151">
        <v>4562.4955117624031</v>
      </c>
      <c r="G874" s="151">
        <v>7669.2419293821104</v>
      </c>
      <c r="H874" s="152">
        <f t="shared" ref="H874" si="63">C874/D874*100</f>
        <v>50.002240941217238</v>
      </c>
      <c r="I874" s="44">
        <f>H874-H873</f>
        <v>-6.4326509377053256</v>
      </c>
      <c r="J874" s="44">
        <f t="shared" ref="J874" si="64">H874-H862</f>
        <v>-4.868833472704253</v>
      </c>
    </row>
    <row r="875" spans="1:10">
      <c r="A875" s="153"/>
      <c r="B875" s="154" t="s">
        <v>88</v>
      </c>
      <c r="C875" s="150"/>
      <c r="D875" s="151">
        <v>18538.071</v>
      </c>
      <c r="E875" s="151">
        <v>11324.092590299999</v>
      </c>
      <c r="F875" s="151">
        <v>4782.2479179999991</v>
      </c>
      <c r="G875" s="151">
        <v>8062.114649941509</v>
      </c>
      <c r="H875" s="152"/>
      <c r="I875" s="44"/>
      <c r="J875" s="44"/>
    </row>
    <row r="876" spans="1:10">
      <c r="A876" s="153"/>
      <c r="B876" s="154" t="s">
        <v>89</v>
      </c>
      <c r="C876" s="150"/>
      <c r="D876" s="151">
        <v>18538.071</v>
      </c>
      <c r="E876" s="151">
        <v>13029.233675599995</v>
      </c>
      <c r="F876" s="151">
        <v>5256.7727983000023</v>
      </c>
      <c r="G876" s="151">
        <v>8582.1752510786991</v>
      </c>
      <c r="H876" s="152"/>
      <c r="I876" s="44"/>
      <c r="J876" s="44"/>
    </row>
  </sheetData>
  <mergeCells count="82">
    <mergeCell ref="EP2:EX2"/>
    <mergeCell ref="EY2:FG2"/>
    <mergeCell ref="AU2:BC2"/>
    <mergeCell ref="BD2:BL2"/>
    <mergeCell ref="BM2:BU2"/>
    <mergeCell ref="BV2:CD2"/>
    <mergeCell ref="CE2:CM2"/>
    <mergeCell ref="VF2:VN2"/>
    <mergeCell ref="TV1:VN1"/>
    <mergeCell ref="FZ2:GH2"/>
    <mergeCell ref="GI2:GQ2"/>
    <mergeCell ref="GR2:GZ2"/>
    <mergeCell ref="HA2:HI2"/>
    <mergeCell ref="HJ2:HR2"/>
    <mergeCell ref="TM2:TU2"/>
    <mergeCell ref="TV2:UD2"/>
    <mergeCell ref="UE2:UM2"/>
    <mergeCell ref="UN2:UV2"/>
    <mergeCell ref="UW2:VE2"/>
    <mergeCell ref="RT2:SB2"/>
    <mergeCell ref="SC2:SK2"/>
    <mergeCell ref="SL2:ST2"/>
    <mergeCell ref="SU2:TC2"/>
    <mergeCell ref="TD2:TL2"/>
    <mergeCell ref="QA2:QI2"/>
    <mergeCell ref="QJ2:QR2"/>
    <mergeCell ref="QS2:RA2"/>
    <mergeCell ref="RB2:RJ2"/>
    <mergeCell ref="RK2:RS2"/>
    <mergeCell ref="OH2:OP2"/>
    <mergeCell ref="OQ2:OY2"/>
    <mergeCell ref="OZ2:PH2"/>
    <mergeCell ref="PI2:PQ2"/>
    <mergeCell ref="PR2:PZ2"/>
    <mergeCell ref="MO2:MW2"/>
    <mergeCell ref="MX2:NF2"/>
    <mergeCell ref="NG2:NO2"/>
    <mergeCell ref="NP2:NX2"/>
    <mergeCell ref="NY2:OG2"/>
    <mergeCell ref="KV2:LD2"/>
    <mergeCell ref="LE2:LM2"/>
    <mergeCell ref="LN2:LV2"/>
    <mergeCell ref="LW2:ME2"/>
    <mergeCell ref="MF2:MN2"/>
    <mergeCell ref="JC2:JK2"/>
    <mergeCell ref="JL2:JT2"/>
    <mergeCell ref="JU2:KC2"/>
    <mergeCell ref="KD2:KL2"/>
    <mergeCell ref="KM2:KU2"/>
    <mergeCell ref="E815:G815"/>
    <mergeCell ref="HS2:IA2"/>
    <mergeCell ref="IB2:IJ2"/>
    <mergeCell ref="IK2:IS2"/>
    <mergeCell ref="IT2:JB2"/>
    <mergeCell ref="FH2:FP2"/>
    <mergeCell ref="FQ2:FY2"/>
    <mergeCell ref="CN2:CV2"/>
    <mergeCell ref="CW2:DE2"/>
    <mergeCell ref="DF2:DN2"/>
    <mergeCell ref="DO2:DW2"/>
    <mergeCell ref="DX2:EF2"/>
    <mergeCell ref="EG2:EO2"/>
    <mergeCell ref="T2:AB2"/>
    <mergeCell ref="AC2:AK2"/>
    <mergeCell ref="AL2:AT2"/>
    <mergeCell ref="A35:A36"/>
    <mergeCell ref="B2:J2"/>
    <mergeCell ref="K2:S2"/>
    <mergeCell ref="A43:A45"/>
    <mergeCell ref="A40:A42"/>
    <mergeCell ref="SC1:TU1"/>
    <mergeCell ref="QJ1:SB1"/>
    <mergeCell ref="OQ1:QI1"/>
    <mergeCell ref="MX1:OP1"/>
    <mergeCell ref="LE1:MW1"/>
    <mergeCell ref="AU1:CM1"/>
    <mergeCell ref="B1:AT1"/>
    <mergeCell ref="JL1:LD1"/>
    <mergeCell ref="HS1:JK1"/>
    <mergeCell ref="FZ1:HR1"/>
    <mergeCell ref="EG1:FY1"/>
    <mergeCell ref="CN1:E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3"/>
  <sheetViews>
    <sheetView showGridLines="0" showRowColHeaders="0" zoomScaleNormal="100" workbookViewId="0">
      <selection activeCell="R24" sqref="R23:R24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Octubre 2025</v>
      </c>
    </row>
    <row r="4" spans="1:19" s="7" customFormat="1" ht="20.25" customHeight="1">
      <c r="B4" s="8"/>
      <c r="C4" s="99" t="s">
        <v>64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07" t="s">
        <v>60</v>
      </c>
      <c r="D7" s="12"/>
      <c r="E7" s="13"/>
      <c r="F7" s="308" t="str">
        <f>K3</f>
        <v>Octubre 2025</v>
      </c>
      <c r="G7" s="309"/>
      <c r="H7" s="310" t="s">
        <v>61</v>
      </c>
      <c r="I7" s="310"/>
      <c r="J7" s="310" t="s">
        <v>68</v>
      </c>
      <c r="K7" s="310"/>
      <c r="L7" s="9"/>
    </row>
    <row r="8" spans="1:19" ht="12.75" customHeight="1">
      <c r="A8" s="7"/>
      <c r="B8" s="8"/>
      <c r="C8" s="307"/>
      <c r="D8" s="12"/>
      <c r="E8" s="14"/>
      <c r="F8" s="15" t="s">
        <v>0</v>
      </c>
      <c r="G8" s="25" t="str">
        <f>CONCATENATE("% ",MID(YEAR(F7),3,2),"/",MID(YEAR(F7)-1,3,2))</f>
        <v>% 25/24</v>
      </c>
      <c r="H8" s="15" t="s">
        <v>0</v>
      </c>
      <c r="I8" s="25" t="str">
        <f>G8</f>
        <v>% 25/24</v>
      </c>
      <c r="J8" s="15" t="s">
        <v>0</v>
      </c>
      <c r="K8" s="25" t="str">
        <f>G8</f>
        <v>% 25/24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VLOOKUP("Hidráulica",Dat_01!$A$8:$J$30,2,FALSE)/1000</f>
        <v>1776.331467948</v>
      </c>
      <c r="G9" s="89">
        <f>VLOOKUP("Hidráulica",Dat_01!$A$8:$J$30,4,FALSE)*100</f>
        <v>-38.63823704</v>
      </c>
      <c r="H9" s="88">
        <f>VLOOKUP("Hidráulica",Dat_01!$A$8:$J$30,5,FALSE)/1000</f>
        <v>28380.735029674001</v>
      </c>
      <c r="I9" s="89">
        <f>VLOOKUP("Hidráulica",Dat_01!$A$8:$J$30,7,FALSE)*100</f>
        <v>-4.5904924400000002</v>
      </c>
      <c r="J9" s="88">
        <f>VLOOKUP("Hidráulica",Dat_01!$A$8:$J$30,8,FALSE)/1000</f>
        <v>33574.700673790998</v>
      </c>
      <c r="K9" s="89">
        <f>VLOOKUP("Hidráulica",Dat_01!$A$8:$J$30,10,FALSE)*100</f>
        <v>-9.8906144999999999</v>
      </c>
      <c r="L9" s="19"/>
      <c r="M9" s="168"/>
      <c r="N9" s="168"/>
      <c r="O9" s="169"/>
      <c r="P9" s="168"/>
      <c r="Q9" s="169"/>
      <c r="R9" s="168"/>
      <c r="S9" s="169"/>
    </row>
    <row r="10" spans="1:19">
      <c r="A10" s="7"/>
      <c r="B10" s="8"/>
      <c r="C10" s="18"/>
      <c r="D10" s="12"/>
      <c r="E10" s="87" t="s">
        <v>5</v>
      </c>
      <c r="F10" s="88">
        <f>VLOOKUP("Eólica",Dat_01!$A$8:$J$30,2,FALSE)/1000</f>
        <v>4353.2171050000006</v>
      </c>
      <c r="G10" s="89">
        <f>VLOOKUP("Eólica",Dat_01!$A$8:$J$30,4,FALSE)*100</f>
        <v>-21.98251673</v>
      </c>
      <c r="H10" s="88">
        <f>VLOOKUP("Eólica",Dat_01!$A$8:$J$30,5,FALSE)/1000</f>
        <v>44826.719345999998</v>
      </c>
      <c r="I10" s="89">
        <f>VLOOKUP("Eólica",Dat_01!$A$8:$J$30,7,FALSE)*100</f>
        <v>-9.4677204200000009</v>
      </c>
      <c r="J10" s="88">
        <f>VLOOKUP("Eólica",Dat_01!$A$8:$J$30,8,FALSE)/1000</f>
        <v>54831.141093999999</v>
      </c>
      <c r="K10" s="89">
        <f>VLOOKUP("Eólica",Dat_01!$A$8:$J$30,10,FALSE)*100</f>
        <v>-11.833526749999999</v>
      </c>
      <c r="L10" s="19"/>
      <c r="M10" s="168"/>
      <c r="N10" s="168"/>
      <c r="O10" s="169"/>
      <c r="P10" s="168"/>
      <c r="Q10" s="169"/>
      <c r="R10" s="168"/>
      <c r="S10" s="169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fotovoltaica",Dat_01!$A$8:$J$30,2,FALSE)/1000</f>
        <v>3991.8868107070002</v>
      </c>
      <c r="G11" s="89">
        <f>VLOOKUP("Solar fotovoltaica",Dat_01!$A$8:$J$30,4,FALSE)*100</f>
        <v>46.596378829999999</v>
      </c>
      <c r="H11" s="88">
        <f>VLOOKUP("Solar fotovoltaica",Dat_01!$A$8:$J$30,5,FALSE)/1000</f>
        <v>43915.024552707</v>
      </c>
      <c r="I11" s="89">
        <f>VLOOKUP("Solar fotovoltaica",Dat_01!$A$8:$J$30,7,FALSE)*100</f>
        <v>12.70317221</v>
      </c>
      <c r="J11" s="88">
        <f>VLOOKUP("Solar fotovoltaica",Dat_01!$A$8:$J$30,8,FALSE)/1000</f>
        <v>48631.712239706998</v>
      </c>
      <c r="K11" s="89">
        <f>VLOOKUP("Solar fotovoltaica",Dat_01!$A$8:$J$30,10,FALSE)*100</f>
        <v>13.71195331</v>
      </c>
      <c r="L11" s="19"/>
      <c r="M11" s="168"/>
      <c r="N11" s="168"/>
      <c r="O11" s="169"/>
      <c r="P11" s="168"/>
      <c r="Q11" s="169"/>
      <c r="R11" s="168"/>
      <c r="S11" s="169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térmica",Dat_01!$A$8:$J$30,2,FALSE)/1000</f>
        <v>246.37948529300002</v>
      </c>
      <c r="G12" s="89">
        <f>VLOOKUP("Solar térmica",Dat_01!$A$8:$J$30,4,FALSE)*100</f>
        <v>60.198078850000002</v>
      </c>
      <c r="H12" s="88">
        <f>VLOOKUP("Solar térmica",Dat_01!$A$8:$J$30,5,FALSE)/1000</f>
        <v>3532.4404682929999</v>
      </c>
      <c r="I12" s="89">
        <f>VLOOKUP("Solar térmica",Dat_01!$A$8:$J$30,7,FALSE)*100</f>
        <v>-9.8786813700000007</v>
      </c>
      <c r="J12" s="88">
        <f>VLOOKUP("Solar térmica",Dat_01!$A$8:$J$30,8,FALSE)/1000</f>
        <v>3740.1608122930002</v>
      </c>
      <c r="K12" s="89">
        <f>VLOOKUP("Solar térmica",Dat_01!$A$8:$J$30,10,FALSE)*100</f>
        <v>-9.285326920000001</v>
      </c>
      <c r="L12" s="19"/>
      <c r="M12" s="168"/>
      <c r="N12" s="168"/>
      <c r="O12" s="169"/>
      <c r="P12" s="168"/>
      <c r="Q12" s="169"/>
      <c r="R12" s="168"/>
      <c r="S12" s="169"/>
    </row>
    <row r="13" spans="1:19">
      <c r="A13" s="7"/>
      <c r="B13" s="8"/>
      <c r="C13" s="20"/>
      <c r="D13" s="12"/>
      <c r="E13" s="87" t="s">
        <v>131</v>
      </c>
      <c r="F13" s="88">
        <f>VLOOKUP("Otras renovables",Dat_01!$A$8:$J$30,2,FALSE)/1000</f>
        <v>328.82446500000003</v>
      </c>
      <c r="G13" s="89">
        <f>VLOOKUP("Otras renovables",Dat_01!$A$8:$J$30,4,FALSE)*100</f>
        <v>19.554394370000001</v>
      </c>
      <c r="H13" s="88">
        <f>VLOOKUP("Otras renovables",Dat_01!$A$8:$J$30,5,FALSE)/1000</f>
        <v>3232.9557259999997</v>
      </c>
      <c r="I13" s="89">
        <f>VLOOKUP("Otras renovables",Dat_01!$A$8:$J$30,7,FALSE)*100</f>
        <v>6.5442840799999997</v>
      </c>
      <c r="J13" s="88">
        <f>VLOOKUP("Otras renovables",Dat_01!$A$8:$J$30,8,FALSE)/1000</f>
        <v>3879.0895610000002</v>
      </c>
      <c r="K13" s="89">
        <f>VLOOKUP("Otras renovables",Dat_01!$A$8:$J$30,10,FALSE)*100</f>
        <v>9.9313237700000006</v>
      </c>
      <c r="L13" s="19"/>
      <c r="M13" s="168"/>
      <c r="N13" s="168"/>
      <c r="O13" s="169"/>
      <c r="P13" s="168"/>
      <c r="Q13" s="169"/>
      <c r="R13" s="168"/>
      <c r="S13" s="169"/>
    </row>
    <row r="14" spans="1:19" ht="12.75" customHeight="1">
      <c r="A14" s="7"/>
      <c r="B14" s="8"/>
      <c r="C14" s="11"/>
      <c r="D14" s="12"/>
      <c r="E14" s="87" t="s">
        <v>79</v>
      </c>
      <c r="F14" s="88">
        <f>VLOOKUP("Residuos renovables",Dat_01!$A$8:$J$30,2,FALSE)/1000</f>
        <v>51.785544000000002</v>
      </c>
      <c r="G14" s="89">
        <f>VLOOKUP("Residuos renovables",Dat_01!$A$8:$J$30,4,FALSE)*100</f>
        <v>-7.8368468199999999</v>
      </c>
      <c r="H14" s="88">
        <f>VLOOKUP("Residuos renovables",Dat_01!$A$8:$J$30,5,FALSE)/1000</f>
        <v>459.91589150000004</v>
      </c>
      <c r="I14" s="89">
        <f>VLOOKUP("Residuos renovables",Dat_01!$A$8:$J$30,7,FALSE)*100</f>
        <v>-11.653254239999999</v>
      </c>
      <c r="J14" s="88">
        <f>VLOOKUP("Residuos renovables",Dat_01!$A$8:$J$30,8,FALSE)/1000</f>
        <v>592.92359999999996</v>
      </c>
      <c r="K14" s="89">
        <f>VLOOKUP("Residuos renovables",Dat_01!$A$8:$J$30,10,FALSE)*100</f>
        <v>-7.0757323100000002</v>
      </c>
      <c r="L14" s="19"/>
      <c r="M14" s="168"/>
      <c r="N14" s="168"/>
      <c r="O14" s="169"/>
      <c r="P14" s="168"/>
      <c r="Q14" s="169"/>
      <c r="R14" s="168"/>
      <c r="S14" s="169"/>
    </row>
    <row r="15" spans="1:19" ht="12.75" customHeight="1">
      <c r="A15" s="7"/>
      <c r="B15" s="8"/>
      <c r="C15" s="11"/>
      <c r="D15" s="12"/>
      <c r="E15" s="90" t="s">
        <v>129</v>
      </c>
      <c r="F15" s="91">
        <f>SUM(F9:F14)</f>
        <v>10748.424877948</v>
      </c>
      <c r="G15" s="92">
        <f>((SUM(Dat_01!B8,Dat_01!B14:B17,Dat_01!B19)/SUM(Dat_01!C8,Dat_01!C14:C17,Dat_01!C19))-1)*100</f>
        <v>-7.997248661360878</v>
      </c>
      <c r="H15" s="91">
        <f>SUM(H9:H14)</f>
        <v>124347.791014174</v>
      </c>
      <c r="I15" s="92">
        <f>((SUM(Dat_01!E8,Dat_01!E14:E17,Dat_01!E19)/SUM(Dat_01!F8,Dat_01!F14:F17,Dat_01!F19))-1)*100</f>
        <v>-1.0762739410347333</v>
      </c>
      <c r="J15" s="91">
        <f>SUM(J9:J14)</f>
        <v>145249.72798079101</v>
      </c>
      <c r="K15" s="92">
        <f>((SUM(Dat_01!H8,Dat_01!H14:H17,Dat_01!H19)/SUM(Dat_01!I8,Dat_01!I14:I17,Dat_01!I19))-1)*100</f>
        <v>-3.4934112744911316</v>
      </c>
      <c r="L15" s="19"/>
      <c r="M15" s="168"/>
      <c r="N15" s="168"/>
      <c r="O15" s="169"/>
      <c r="P15" s="168"/>
      <c r="Q15" s="169"/>
      <c r="R15" s="168"/>
      <c r="S15" s="169"/>
    </row>
    <row r="16" spans="1:19">
      <c r="A16" s="7"/>
      <c r="B16" s="8"/>
      <c r="C16" s="11"/>
      <c r="D16" s="12"/>
      <c r="E16" s="87" t="s">
        <v>3</v>
      </c>
      <c r="F16" s="88">
        <f>VLOOKUP("Nuclear",Dat_01!$A$8:$J$30,2,FALSE)/1000</f>
        <v>3695.4009619999997</v>
      </c>
      <c r="G16" s="89">
        <f>VLOOKUP("Nuclear",Dat_01!$A$8:$J$30,4,FALSE)*100</f>
        <v>-20.291713250000001</v>
      </c>
      <c r="H16" s="88">
        <f>VLOOKUP("Nuclear",Dat_01!$A$8:$J$30,5,FALSE)/1000</f>
        <v>43338.868053000006</v>
      </c>
      <c r="I16" s="89">
        <f>VLOOKUP("Nuclear",Dat_01!$A$8:$J$30,7,FALSE)*100</f>
        <v>-2.63356989</v>
      </c>
      <c r="J16" s="88">
        <f>VLOOKUP("Nuclear",Dat_01!$A$8:$J$30,8,FALSE)/1000</f>
        <v>51218.572038999999</v>
      </c>
      <c r="K16" s="89">
        <f>VLOOKUP("Nuclear",Dat_01!$A$8:$J$30,10,FALSE)*100</f>
        <v>-3.9179109900000002</v>
      </c>
      <c r="L16" s="19"/>
      <c r="M16" s="168"/>
      <c r="N16" s="168"/>
      <c r="O16" s="169"/>
      <c r="P16" s="168"/>
      <c r="Q16" s="169"/>
      <c r="R16" s="168"/>
      <c r="S16" s="169"/>
    </row>
    <row r="17" spans="1:19">
      <c r="A17" s="7"/>
      <c r="B17" s="8"/>
      <c r="C17" s="11"/>
      <c r="D17" s="12"/>
      <c r="E17" s="87" t="s">
        <v>207</v>
      </c>
      <c r="F17" s="88">
        <f>VLOOKUP("Ciclo combinado",Dat_01!$A$8:$J$30,2,FALSE)/1000</f>
        <v>4520.0373679999993</v>
      </c>
      <c r="G17" s="89">
        <f>VLOOKUP("Ciclo combinado",Dat_01!$A$8:$J$30,4,FALSE)*100</f>
        <v>99.569285799999989</v>
      </c>
      <c r="H17" s="88">
        <f>VLOOKUP("Ciclo combinado",Dat_01!$A$8:$J$30,5,FALSE)/1000</f>
        <v>30857.468416</v>
      </c>
      <c r="I17" s="89">
        <f>VLOOKUP("Ciclo combinado",Dat_01!$A$8:$J$30,7,FALSE)*100</f>
        <v>46.348854830000001</v>
      </c>
      <c r="J17" s="88">
        <f>VLOOKUP("Ciclo combinado",Dat_01!$A$8:$J$30,8,FALSE)/1000</f>
        <v>38879.227542000001</v>
      </c>
      <c r="K17" s="89">
        <f>VLOOKUP("Ciclo combinado",Dat_01!$A$8:$J$30,10,FALSE)*100</f>
        <v>48.721585140000002</v>
      </c>
      <c r="L17" s="19"/>
      <c r="M17" s="168"/>
      <c r="N17" s="168"/>
      <c r="O17" s="169"/>
      <c r="P17" s="168"/>
      <c r="Q17" s="169"/>
      <c r="R17" s="168"/>
      <c r="S17" s="169"/>
    </row>
    <row r="18" spans="1:19">
      <c r="A18" s="7"/>
      <c r="B18" s="8"/>
      <c r="C18" s="11"/>
      <c r="D18" s="12"/>
      <c r="E18" s="87" t="s">
        <v>4</v>
      </c>
      <c r="F18" s="88">
        <f>VLOOKUP("Carbón",Dat_01!$A$8:$J$30,2,FALSE)/1000</f>
        <v>19.604610000000001</v>
      </c>
      <c r="G18" s="89">
        <f>VLOOKUP("Carbón",Dat_01!$A$8:$J$30,4,FALSE)*100</f>
        <v>-93.683795650000008</v>
      </c>
      <c r="H18" s="88">
        <f>VLOOKUP("Carbón",Dat_01!$A$8:$J$30,5,FALSE)/1000</f>
        <v>1366.341985</v>
      </c>
      <c r="I18" s="89">
        <f>VLOOKUP("Carbón",Dat_01!$A$8:$J$30,7,FALSE)*100</f>
        <v>-42.329614769999999</v>
      </c>
      <c r="J18" s="88">
        <f>VLOOKUP("Carbón",Dat_01!$A$8:$J$30,8,FALSE)/1000</f>
        <v>1969.5046710000001</v>
      </c>
      <c r="K18" s="89">
        <f>VLOOKUP("Carbón",Dat_01!$A$8:$J$30,10,FALSE)*100</f>
        <v>-30.091870590000003</v>
      </c>
      <c r="L18" s="19"/>
      <c r="M18" s="168"/>
      <c r="N18" s="168"/>
      <c r="O18" s="169"/>
      <c r="P18" s="168"/>
      <c r="Q18" s="169"/>
      <c r="R18" s="168"/>
      <c r="S18" s="169"/>
    </row>
    <row r="19" spans="1:19">
      <c r="A19" s="7"/>
      <c r="B19" s="8"/>
      <c r="C19" s="11"/>
      <c r="D19" s="12"/>
      <c r="E19" s="87" t="s">
        <v>135</v>
      </c>
      <c r="F19" s="88">
        <f>VLOOKUP("Turbina de vapor",Dat_01!$A$8:$J$30,2,FALSE)/1000</f>
        <v>208.33896799999999</v>
      </c>
      <c r="G19" s="89" t="s">
        <v>18</v>
      </c>
      <c r="H19" s="88">
        <f>VLOOKUP("Turbina de vapor",Dat_01!$A$8:$J$30,5,FALSE)/1000</f>
        <v>666.28117599999996</v>
      </c>
      <c r="I19" s="89" t="s">
        <v>18</v>
      </c>
      <c r="J19" s="88">
        <f>VLOOKUP("Turbina de vapor",Dat_01!$A$8:$J$30,8,FALSE)/1000</f>
        <v>666.28117599999996</v>
      </c>
      <c r="K19" s="89" t="s">
        <v>18</v>
      </c>
      <c r="L19" s="19"/>
      <c r="M19" s="168"/>
      <c r="N19" s="168"/>
      <c r="O19" s="169"/>
      <c r="P19" s="168"/>
      <c r="Q19" s="169"/>
      <c r="R19" s="168"/>
      <c r="S19" s="169"/>
    </row>
    <row r="20" spans="1:19">
      <c r="A20" s="7"/>
      <c r="B20" s="8"/>
      <c r="C20" s="155">
        <f>ABS(F14)</f>
        <v>51.785544000000002</v>
      </c>
      <c r="D20" s="12"/>
      <c r="E20" s="87" t="s">
        <v>9</v>
      </c>
      <c r="F20" s="88">
        <f>VLOOKUP("Cogeneración",Dat_01!$A$8:$J$30,2,FALSE)/1000</f>
        <v>1356.977001</v>
      </c>
      <c r="G20" s="89">
        <f>VLOOKUP("Cogeneración",Dat_01!$A$8:$J$30,4,FALSE)*100</f>
        <v>10.858359200000001</v>
      </c>
      <c r="H20" s="88">
        <f>VLOOKUP("Cogeneración",Dat_01!$A$8:$J$30,5,FALSE)/1000</f>
        <v>12728.442234</v>
      </c>
      <c r="I20" s="89">
        <f>VLOOKUP("Cogeneración",Dat_01!$A$8:$J$30,7,FALSE)*100</f>
        <v>-4.4704610599999999</v>
      </c>
      <c r="J20" s="88">
        <f>VLOOKUP("Cogeneración",Dat_01!$A$8:$J$30,8,FALSE)/1000</f>
        <v>15778.492536</v>
      </c>
      <c r="K20" s="89">
        <f>VLOOKUP("Cogeneración",Dat_01!$A$8:$J$30,10,FALSE)*100</f>
        <v>1.8493367100000002</v>
      </c>
      <c r="L20" s="19"/>
      <c r="M20" s="168"/>
      <c r="N20" s="168"/>
      <c r="O20" s="169"/>
      <c r="P20" s="168"/>
      <c r="Q20" s="169"/>
      <c r="R20" s="168"/>
      <c r="S20" s="169"/>
    </row>
    <row r="21" spans="1:19">
      <c r="A21" s="7"/>
      <c r="B21" s="8"/>
      <c r="C21" s="11"/>
      <c r="D21" s="12"/>
      <c r="E21" s="87" t="s">
        <v>67</v>
      </c>
      <c r="F21" s="88">
        <f>VLOOKUP("Residuos no renovables",Dat_01!$A$8:$J$30,2,FALSE)/1000</f>
        <v>89.15363099999999</v>
      </c>
      <c r="G21" s="89">
        <f>VLOOKUP("Residuos no renovables",Dat_01!$A$8:$J$30,4,FALSE)*100</f>
        <v>-26.215221189999998</v>
      </c>
      <c r="H21" s="88">
        <f>VLOOKUP("Residuos no renovables",Dat_01!$A$8:$J$30,5,FALSE)/1000</f>
        <v>750.98290150000003</v>
      </c>
      <c r="I21" s="89">
        <f>VLOOKUP("Residuos no renovables",Dat_01!$A$8:$J$30,7,FALSE)*100</f>
        <v>-22.419213790000001</v>
      </c>
      <c r="J21" s="88">
        <f>VLOOKUP("Residuos no renovables",Dat_01!$A$8:$J$30,8,FALSE)/1000</f>
        <v>978.04701499999999</v>
      </c>
      <c r="K21" s="89">
        <f>VLOOKUP("Residuos no renovables",Dat_01!$A$8:$J$30,10,FALSE)*100</f>
        <v>-15.910080160000001</v>
      </c>
      <c r="L21" s="19"/>
      <c r="M21" s="168"/>
      <c r="N21" s="168"/>
      <c r="O21" s="169"/>
      <c r="P21" s="168"/>
      <c r="Q21" s="169"/>
      <c r="R21" s="168"/>
      <c r="S21" s="169"/>
    </row>
    <row r="22" spans="1:19">
      <c r="A22" s="7"/>
      <c r="B22" s="8"/>
      <c r="C22" s="11"/>
      <c r="D22" s="12"/>
      <c r="E22" s="90" t="s">
        <v>130</v>
      </c>
      <c r="F22" s="91">
        <f>SUM(F16:F21)</f>
        <v>9889.5125399999979</v>
      </c>
      <c r="G22" s="92">
        <f>((SUM(Dat_01!B9:B13,Dat_01!B18,Dat_01!B20)/SUM(Dat_01!C9:C13,Dat_01!C18,Dat_01!C20))-1)*100</f>
        <v>15.581266741590749</v>
      </c>
      <c r="H22" s="91">
        <f>SUM(H16:H21)</f>
        <v>89708.384765500014</v>
      </c>
      <c r="I22" s="92">
        <f>((SUM(Dat_01!E9:E13,Dat_01!E18,Dat_01!E20)/SUM(Dat_01!F9:F13,Dat_01!F18,Dat_01!F20))-1)*100</f>
        <v>9.0582856304979984</v>
      </c>
      <c r="J22" s="91">
        <f>SUM(J16:J21)</f>
        <v>109490.12497900001</v>
      </c>
      <c r="K22" s="92">
        <f>((SUM(Dat_01!H9:H13,Dat_01!H18,Dat_01!H20)/SUM(Dat_01!I9:I13,Dat_01!I18,Dat_01!I20))-1)*100</f>
        <v>10.68357269237319</v>
      </c>
      <c r="L22" s="19"/>
      <c r="M22" s="168"/>
      <c r="N22" s="168"/>
      <c r="O22" s="169"/>
      <c r="P22" s="168"/>
      <c r="Q22" s="169"/>
      <c r="R22" s="168"/>
      <c r="S22" s="169"/>
    </row>
    <row r="23" spans="1:19">
      <c r="A23" s="7"/>
      <c r="B23" s="8"/>
      <c r="C23" s="11"/>
      <c r="D23" s="12"/>
      <c r="E23" s="87" t="s">
        <v>209</v>
      </c>
      <c r="F23" s="88">
        <f>VLOOKUP("Turbinación bombeo",Dat_01!$A$8:$J$30,2,FALSE)/1000</f>
        <v>445.68601117200001</v>
      </c>
      <c r="G23" s="89">
        <f>VLOOKUP("Turbinación bombeo",Dat_01!$A$8:$J$30,4,FALSE)*100</f>
        <v>30.66962084</v>
      </c>
      <c r="H23" s="88">
        <f>VLOOKUP("Turbinación bombeo",Dat_01!$A$8:$J$30,5,FALSE)/1000</f>
        <v>4998.7712192660001</v>
      </c>
      <c r="I23" s="89">
        <f>VLOOKUP("Turbinación bombeo",Dat_01!$A$8:$J$30,7,FALSE)*100</f>
        <v>3.5111873500000002</v>
      </c>
      <c r="J23" s="88">
        <f>VLOOKUP("Turbinación bombeo",Dat_01!$A$8:$J$30,8,FALSE)/1000</f>
        <v>5627.9824503090003</v>
      </c>
      <c r="K23" s="89">
        <f>VLOOKUP("Turbinación bombeo",Dat_01!$A$8:$J$30,10,FALSE)*100</f>
        <v>-1.6949883299999999</v>
      </c>
      <c r="L23" s="19"/>
      <c r="M23" s="168"/>
      <c r="N23" s="168"/>
      <c r="O23" s="169"/>
      <c r="P23" s="168"/>
      <c r="Q23" s="169"/>
      <c r="R23" s="168"/>
      <c r="S23" s="169"/>
    </row>
    <row r="24" spans="1:19">
      <c r="A24" s="7"/>
      <c r="B24" s="8"/>
      <c r="C24" s="11"/>
      <c r="D24" s="12"/>
      <c r="E24" s="93" t="s">
        <v>12</v>
      </c>
      <c r="F24" s="88">
        <f>VLOOKUP("Consumo de bombeo",Dat_01!$A$8:$J$30,2,FALSE)/1000</f>
        <v>-805.18894399999999</v>
      </c>
      <c r="G24" s="89">
        <f>VLOOKUP("Consumo de bombeo",Dat_01!$A$8:$J$30,4,FALSE)*100</f>
        <v>52.471706589999997</v>
      </c>
      <c r="H24" s="88">
        <f>VLOOKUP("Consumo de bombeo",Dat_01!$A$8:$J$30,5,FALSE)/1000</f>
        <v>-7918.8806734530008</v>
      </c>
      <c r="I24" s="89">
        <f>VLOOKUP("Consumo de bombeo",Dat_01!$A$8:$J$30,7,FALSE)*100</f>
        <v>3.2425733900000004</v>
      </c>
      <c r="J24" s="88">
        <f>VLOOKUP("Consumo de bombeo",Dat_01!$A$8:$J$30,8,FALSE)/1000</f>
        <v>-8912.919690005001</v>
      </c>
      <c r="K24" s="89">
        <f>VLOOKUP("Consumo de bombeo",Dat_01!$A$8:$J$30,10,FALSE)*100</f>
        <v>-2.6875589400000002</v>
      </c>
      <c r="L24" s="19"/>
      <c r="M24" s="168"/>
      <c r="N24" s="168"/>
      <c r="O24" s="169"/>
      <c r="P24" s="168"/>
      <c r="Q24" s="169"/>
      <c r="R24" s="168"/>
      <c r="S24" s="169"/>
    </row>
    <row r="25" spans="1:19">
      <c r="A25" s="7"/>
      <c r="B25" s="8"/>
      <c r="C25" s="11"/>
      <c r="D25" s="12"/>
      <c r="E25" s="93" t="s">
        <v>201</v>
      </c>
      <c r="F25" s="88">
        <f>VLOOKUP("Entrega batería",Dat_01!$A$8:$J$30,2,FALSE)/1000</f>
        <v>0.14160599999999998</v>
      </c>
      <c r="G25" s="89">
        <f>IF(VLOOKUP("Entrega batería",Dat_01!$A$8:$J$30,4,FALSE)=-100%,"-",VLOOKUP("Entrega batería",Dat_01!$A$8:$J$30,4,FALSE)*100)</f>
        <v>-86.775805230000003</v>
      </c>
      <c r="H25" s="88">
        <f>VLOOKUP("Entrega batería",Dat_01!$A$8:$J$30,5,FALSE)/1000</f>
        <v>5.0562420000000001</v>
      </c>
      <c r="I25" s="89">
        <f>VLOOKUP("Entrega batería",Dat_01!$A$8:$J$30,7,FALSE)*100</f>
        <v>-29.181815999999998</v>
      </c>
      <c r="J25" s="88">
        <f>VLOOKUP("Entrega batería",Dat_01!$A$8:$J$30,8,FALSE)/1000</f>
        <v>7.0155829999999995</v>
      </c>
      <c r="K25" s="89">
        <f>VLOOKUP("Entrega batería",Dat_01!$A$8:$J$30,10,FALSE)*100</f>
        <v>-14.365378119999999</v>
      </c>
      <c r="L25" s="19"/>
      <c r="M25" s="168"/>
      <c r="N25" s="168"/>
      <c r="O25" s="169"/>
      <c r="P25" s="168"/>
      <c r="Q25" s="169"/>
      <c r="R25" s="168"/>
      <c r="S25" s="169"/>
    </row>
    <row r="26" spans="1:19">
      <c r="A26" s="7"/>
      <c r="B26" s="8"/>
      <c r="C26" s="11"/>
      <c r="D26" s="12"/>
      <c r="E26" s="93" t="s">
        <v>202</v>
      </c>
      <c r="F26" s="88">
        <f>VLOOKUP("Carga batería",Dat_01!$A$8:$J$30,2,FALSE)/1000</f>
        <v>-0.25456800000000002</v>
      </c>
      <c r="G26" s="89">
        <f>IF(VLOOKUP("Carga batería",Dat_01!$A$8:$J$30,4,FALSE)=-100%,"-",VLOOKUP("Carga batería",Dat_01!$A$8:$J$30,4,FALSE)*100)</f>
        <v>-80.224471909999991</v>
      </c>
      <c r="H26" s="88">
        <f>VLOOKUP("Carga batería",Dat_01!$A$8:$J$30,5,FALSE)/1000</f>
        <v>-6.76227</v>
      </c>
      <c r="I26" s="89">
        <f>VLOOKUP("Carga batería",Dat_01!$A$8:$J$30,7,FALSE)*100</f>
        <v>-23.47236882</v>
      </c>
      <c r="J26" s="88">
        <f>VLOOKUP("Carga batería",Dat_01!$A$8:$J$30,8,FALSE)/1000</f>
        <v>-9.1143380000000001</v>
      </c>
      <c r="K26" s="89">
        <f>VLOOKUP("Carga batería",Dat_01!$A$8:$J$30,10,FALSE)*100</f>
        <v>-10.32317683</v>
      </c>
      <c r="L26" s="19"/>
      <c r="M26" s="168"/>
      <c r="N26" s="168"/>
      <c r="O26" s="169"/>
      <c r="P26" s="168"/>
      <c r="Q26" s="169"/>
      <c r="R26" s="168"/>
      <c r="S26" s="169"/>
    </row>
    <row r="27" spans="1:19">
      <c r="A27" s="7"/>
      <c r="B27" s="8"/>
      <c r="C27" s="11"/>
      <c r="D27" s="12"/>
      <c r="E27" s="90" t="s">
        <v>203</v>
      </c>
      <c r="F27" s="91">
        <f>SUM(F23:F26)</f>
        <v>-359.61589482799997</v>
      </c>
      <c r="G27" s="92">
        <f>((SUM(Dat_01!B22:B25)/SUM(Dat_01!C22:C25))-1)*100</f>
        <v>92.073077896029005</v>
      </c>
      <c r="H27" s="91">
        <f>SUM(H23:H26)</f>
        <v>-2921.8154821870007</v>
      </c>
      <c r="I27" s="92">
        <f>((SUM(Dat_01!E22:E25)/SUM(Dat_01!F22:F25))-1)*100</f>
        <v>2.7846378241949798</v>
      </c>
      <c r="J27" s="91">
        <f>SUM(J23:J26)</f>
        <v>-3287.0359946960007</v>
      </c>
      <c r="K27" s="92">
        <f>((SUM(Dat_01!H22:H25)/SUM(Dat_01!I22:I25))-1)*100</f>
        <v>-4.3360980445176001</v>
      </c>
      <c r="L27" s="19"/>
      <c r="M27" s="168"/>
      <c r="N27" s="168"/>
      <c r="O27" s="169"/>
      <c r="P27" s="168"/>
      <c r="Q27" s="169"/>
      <c r="R27" s="168"/>
      <c r="S27" s="169"/>
    </row>
    <row r="28" spans="1:19">
      <c r="A28" s="7"/>
      <c r="B28" s="8"/>
      <c r="C28" s="11"/>
      <c r="D28" s="12"/>
      <c r="E28" s="93" t="s">
        <v>72</v>
      </c>
      <c r="F28" s="88">
        <f>VLOOKUP("Enlace Península-Baleares",Dat_01!$A$8:$J$30,2,FALSE)/1000</f>
        <v>-119.297056</v>
      </c>
      <c r="G28" s="89">
        <f>VLOOKUP("Enlace Península-Baleares",Dat_01!$A$8:$J$30,4,FALSE)*100</f>
        <v>-17.466863960000001</v>
      </c>
      <c r="H28" s="88">
        <f>VLOOKUP("Enlace Península-Baleares",Dat_01!$A$8:$J$30,5,FALSE)/1000</f>
        <v>-1338.7966200000001</v>
      </c>
      <c r="I28" s="89">
        <f>VLOOKUP("Enlace Península-Baleares",Dat_01!$A$8:$J$30,7,FALSE)*100</f>
        <v>-5.9587791000000001</v>
      </c>
      <c r="J28" s="88">
        <f>VLOOKUP("Enlace Península-Baleares",Dat_01!$A$8:$J$30,8,FALSE)/1000</f>
        <v>-1494.9770700000001</v>
      </c>
      <c r="K28" s="89">
        <f>VLOOKUP("Enlace Península-Baleares",Dat_01!$A$8:$J$30,10,FALSE)*100</f>
        <v>-6.9595522699999997</v>
      </c>
      <c r="L28" s="19"/>
      <c r="M28" s="168"/>
      <c r="N28" s="168"/>
      <c r="O28" s="169"/>
      <c r="P28" s="168"/>
      <c r="Q28" s="169"/>
      <c r="R28" s="168"/>
      <c r="S28" s="169"/>
    </row>
    <row r="29" spans="1:19" ht="12.75" customHeight="1">
      <c r="E29" s="93" t="s">
        <v>73</v>
      </c>
      <c r="F29" s="94">
        <f>VLOOKUP("Saldos intercambios internacionales",Dat_01!$A$8:$J$30,2,FALSE)/1000</f>
        <v>-1270.4236799999999</v>
      </c>
      <c r="G29" s="95">
        <f>IF(OR(VLOOKUP("Saldos intercambios internacionales",Dat_01!$A$8:$J$30,3,FALSE)=0,AND(VLOOKUP("Saldos intercambios internacionales",Dat_01!$A$8:$J$30,3,FALSE)&lt;0,VLOOKUP("Saldos intercambios internacionales",Dat_01!$A$8:$J$30,2,FALSE)&gt;0),AND(VLOOKUP("Saldos intercambios internacionales",Dat_01!$A$8:$J$30,3,FALSE)&gt;0,VLOOKUP("Saldos intercambios internacionales",Dat_01!$A$8:$J$30,2,FALSE)&lt;0)),"-",VLOOKUP("Saldos intercambios internacionales",Dat_01!$A$8:$J$30,4,FALSE)*100)</f>
        <v>42.861542780000001</v>
      </c>
      <c r="H29" s="94">
        <f>VLOOKUP("Saldos intercambios internacionales",Dat_01!$A$8:$J$30,5,FALSE)/1000</f>
        <v>-11210.058106</v>
      </c>
      <c r="I29" s="95">
        <f>IF(OR(VLOOKUP("Saldos intercambios internacionales",Dat_01!$A$8:$J$30,6,FALSE)=0,AND(VLOOKUP("Saldos intercambios internacionales",Dat_01!$A$8:$J$30,6,FALSE)&lt;0,VLOOKUP("Saldos intercambios internacionales",Dat_01!$A$8:$J$30,5,FALSE)&gt;0),AND(VLOOKUP("Saldos intercambios internacionales",Dat_01!$A$8:$J$30,6,FALSE)&gt;0,VLOOKUP("Saldos intercambios internacionales",Dat_01!$A$8:$J$30,5,FALSE)&lt;0)),"-",VLOOKUP("Saldos intercambios internacionales",Dat_01!$A$8:$J$30,7,FALSE)*100)</f>
        <v>21.28131612</v>
      </c>
      <c r="J29" s="94">
        <f>VLOOKUP("Saldos intercambios internacionales",Dat_01!$A$8:$J$30,8,FALSE)/1000</f>
        <v>-12194.031356000001</v>
      </c>
      <c r="K29" s="95">
        <f>IF(OR(VLOOKUP("Saldos intercambios internacionales",Dat_01!$A$8:$J$30,9,FALSE)=0,AND(VLOOKUP("Saldos intercambios internacionales",Dat_01!$A$8:$J$30,9,FALSE)&lt;0,VLOOKUP("Saldos intercambios internacionales",Dat_01!$A$8:$J$30,8,FALSE)&gt;0),AND(VLOOKUP("Saldos intercambios internacionales",Dat_01!$A$8:$J$30,9,FALSE)&gt;0,VLOOKUP("Saldos intercambios internacionales",Dat_01!$A$8:$J$30,8,FALSE)&lt;0)),"-",VLOOKUP("Saldos intercambios internacionales",Dat_01!$A$8:$J$30,10,FALSE)*100)</f>
        <v>12.23172761</v>
      </c>
      <c r="L29" s="19"/>
      <c r="M29" s="168"/>
      <c r="N29" s="168"/>
      <c r="O29" s="169"/>
      <c r="P29" s="168"/>
      <c r="Q29" s="169"/>
      <c r="R29" s="168"/>
      <c r="S29" s="169"/>
    </row>
    <row r="30" spans="1:19" ht="16.350000000000001" customHeight="1">
      <c r="E30" s="96" t="s">
        <v>13</v>
      </c>
      <c r="F30" s="97">
        <f>VLOOKUP("Demanda transporte (b.c.)",Dat_01!$A$8:$J$30,2,FALSE)/1000</f>
        <v>18888.604987119998</v>
      </c>
      <c r="G30" s="98">
        <f>VLOOKUP("Demanda transporte (b.c.)",Dat_01!$A$8:$J$30,4,FALSE)*100</f>
        <v>-0.68043759999999998</v>
      </c>
      <c r="H30" s="97">
        <f>VLOOKUP("Demanda transporte (b.c.)",Dat_01!$A$8:$J$30,5,FALSE)/1000</f>
        <v>198585.50977248701</v>
      </c>
      <c r="I30" s="98">
        <f>VLOOKUP("Demanda transporte (b.c.)",Dat_01!$A$8:$J$30,7,FALSE)*100</f>
        <v>2.1274783299999998</v>
      </c>
      <c r="J30" s="97">
        <f>VLOOKUP("Demanda transporte (b.c.)",Dat_01!$A$8:$J$30,8,FALSE)/1000</f>
        <v>237763.81274009499</v>
      </c>
      <c r="K30" s="98">
        <f>VLOOKUP("Demanda transporte (b.c.)",Dat_01!$A$8:$J$30,10,FALSE)*100</f>
        <v>1.8166901799999999</v>
      </c>
      <c r="L30" s="19"/>
    </row>
    <row r="31" spans="1:19" ht="16.350000000000001" customHeight="1">
      <c r="E31" s="313" t="s">
        <v>80</v>
      </c>
      <c r="F31" s="314"/>
      <c r="G31" s="314"/>
      <c r="H31" s="314"/>
      <c r="I31" s="314"/>
      <c r="J31" s="314"/>
      <c r="K31" s="314"/>
      <c r="L31" s="16"/>
      <c r="M31" s="312"/>
      <c r="N31" s="312"/>
      <c r="O31" s="312"/>
      <c r="P31" s="312"/>
      <c r="Q31" s="312"/>
      <c r="R31" s="312"/>
      <c r="S31" s="312"/>
    </row>
    <row r="32" spans="1:19" ht="12.75" customHeight="1">
      <c r="E32" s="312" t="s">
        <v>52</v>
      </c>
      <c r="F32" s="312"/>
      <c r="G32" s="312"/>
      <c r="H32" s="312"/>
      <c r="I32" s="312"/>
      <c r="J32" s="312"/>
      <c r="K32" s="312"/>
      <c r="L32" s="16"/>
    </row>
    <row r="33" spans="5:12" ht="12.75" customHeight="1">
      <c r="E33" s="312" t="s">
        <v>69</v>
      </c>
      <c r="F33" s="312"/>
      <c r="G33" s="312"/>
      <c r="H33" s="312"/>
      <c r="I33" s="312"/>
      <c r="J33" s="312"/>
      <c r="K33" s="312"/>
      <c r="L33" s="16"/>
    </row>
    <row r="34" spans="5:12" ht="12.75" customHeight="1">
      <c r="E34" s="312" t="s">
        <v>132</v>
      </c>
      <c r="F34" s="312"/>
      <c r="G34" s="312"/>
      <c r="H34" s="312"/>
      <c r="I34" s="312"/>
      <c r="J34" s="312"/>
      <c r="K34" s="312"/>
      <c r="L34" s="16"/>
    </row>
    <row r="35" spans="5:12" ht="12.75" customHeight="1">
      <c r="E35" s="312" t="s">
        <v>208</v>
      </c>
      <c r="F35" s="312"/>
      <c r="G35" s="312"/>
      <c r="H35" s="312"/>
      <c r="I35" s="312"/>
      <c r="J35" s="312"/>
      <c r="K35" s="312"/>
      <c r="L35" s="16"/>
    </row>
    <row r="36" spans="5:12" ht="12.75" customHeight="1">
      <c r="E36" s="311" t="s">
        <v>210</v>
      </c>
      <c r="F36" s="311"/>
      <c r="G36" s="311"/>
      <c r="H36" s="311"/>
      <c r="I36" s="311"/>
      <c r="J36" s="311"/>
      <c r="K36" s="311"/>
      <c r="L36" s="16"/>
    </row>
    <row r="37" spans="5:12" ht="12.75" customHeight="1">
      <c r="E37" s="311" t="s">
        <v>71</v>
      </c>
      <c r="F37" s="311"/>
      <c r="G37" s="311"/>
      <c r="H37" s="311"/>
      <c r="I37" s="311"/>
      <c r="J37" s="311"/>
      <c r="K37" s="311"/>
    </row>
    <row r="38" spans="5:12" ht="24" customHeight="1">
      <c r="E38" s="311" t="s">
        <v>76</v>
      </c>
      <c r="F38" s="311"/>
      <c r="G38" s="311"/>
      <c r="H38" s="311"/>
      <c r="I38" s="311"/>
      <c r="J38" s="311"/>
      <c r="K38" s="311"/>
    </row>
    <row r="39" spans="5:12">
      <c r="F39" s="220"/>
      <c r="G39" s="220"/>
      <c r="H39" s="220"/>
      <c r="I39" s="220"/>
      <c r="J39" s="220"/>
      <c r="K39" s="220"/>
    </row>
    <row r="40" spans="5:12">
      <c r="E40" s="21"/>
      <c r="F40" s="21"/>
    </row>
    <row r="41" spans="5:12">
      <c r="E41" s="21"/>
      <c r="F41" s="21"/>
    </row>
    <row r="42" spans="5:12">
      <c r="E42" s="21"/>
      <c r="F42" s="21"/>
    </row>
    <row r="43" spans="5:12">
      <c r="F43" s="21"/>
    </row>
    <row r="44" spans="5:12">
      <c r="E44" s="21"/>
      <c r="F44" s="23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1" spans="1:19">
      <c r="E51" s="21"/>
      <c r="F51" s="21"/>
    </row>
    <row r="53" spans="1:19" s="22" customFormat="1">
      <c r="A53" s="5"/>
      <c r="B53" s="5"/>
      <c r="C53" s="5"/>
      <c r="D53" s="5"/>
      <c r="E53" s="17"/>
      <c r="F53" s="17"/>
      <c r="G53" s="17"/>
      <c r="I53" s="17"/>
      <c r="K53" s="17"/>
      <c r="L53" s="17"/>
      <c r="M53" s="17"/>
      <c r="N53" s="17"/>
      <c r="O53" s="17"/>
      <c r="P53" s="17"/>
      <c r="Q53" s="17"/>
      <c r="R53" s="17"/>
      <c r="S53" s="17"/>
    </row>
  </sheetData>
  <mergeCells count="13">
    <mergeCell ref="M31:S31"/>
    <mergeCell ref="E37:K37"/>
    <mergeCell ref="E32:K32"/>
    <mergeCell ref="E33:K33"/>
    <mergeCell ref="E34:K34"/>
    <mergeCell ref="E36:K36"/>
    <mergeCell ref="E31:K31"/>
    <mergeCell ref="E35:K35"/>
    <mergeCell ref="C7:C8"/>
    <mergeCell ref="F7:G7"/>
    <mergeCell ref="H7:I7"/>
    <mergeCell ref="J7:K7"/>
    <mergeCell ref="E38:K3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workbookViewId="0">
      <selection activeCell="J14" sqref="J14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Octubre 2025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16" t="s">
        <v>206</v>
      </c>
      <c r="D7" s="32"/>
      <c r="E7" s="39"/>
    </row>
    <row r="8" spans="2:6" s="29" customFormat="1" ht="12.75" customHeight="1">
      <c r="B8" s="28"/>
      <c r="C8" s="316"/>
      <c r="D8" s="32"/>
      <c r="E8" s="39"/>
    </row>
    <row r="9" spans="2:6" s="29" customFormat="1" ht="12.75" customHeight="1">
      <c r="B9" s="28"/>
      <c r="C9" s="316"/>
      <c r="D9" s="32"/>
      <c r="E9" s="39"/>
    </row>
    <row r="10" spans="2:6" s="29" customFormat="1" ht="12.75" customHeight="1">
      <c r="B10" s="28"/>
      <c r="C10" s="126" t="str">
        <f>CONCATENATE(TEXT(Dat_01!B47,"0.0")," MW")</f>
        <v>129.323 MW</v>
      </c>
      <c r="D10" s="32"/>
      <c r="E10" s="39"/>
      <c r="F10" s="33"/>
    </row>
    <row r="11" spans="2:6" s="29" customFormat="1" ht="12.75" customHeight="1">
      <c r="B11" s="28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15" t="s">
        <v>57</v>
      </c>
      <c r="E23" s="41"/>
    </row>
    <row r="24" spans="2:6" ht="12.75" customHeight="1">
      <c r="C24" s="315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23:C24"/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G39" sqref="G39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Octubre 2025</v>
      </c>
    </row>
    <row r="4" spans="2:7" s="29" customFormat="1" ht="20.25" customHeight="1">
      <c r="B4" s="28"/>
      <c r="C4" s="99" t="s">
        <v>64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17" t="s">
        <v>70</v>
      </c>
      <c r="D7" s="32"/>
      <c r="E7" s="39"/>
      <c r="F7" s="32"/>
    </row>
    <row r="8" spans="2:7" s="29" customFormat="1" ht="12.75" customHeight="1">
      <c r="B8" s="28"/>
      <c r="C8" s="317"/>
      <c r="D8" s="32"/>
      <c r="E8" s="39"/>
      <c r="F8" s="32"/>
    </row>
    <row r="9" spans="2:7" s="29" customFormat="1" ht="12.75" customHeight="1">
      <c r="B9" s="28"/>
      <c r="C9" s="317"/>
      <c r="D9" s="32"/>
      <c r="E9" s="39"/>
      <c r="F9" s="32"/>
    </row>
    <row r="10" spans="2:7" s="29" customFormat="1" ht="12.75" customHeight="1">
      <c r="B10" s="28"/>
      <c r="C10" s="317"/>
      <c r="D10" s="32"/>
      <c r="E10" s="39"/>
      <c r="F10" s="32"/>
    </row>
    <row r="11" spans="2:7" s="29" customFormat="1" ht="12.75" customHeight="1">
      <c r="B11" s="28"/>
      <c r="C11" s="127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30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Octubre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59</v>
      </c>
      <c r="E7" s="4"/>
    </row>
    <row r="8" spans="3:25">
      <c r="C8" s="317"/>
      <c r="E8" s="4"/>
    </row>
    <row r="9" spans="3:25">
      <c r="C9" s="317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Octubre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161</v>
      </c>
      <c r="E7" s="4"/>
    </row>
    <row r="8" spans="3:25">
      <c r="C8" s="317"/>
      <c r="E8" s="4"/>
    </row>
    <row r="9" spans="3:25">
      <c r="C9" s="317"/>
      <c r="E9" s="4"/>
    </row>
    <row r="10" spans="3:25">
      <c r="C10" s="317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B2" zoomScaleNormal="100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Octubre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53</v>
      </c>
      <c r="E7" s="4"/>
    </row>
    <row r="8" spans="3:25">
      <c r="C8" s="317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Octubre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58</v>
      </c>
      <c r="E7" s="4"/>
    </row>
    <row r="8" spans="3:25">
      <c r="C8" s="317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40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918D3-A825-4D28-8B00-5D0085677D3F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dc812d0-7ad8-4a82-9195-c1c1a8745337"/>
    <ds:schemaRef ds:uri="http://schemas.microsoft.com/office/infopath/2007/PartnerControls"/>
    <ds:schemaRef ds:uri="8a808b56-9519-4f3c-a07e-328060d9d6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P18 DESGLOSE</vt:lpstr>
      <vt:lpstr>P19</vt:lpstr>
      <vt:lpstr>Dat_01</vt:lpstr>
      <vt:lpstr>Dat_02</vt:lpstr>
      <vt:lpstr>Data 2</vt:lpstr>
      <vt:lpstr>Data 3</vt:lpstr>
      <vt:lpstr>Data 4</vt:lpstr>
      <vt:lpstr>Data 5</vt:lpstr>
      <vt:lpstr>Data 6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2025-11-14T11:30:29Z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